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4.xml" ContentType="application/vnd.openxmlformats-officedocument.spreadsheetml.comments+xml"/>
  <Override PartName="/xl/drawings/drawing12.xml" ContentType="application/vnd.openxmlformats-officedocument.drawing+xml"/>
  <Override PartName="/xl/comments5.xml" ContentType="application/vnd.openxmlformats-officedocument.spreadsheetml.comments+xml"/>
  <Override PartName="/xl/drawings/drawing13.xml" ContentType="application/vnd.openxmlformats-officedocument.drawing+xml"/>
  <Override PartName="/xl/comments6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7.xml" ContentType="application/vnd.openxmlformats-officedocument.spreadsheetml.comments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drawings/drawing17.xml" ContentType="application/vnd.openxmlformats-officedocument.drawing+xml"/>
  <Override PartName="/xl/comments9.xml" ContentType="application/vnd.openxmlformats-officedocument.spreadsheetml.comments+xml"/>
  <Override PartName="/xl/drawings/drawing18.xml" ContentType="application/vnd.openxmlformats-officedocument.drawing+xml"/>
  <Override PartName="/xl/comments10.xml" ContentType="application/vnd.openxmlformats-officedocument.spreadsheetml.comments+xml"/>
  <Override PartName="/xl/drawings/drawing19.xml" ContentType="application/vnd.openxmlformats-officedocument.drawing+xml"/>
  <Override PartName="/xl/comments11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omments12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omments13.xml" ContentType="application/vnd.openxmlformats-officedocument.spreadsheetml.comments+xml"/>
  <Override PartName="/xl/drawings/drawing26.xml" ContentType="application/vnd.openxmlformats-officedocument.drawing+xml"/>
  <Override PartName="/xl/comments14.xml" ContentType="application/vnd.openxmlformats-officedocument.spreadsheetml.comment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omments15.xml" ContentType="application/vnd.openxmlformats-officedocument.spreadsheetml.comments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r\Dover\AvnerP\HERZLIYA NEW WEBSITE\PDF\MINHAL CASPI\TAKTZIV\2021\"/>
    </mc:Choice>
  </mc:AlternateContent>
  <xr:revisionPtr revIDLastSave="0" documentId="8_{5DF0142D-95C2-4A8B-B105-5F92CC782AAA}" xr6:coauthVersionLast="36" xr6:coauthVersionMax="36" xr10:uidLastSave="{00000000-0000-0000-0000-000000000000}"/>
  <bookViews>
    <workbookView xWindow="0" yWindow="0" windowWidth="24000" windowHeight="9105" xr2:uid="{00000000-000D-0000-FFFF-FFFF00000000}"/>
  </bookViews>
  <sheets>
    <sheet name="כותרת" sheetId="310" r:id="rId1"/>
    <sheet name="תוכן ענינים" sheetId="46" r:id="rId2"/>
    <sheet name="מבוא" sheetId="39" r:id="rId3"/>
    <sheet name="תקציב 2021" sheetId="40" r:id="rId4"/>
    <sheet name="תקציב 2022 " sheetId="41" r:id="rId5"/>
    <sheet name="תקציב 2022 פרקים" sheetId="61" r:id="rId6"/>
    <sheet name="תקציב 2022  אגפים " sheetId="42" r:id="rId7"/>
    <sheet name="תקציב 2022  מקורות " sheetId="100" r:id="rId8"/>
    <sheet name="תקציב 2022 קרנות הרשות" sheetId="38" r:id="rId9"/>
    <sheet name="תקציב 2022 מקורות אחרים" sheetId="43" r:id="rId10"/>
    <sheet name="תרשים אגפים" sheetId="65" r:id="rId11"/>
    <sheet name="ריכוז אגפים" sheetId="12" r:id="rId12"/>
    <sheet name="תרשים פרקים" sheetId="98" r:id="rId13"/>
    <sheet name="ריכוז פרקים" sheetId="97" r:id="rId14"/>
    <sheet name="פרוט מקורות אחרים" sheetId="44" r:id="rId15"/>
    <sheet name="תרשים מקורות מימון" sheetId="66" r:id="rId16"/>
    <sheet name="הנדסה 2022" sheetId="67" r:id="rId17"/>
    <sheet name="הנדסה 2022 " sheetId="163" r:id="rId18"/>
    <sheet name="תקציב הנדסה 2022 " sheetId="272" r:id="rId19"/>
    <sheet name="תקציב הנדסה 2022 פרקים" sheetId="298" state="hidden" r:id="rId20"/>
    <sheet name="החברה לפיתוח 2022" sheetId="68" r:id="rId21"/>
    <sheet name="החב. לפיתוח 2022" sheetId="99" r:id="rId22"/>
    <sheet name="תקציב החברה לפיתוח 2022" sheetId="274" r:id="rId23"/>
    <sheet name="תקציב החברה לפיתוח 2022 תאור" sheetId="308" r:id="rId24"/>
    <sheet name="תקציב החברה לפיתוח 2022 פרקים" sheetId="299" state="hidden" r:id="rId25"/>
    <sheet name="מינהל תפעול 2022" sheetId="69" r:id="rId26"/>
    <sheet name="מינהל תפעול  2022 " sheetId="160" r:id="rId27"/>
    <sheet name="תקציב מינהל תפעול 2022" sheetId="275" r:id="rId28"/>
    <sheet name="תקציב מינהל תפעול 2022 תאור" sheetId="309" r:id="rId29"/>
    <sheet name="תקציב מינהל תפעול 2022 פרקים" sheetId="300" state="hidden" r:id="rId30"/>
    <sheet name="אגף חינוך 2022" sheetId="72" r:id="rId31"/>
    <sheet name="תקציב אגף חינוך 2022" sheetId="276" r:id="rId32"/>
    <sheet name="תקציב אגף חינוך 2022 פרקים" sheetId="301" state="hidden" r:id="rId33"/>
    <sheet name="אגף תנוס 2021" sheetId="74" r:id="rId34"/>
    <sheet name="תקציב אגף תנוס 2022 " sheetId="277" r:id="rId35"/>
    <sheet name="תקציב אגף תנוס 2022 פרקים" sheetId="302" state="hidden" r:id="rId36"/>
    <sheet name="החברה לתירות 2022" sheetId="77" r:id="rId37"/>
    <sheet name="תקציב החברה לתירות 2022 " sheetId="278" r:id="rId38"/>
    <sheet name="תקציב החברה לתירות 2022  פרקים" sheetId="303" state="hidden" r:id="rId39"/>
    <sheet name="אגף תקשוב ומע. מידע 2022" sheetId="78" r:id="rId40"/>
    <sheet name="אגף תקשוב ומע. מידע  2022 " sheetId="165" r:id="rId41"/>
    <sheet name="תקציב אגף המיחשוב 2022" sheetId="279" r:id="rId42"/>
    <sheet name="תקציב אגף המיחשוב 2022 פרקים" sheetId="304" state="hidden" r:id="rId43"/>
    <sheet name="אגף נכסים וביטוח 2022" sheetId="158" r:id="rId44"/>
    <sheet name="תקציב אגף נכסים וביטוח 2022 " sheetId="280" r:id="rId45"/>
    <sheet name="תקציב אגף נכסים ביטוח 2022 פרק" sheetId="305" state="hidden" r:id="rId46"/>
    <sheet name="מינהל כללי 2022" sheetId="81" r:id="rId47"/>
    <sheet name="תקציב מינהל כללי 2022  " sheetId="282" r:id="rId48"/>
    <sheet name="תקציב מינהל כללי 2022 פרקים" sheetId="306" state="hidden" r:id="rId49"/>
    <sheet name="תקציב 2021 - ביצוע" sheetId="63" r:id="rId50"/>
    <sheet name="ריכוז אגפים 2021" sheetId="296" r:id="rId51"/>
    <sheet name="תקציב הנדסה 2021" sheetId="284" r:id="rId52"/>
    <sheet name="תקציב החברה לפיתוח 2021 " sheetId="285" r:id="rId53"/>
    <sheet name="תקציב אגף ת.ב.ל 2021  " sheetId="286" r:id="rId54"/>
    <sheet name="תקציב אגף בטחון פיקוח סד&quot;צ 2021" sheetId="287" r:id="rId55"/>
    <sheet name="תקציב אגף חינוך 2021 " sheetId="288" r:id="rId56"/>
    <sheet name="תקציב אגף תנוס 2021 " sheetId="289" r:id="rId57"/>
    <sheet name="תקציב אגף שאיפה  2021 " sheetId="290" r:id="rId58"/>
    <sheet name="תקציב רשות החופים 2021 " sheetId="291" r:id="rId59"/>
    <sheet name="תקציב החברה לתירות 2021 " sheetId="292" r:id="rId60"/>
    <sheet name="תקציב אגף תקשוב 2021 " sheetId="293" r:id="rId61"/>
    <sheet name="תקציב אגף נכסים וביטוח 2021" sheetId="294" r:id="rId62"/>
    <sheet name="תקציב מינהל כללי 2021  " sheetId="295" r:id="rId63"/>
    <sheet name="ריכוז תקציב מעבר לתוכנית 2021" sheetId="297" r:id="rId64"/>
    <sheet name="פרויקטים החב. לפיתוח " sheetId="176" r:id="rId65"/>
  </sheets>
  <externalReferences>
    <externalReference r:id="rId66"/>
  </externalReferences>
  <definedNames>
    <definedName name="_xlnm._FilterDatabase" localSheetId="63" hidden="1">'ריכוז תקציב מעבר לתוכנית 2021'!$A$5:$AG$5</definedName>
    <definedName name="_xlnm._FilterDatabase" localSheetId="55" hidden="1">'תקציב אגף חינוך 2021 '!$A$5:$AC$19</definedName>
    <definedName name="_xlnm._FilterDatabase" localSheetId="31" hidden="1">'תקציב אגף חינוך 2022'!$A$4:$AC$15</definedName>
    <definedName name="_xlnm._FilterDatabase" localSheetId="32" hidden="1">'תקציב אגף חינוך 2022 פרקים'!$A$4:$AC$15</definedName>
    <definedName name="_xlnm._FilterDatabase" localSheetId="22" hidden="1">'תקציב החברה לפיתוח 2022'!$A$4:$AK$131</definedName>
    <definedName name="_xlnm._FilterDatabase" localSheetId="24" hidden="1">'תקציב החברה לפיתוח 2022 פרקים'!$A$4:$AK$137</definedName>
    <definedName name="_xlnm._FilterDatabase" localSheetId="23" hidden="1">'תקציב החברה לפיתוח 2022 תאור'!$A$4:$AK$131</definedName>
    <definedName name="_xlnm._FilterDatabase" localSheetId="51" hidden="1">'תקציב הנדסה 2021'!$A$5:$AG$71</definedName>
    <definedName name="_xlnm._FilterDatabase" localSheetId="18" hidden="1">'תקציב הנדסה 2022 '!$A$4:$AE$57</definedName>
    <definedName name="_xlnm._FilterDatabase" localSheetId="19" hidden="1">'תקציב הנדסה 2022 פרקים'!$A$4:$AE$58</definedName>
    <definedName name="_xlnm._FilterDatabase" localSheetId="27" hidden="1">'תקציב מינהל תפעול 2022'!$A$1:$AM$145</definedName>
    <definedName name="_xlnm._FilterDatabase" localSheetId="29" hidden="1">'תקציב מינהל תפעול 2022 פרקים'!$A$1:$AM$159</definedName>
    <definedName name="_xlnm._FilterDatabase" localSheetId="28" hidden="1">'תקציב מינהל תפעול 2022 תאור'!$A$1:$AM$145</definedName>
    <definedName name="_xlchart.v1.0" hidden="1">'תקציב 2022  אגפים '!$C$8:$C$16</definedName>
    <definedName name="_xlchart.v1.1" hidden="1">'תקציב 2022  אגפים '!$F$8:$F$16</definedName>
    <definedName name="_xlchart.v1.2" hidden="1">'תקציב 2022 פרקים'!$C$8:$C$20</definedName>
    <definedName name="_xlchart.v1.3" hidden="1">'תקציב 2022 פרקים'!$E$8:$E$20</definedName>
    <definedName name="_xlchart.v1.4" hidden="1">'תקציב 2022  מקורות '!$C$8:$C$13</definedName>
    <definedName name="_xlchart.v1.5" hidden="1">'תקציב 2022  מקורות '!$F$8:$F$13</definedName>
    <definedName name="_xlnm.Print_Area" localSheetId="14">'פרוט מקורות אחרים'!$A$1:$O$16</definedName>
    <definedName name="_xlnm.Print_Area" localSheetId="11">'ריכוז אגפים'!$A$1:$Y$16</definedName>
    <definedName name="_xlnm.Print_Area" localSheetId="50">'ריכוז אגפים 2021'!$A$1:$AT$19</definedName>
    <definedName name="_xlnm.Print_Area" localSheetId="13">'ריכוז פרקים'!$A$1:$Y$20</definedName>
    <definedName name="_xlnm.Print_Area" localSheetId="63">'ריכוז תקציב מעבר לתוכנית 2021'!$C$1:$AG$105</definedName>
    <definedName name="_xlnm.Print_Area" localSheetId="8">'תקציב 2022 קרנות הרשות'!$A$1:$H$22</definedName>
    <definedName name="_xlnm.Print_Area" localSheetId="54">'תקציב אגף בטחון פיקוח סד"צ 2021'!$A$1:$AT$8</definedName>
    <definedName name="_xlnm.Print_Area" localSheetId="41">'תקציב אגף המיחשוב 2022'!$A$1:$AB$14</definedName>
    <definedName name="_xlnm.Print_Area" localSheetId="42">'תקציב אגף המיחשוב 2022 פרקים'!$A$1:$AB$18</definedName>
    <definedName name="_xlnm.Print_Area" localSheetId="55">'תקציב אגף חינוך 2021 '!$A$1:$AT$27</definedName>
    <definedName name="_xlnm.Print_Area" localSheetId="31">'תקציב אגף חינוך 2022'!$A$1:$AB$29</definedName>
    <definedName name="_xlnm.Print_Area" localSheetId="32">'תקציב אגף חינוך 2022 פרקים'!$A$1:$AB$28</definedName>
    <definedName name="_xlnm.Print_Area" localSheetId="45">'תקציב אגף נכסים ביטוח 2022 פרק'!$A$1:$AB$17</definedName>
    <definedName name="_xlnm.Print_Area" localSheetId="44">'תקציב אגף נכסים וביטוח 2022 '!$A$1:$AB$17</definedName>
    <definedName name="_xlnm.Print_Area" localSheetId="57">'תקציב אגף שאיפה  2021 '!$A$1:$AT$43</definedName>
    <definedName name="_xlnm.Print_Area" localSheetId="56">'תקציב אגף תנוס 2021 '!$A$1:$AT$15</definedName>
    <definedName name="_xlnm.Print_Area" localSheetId="34">'תקציב אגף תנוס 2022 '!$A$1:$AB$15</definedName>
    <definedName name="_xlnm.Print_Area" localSheetId="35">'תקציב אגף תנוס 2022 פרקים'!$A$1:$AB$17</definedName>
    <definedName name="_xlnm.Print_Area" localSheetId="60">'תקציב אגף תקשוב 2021 '!$A$1:$AT$16</definedName>
    <definedName name="_xlnm.Print_Area" localSheetId="22">'תקציב החברה לפיתוח 2022'!$A$1:$AB$130</definedName>
    <definedName name="_xlnm.Print_Area" localSheetId="24">'תקציב החברה לפיתוח 2022 פרקים'!$A$1:$AB$136</definedName>
    <definedName name="_xlnm.Print_Area" localSheetId="23">'תקציב החברה לפיתוח 2022 תאור'!$A$1:$AB$130</definedName>
    <definedName name="_xlnm.Print_Area" localSheetId="59">'תקציב החברה לתירות 2021 '!$A$1:$AT$12</definedName>
    <definedName name="_xlnm.Print_Area" localSheetId="37">'תקציב החברה לתירות 2022 '!$A$1:$AB$10</definedName>
    <definedName name="_xlnm.Print_Area" localSheetId="38">'תקציב החברה לתירות 2022  פרקים'!$A$1:$AB$10</definedName>
    <definedName name="_xlnm.Print_Area" localSheetId="18">'תקציב הנדסה 2022 '!$A$1:$AB$77</definedName>
    <definedName name="_xlnm.Print_Area" localSheetId="19">'תקציב הנדסה 2022 פרקים'!$A$1:$AB$80</definedName>
    <definedName name="_xlnm.Print_Area" localSheetId="47">'תקציב מינהל כללי 2022  '!$A$1:$AB$14</definedName>
    <definedName name="_xlnm.Print_Area" localSheetId="48">'תקציב מינהל כללי 2022 פרקים'!$A$1:$AB$19</definedName>
    <definedName name="_xlnm.Print_Area" localSheetId="27">'תקציב מינהל תפעול 2022'!$A$1:$AB$127</definedName>
    <definedName name="_xlnm.Print_Area" localSheetId="29">'תקציב מינהל תפעול 2022 פרקים'!$A$1:$AB$141</definedName>
    <definedName name="_xlnm.Print_Area" localSheetId="28">'תקציב מינהל תפעול 2022 תאור'!$A$1:$AB$127</definedName>
    <definedName name="_xlnm.Print_Area" localSheetId="58">'תקציב רשות החופים 2021 '!$A$1:$AT$20</definedName>
    <definedName name="_xlnm.Print_Titles" localSheetId="64">'פרויקטים החב. לפיתוח '!$2:$5</definedName>
    <definedName name="_xlnm.Print_Titles" localSheetId="11">'ריכוז אגפים'!$2:$5</definedName>
    <definedName name="_xlnm.Print_Titles" localSheetId="50">'ריכוז אגפים 2021'!$2:$5</definedName>
    <definedName name="_xlnm.Print_Titles" localSheetId="13">'ריכוז פרקים'!$2:$5</definedName>
    <definedName name="_xlnm.Print_Titles" localSheetId="63">'ריכוז תקציב מעבר לתוכנית 2021'!$2:$5</definedName>
    <definedName name="_xlnm.Print_Titles" localSheetId="54">'תקציב אגף בטחון פיקוח סד"צ 2021'!$1:$5</definedName>
    <definedName name="_xlnm.Print_Titles" localSheetId="41">'תקציב אגף המיחשוב 2022'!$2:$4</definedName>
    <definedName name="_xlnm.Print_Titles" localSheetId="42">'תקציב אגף המיחשוב 2022 פרקים'!$2:$4</definedName>
    <definedName name="_xlnm.Print_Titles" localSheetId="55">'תקציב אגף חינוך 2021 '!$1:$5</definedName>
    <definedName name="_xlnm.Print_Titles" localSheetId="31">'תקציב אגף חינוך 2022'!$1:$4</definedName>
    <definedName name="_xlnm.Print_Titles" localSheetId="32">'תקציב אגף חינוך 2022 פרקים'!$1:$4</definedName>
    <definedName name="_xlnm.Print_Titles" localSheetId="45">'תקציב אגף נכסים ביטוח 2022 פרק'!$1:$4</definedName>
    <definedName name="_xlnm.Print_Titles" localSheetId="61">'תקציב אגף נכסים וביטוח 2021'!$1:$5</definedName>
    <definedName name="_xlnm.Print_Titles" localSheetId="44">'תקציב אגף נכסים וביטוח 2022 '!$1:$4</definedName>
    <definedName name="_xlnm.Print_Titles" localSheetId="57">'תקציב אגף שאיפה  2021 '!$1:$5</definedName>
    <definedName name="_xlnm.Print_Titles" localSheetId="53">'תקציב אגף ת.ב.ל 2021  '!$1:$5</definedName>
    <definedName name="_xlnm.Print_Titles" localSheetId="56">'תקציב אגף תנוס 2021 '!$1:$5</definedName>
    <definedName name="_xlnm.Print_Titles" localSheetId="34">'תקציב אגף תנוס 2022 '!$1:$4</definedName>
    <definedName name="_xlnm.Print_Titles" localSheetId="35">'תקציב אגף תנוס 2022 פרקים'!$1:$4</definedName>
    <definedName name="_xlnm.Print_Titles" localSheetId="60">'תקציב אגף תקשוב 2021 '!$2:$5</definedName>
    <definedName name="_xlnm.Print_Titles" localSheetId="52">'תקציב החברה לפיתוח 2021 '!$1:$5</definedName>
    <definedName name="_xlnm.Print_Titles" localSheetId="22">'תקציב החברה לפיתוח 2022'!$1:$4</definedName>
    <definedName name="_xlnm.Print_Titles" localSheetId="24">'תקציב החברה לפיתוח 2022 פרקים'!$1:$4</definedName>
    <definedName name="_xlnm.Print_Titles" localSheetId="23">'תקציב החברה לפיתוח 2022 תאור'!$1:$4</definedName>
    <definedName name="_xlnm.Print_Titles" localSheetId="59">'תקציב החברה לתירות 2021 '!$1:$5</definedName>
    <definedName name="_xlnm.Print_Titles" localSheetId="37">'תקציב החברה לתירות 2022 '!$1:$4</definedName>
    <definedName name="_xlnm.Print_Titles" localSheetId="38">'תקציב החברה לתירות 2022  פרקים'!$1:$4</definedName>
    <definedName name="_xlnm.Print_Titles" localSheetId="51">'תקציב הנדסה 2021'!$1:$5</definedName>
    <definedName name="_xlnm.Print_Titles" localSheetId="18">'תקציב הנדסה 2022 '!$1:$4</definedName>
    <definedName name="_xlnm.Print_Titles" localSheetId="19">'תקציב הנדסה 2022 פרקים'!$1:$4</definedName>
    <definedName name="_xlnm.Print_Titles" localSheetId="62">'תקציב מינהל כללי 2021  '!$1:$5</definedName>
    <definedName name="_xlnm.Print_Titles" localSheetId="47">'תקציב מינהל כללי 2022  '!$1:$4</definedName>
    <definedName name="_xlnm.Print_Titles" localSheetId="48">'תקציב מינהל כללי 2022 פרקים'!$1:$4</definedName>
    <definedName name="_xlnm.Print_Titles" localSheetId="27">'תקציב מינהל תפעול 2022'!$2:$4</definedName>
    <definedName name="_xlnm.Print_Titles" localSheetId="29">'תקציב מינהל תפעול 2022 פרקים'!$2:$4</definedName>
    <definedName name="_xlnm.Print_Titles" localSheetId="28">'תקציב מינהל תפעול 2022 תאור'!$2:$4</definedName>
    <definedName name="_xlnm.Print_Titles" localSheetId="58">'תקציב רשות החופים 2021 '!$1:$5</definedName>
    <definedName name="Z_A9E2E6B4_8EA3_4931_885C_2FCCB5ED2D6B_.wvu.FilterData" localSheetId="22" hidden="1">'תקציב החברה לפיתוח 2022'!$A$4:$AK$131</definedName>
    <definedName name="Z_A9E2E6B4_8EA3_4931_885C_2FCCB5ED2D6B_.wvu.FilterData" localSheetId="24" hidden="1">'תקציב החברה לפיתוח 2022 פרקים'!$A$4:$AK$137</definedName>
    <definedName name="Z_A9E2E6B4_8EA3_4931_885C_2FCCB5ED2D6B_.wvu.FilterData" localSheetId="23" hidden="1">'תקציב החברה לפיתוח 2022 תאור'!$A$4:$AK$131</definedName>
    <definedName name="Z_A9E2E6B4_8EA3_4931_885C_2FCCB5ED2D6B_.wvu.PrintTitles" localSheetId="22" hidden="1">'תקציב החברה לפיתוח 2022'!$1:$4</definedName>
    <definedName name="Z_A9E2E6B4_8EA3_4931_885C_2FCCB5ED2D6B_.wvu.PrintTitles" localSheetId="24" hidden="1">'תקציב החברה לפיתוח 2022 פרקים'!$1:$4</definedName>
    <definedName name="Z_A9E2E6B4_8EA3_4931_885C_2FCCB5ED2D6B_.wvu.PrintTitles" localSheetId="23" hidden="1">'תקציב החברה לפיתוח 2022 תאור'!$1:$4</definedName>
  </definedNames>
  <calcPr calcId="191029"/>
</workbook>
</file>

<file path=xl/calcChain.xml><?xml version="1.0" encoding="utf-8"?>
<calcChain xmlns="http://schemas.openxmlformats.org/spreadsheetml/2006/main">
  <c r="AG69" i="297" l="1"/>
  <c r="AG67" i="297"/>
  <c r="D27" i="274" l="1"/>
  <c r="H13" i="44" l="1"/>
  <c r="A7" i="279" l="1"/>
  <c r="A8" i="279" s="1"/>
  <c r="A9" i="279" s="1"/>
  <c r="A10" i="279" s="1"/>
  <c r="A11" i="279" s="1"/>
  <c r="A12" i="279" s="1"/>
  <c r="A13" i="279" s="1"/>
  <c r="A6" i="279"/>
  <c r="C126" i="176" l="1"/>
  <c r="C117" i="297"/>
  <c r="Q116" i="297"/>
  <c r="P116" i="297"/>
  <c r="O116" i="297"/>
  <c r="M116" i="297"/>
  <c r="K116" i="297"/>
  <c r="H116" i="297"/>
  <c r="G116" i="297"/>
  <c r="S115" i="297"/>
  <c r="R115" i="297"/>
  <c r="Q115" i="297"/>
  <c r="P115" i="297"/>
  <c r="O115" i="297"/>
  <c r="N115" i="297"/>
  <c r="M115" i="297"/>
  <c r="L115" i="297"/>
  <c r="K115" i="297"/>
  <c r="J115" i="297"/>
  <c r="I115" i="297"/>
  <c r="H115" i="297"/>
  <c r="G115" i="297"/>
  <c r="F115" i="297"/>
  <c r="C115" i="297"/>
  <c r="S114" i="297"/>
  <c r="R114" i="297"/>
  <c r="Q114" i="297"/>
  <c r="P114" i="297"/>
  <c r="O114" i="297"/>
  <c r="N114" i="297"/>
  <c r="M114" i="297"/>
  <c r="L114" i="297"/>
  <c r="K114" i="297"/>
  <c r="J114" i="297"/>
  <c r="I114" i="297"/>
  <c r="H114" i="297"/>
  <c r="G114" i="297"/>
  <c r="F114" i="297"/>
  <c r="C114" i="297"/>
  <c r="S113" i="297"/>
  <c r="R113" i="297"/>
  <c r="R116" i="297" s="1"/>
  <c r="Q113" i="297"/>
  <c r="P113" i="297"/>
  <c r="O113" i="297"/>
  <c r="N113" i="297"/>
  <c r="M113" i="297"/>
  <c r="L113" i="297"/>
  <c r="K113" i="297"/>
  <c r="J113" i="297"/>
  <c r="I113" i="297"/>
  <c r="H113" i="297"/>
  <c r="G113" i="297"/>
  <c r="F113" i="297"/>
  <c r="C113" i="297"/>
  <c r="S112" i="297"/>
  <c r="Q112" i="297"/>
  <c r="P112" i="297"/>
  <c r="O112" i="297"/>
  <c r="N112" i="297"/>
  <c r="M112" i="297"/>
  <c r="K112" i="297"/>
  <c r="J112" i="297"/>
  <c r="I112" i="297"/>
  <c r="H112" i="297"/>
  <c r="G112" i="297"/>
  <c r="F112" i="297"/>
  <c r="C112" i="297"/>
  <c r="S111" i="297"/>
  <c r="Q111" i="297"/>
  <c r="P111" i="297"/>
  <c r="O111" i="297"/>
  <c r="N111" i="297"/>
  <c r="M111" i="297"/>
  <c r="L111" i="297"/>
  <c r="K111" i="297"/>
  <c r="J111" i="297"/>
  <c r="I111" i="297"/>
  <c r="H111" i="297"/>
  <c r="G111" i="297"/>
  <c r="F111" i="297"/>
  <c r="C111" i="297"/>
  <c r="S110" i="297"/>
  <c r="Q110" i="297"/>
  <c r="P110" i="297"/>
  <c r="O110" i="297"/>
  <c r="N110" i="297"/>
  <c r="M110" i="297"/>
  <c r="L110" i="297"/>
  <c r="K110" i="297"/>
  <c r="J110" i="297"/>
  <c r="I110" i="297"/>
  <c r="H110" i="297"/>
  <c r="G110" i="297"/>
  <c r="F110" i="297"/>
  <c r="C110" i="297"/>
  <c r="S109" i="297"/>
  <c r="Q109" i="297"/>
  <c r="P109" i="297"/>
  <c r="O109" i="297"/>
  <c r="N109" i="297"/>
  <c r="M109" i="297"/>
  <c r="L109" i="297"/>
  <c r="L116" i="297" s="1"/>
  <c r="K109" i="297"/>
  <c r="J109" i="297"/>
  <c r="I109" i="297"/>
  <c r="H109" i="297"/>
  <c r="G109" i="297"/>
  <c r="F109" i="297"/>
  <c r="C109" i="297"/>
  <c r="S108" i="297"/>
  <c r="Q108" i="297"/>
  <c r="P108" i="297"/>
  <c r="O108" i="297"/>
  <c r="N108" i="297"/>
  <c r="M108" i="297"/>
  <c r="K108" i="297"/>
  <c r="J108" i="297"/>
  <c r="I108" i="297"/>
  <c r="H108" i="297"/>
  <c r="G108" i="297"/>
  <c r="F108" i="297"/>
  <c r="C108" i="297"/>
  <c r="S107" i="297"/>
  <c r="S116" i="297" s="1"/>
  <c r="Q107" i="297"/>
  <c r="P107" i="297"/>
  <c r="O107" i="297"/>
  <c r="N107" i="297"/>
  <c r="N116" i="297" s="1"/>
  <c r="M107" i="297"/>
  <c r="K107" i="297"/>
  <c r="J107" i="297"/>
  <c r="J116" i="297" s="1"/>
  <c r="I107" i="297"/>
  <c r="I116" i="297" s="1"/>
  <c r="H107" i="297"/>
  <c r="G107" i="297"/>
  <c r="F107" i="297"/>
  <c r="F116" i="297" s="1"/>
  <c r="C107" i="297"/>
  <c r="C116" i="297" s="1"/>
  <c r="AF104" i="297"/>
  <c r="C104" i="297"/>
  <c r="AB103" i="297"/>
  <c r="AG102" i="297"/>
  <c r="AF102" i="297"/>
  <c r="AE102" i="297"/>
  <c r="AD102" i="297"/>
  <c r="X102" i="297"/>
  <c r="W102" i="297"/>
  <c r="V102" i="297"/>
  <c r="U102" i="297"/>
  <c r="AB102" i="297" s="1"/>
  <c r="S102" i="297"/>
  <c r="Q102" i="297"/>
  <c r="N102" i="297"/>
  <c r="L102" i="297"/>
  <c r="J102" i="297"/>
  <c r="I102" i="297"/>
  <c r="G102" i="297"/>
  <c r="F102" i="297"/>
  <c r="C102" i="297"/>
  <c r="AE101" i="297"/>
  <c r="AB101" i="297"/>
  <c r="M101" i="297"/>
  <c r="K101" i="297"/>
  <c r="K102" i="297" s="1"/>
  <c r="H101" i="297"/>
  <c r="H102" i="297" s="1"/>
  <c r="AB100" i="297"/>
  <c r="AB99" i="297"/>
  <c r="AG98" i="297"/>
  <c r="AF98" i="297"/>
  <c r="AD98" i="297"/>
  <c r="AA98" i="297"/>
  <c r="Z98" i="297"/>
  <c r="Y98" i="297"/>
  <c r="X98" i="297"/>
  <c r="W98" i="297"/>
  <c r="V98" i="297"/>
  <c r="U98" i="297"/>
  <c r="S98" i="297"/>
  <c r="P98" i="297"/>
  <c r="O98" i="297"/>
  <c r="N98" i="297"/>
  <c r="L98" i="297"/>
  <c r="K98" i="297"/>
  <c r="J98" i="297"/>
  <c r="I98" i="297"/>
  <c r="H98" i="297"/>
  <c r="G98" i="297"/>
  <c r="F98" i="297"/>
  <c r="C98" i="297"/>
  <c r="AE97" i="297"/>
  <c r="AE98" i="297" s="1"/>
  <c r="AC97" i="297"/>
  <c r="AC98" i="297" s="1"/>
  <c r="AB97" i="297"/>
  <c r="AB98" i="297" s="1"/>
  <c r="O97" i="297"/>
  <c r="Q97" i="297" s="1"/>
  <c r="Q98" i="297" s="1"/>
  <c r="M97" i="297"/>
  <c r="M98" i="297" s="1"/>
  <c r="K97" i="297"/>
  <c r="H97" i="297"/>
  <c r="AB96" i="297"/>
  <c r="AB95" i="297"/>
  <c r="AG94" i="297"/>
  <c r="AF94" i="297"/>
  <c r="AD94" i="297"/>
  <c r="AA94" i="297"/>
  <c r="Z94" i="297"/>
  <c r="Y94" i="297"/>
  <c r="X94" i="297"/>
  <c r="W94" i="297"/>
  <c r="V94" i="297"/>
  <c r="U94" i="297"/>
  <c r="Q94" i="297"/>
  <c r="N94" i="297"/>
  <c r="M94" i="297"/>
  <c r="L94" i="297"/>
  <c r="J94" i="297"/>
  <c r="I94" i="297"/>
  <c r="G94" i="297"/>
  <c r="F94" i="297"/>
  <c r="C94" i="297"/>
  <c r="AE93" i="297"/>
  <c r="AE94" i="297" s="1"/>
  <c r="AB93" i="297"/>
  <c r="AB94" i="297" s="1"/>
  <c r="S93" i="297"/>
  <c r="S94" i="297" s="1"/>
  <c r="O93" i="297"/>
  <c r="O94" i="297" s="1"/>
  <c r="M93" i="297"/>
  <c r="K93" i="297"/>
  <c r="K94" i="297" s="1"/>
  <c r="H93" i="297"/>
  <c r="H94" i="297" s="1"/>
  <c r="AB92" i="297"/>
  <c r="AB91" i="297"/>
  <c r="AC91" i="297" s="1"/>
  <c r="AG90" i="297"/>
  <c r="AF90" i="297"/>
  <c r="AD90" i="297"/>
  <c r="X90" i="297"/>
  <c r="W90" i="297"/>
  <c r="W104" i="297" s="1"/>
  <c r="V90" i="297"/>
  <c r="U90" i="297"/>
  <c r="S90" i="297"/>
  <c r="Q90" i="297"/>
  <c r="N90" i="297"/>
  <c r="M90" i="297"/>
  <c r="L90" i="297"/>
  <c r="J90" i="297"/>
  <c r="I90" i="297"/>
  <c r="H90" i="297"/>
  <c r="G90" i="297"/>
  <c r="F90" i="297"/>
  <c r="C90" i="297"/>
  <c r="AE89" i="297"/>
  <c r="AE90" i="297" s="1"/>
  <c r="AB89" i="297"/>
  <c r="P89" i="297"/>
  <c r="P90" i="297" s="1"/>
  <c r="O89" i="297"/>
  <c r="M89" i="297"/>
  <c r="K89" i="297"/>
  <c r="K90" i="297" s="1"/>
  <c r="H89" i="297"/>
  <c r="AB88" i="297"/>
  <c r="AB87" i="297"/>
  <c r="AG86" i="297"/>
  <c r="AF86" i="297"/>
  <c r="AD86" i="297"/>
  <c r="AB86" i="297"/>
  <c r="AA86" i="297"/>
  <c r="Z86" i="297"/>
  <c r="Y86" i="297"/>
  <c r="X86" i="297"/>
  <c r="W86" i="297"/>
  <c r="V86" i="297"/>
  <c r="U86" i="297"/>
  <c r="S86" i="297"/>
  <c r="Q86" i="297"/>
  <c r="N86" i="297"/>
  <c r="M86" i="297"/>
  <c r="L86" i="297"/>
  <c r="J86" i="297"/>
  <c r="I86" i="297"/>
  <c r="G86" i="297"/>
  <c r="F86" i="297"/>
  <c r="C86" i="297"/>
  <c r="AB85" i="297"/>
  <c r="AE85" i="297" s="1"/>
  <c r="AE86" i="297" s="1"/>
  <c r="P85" i="297"/>
  <c r="P86" i="297" s="1"/>
  <c r="M85" i="297"/>
  <c r="O85" i="297" s="1"/>
  <c r="K85" i="297"/>
  <c r="K86" i="297" s="1"/>
  <c r="H85" i="297"/>
  <c r="H86" i="297" s="1"/>
  <c r="AB84" i="297"/>
  <c r="AB83" i="297"/>
  <c r="AG82" i="297"/>
  <c r="AF82" i="297"/>
  <c r="AD82" i="297"/>
  <c r="AA82" i="297"/>
  <c r="Z82" i="297"/>
  <c r="Y82" i="297"/>
  <c r="X82" i="297"/>
  <c r="W82" i="297"/>
  <c r="V82" i="297"/>
  <c r="U82" i="297"/>
  <c r="S82" i="297"/>
  <c r="Q82" i="297"/>
  <c r="N82" i="297"/>
  <c r="N104" i="297" s="1"/>
  <c r="N117" i="297" s="1"/>
  <c r="L82" i="297"/>
  <c r="J82" i="297"/>
  <c r="I82" i="297"/>
  <c r="G82" i="297"/>
  <c r="F82" i="297"/>
  <c r="C82" i="297"/>
  <c r="AB81" i="297"/>
  <c r="AE81" i="297" s="1"/>
  <c r="AE82" i="297" s="1"/>
  <c r="M81" i="297"/>
  <c r="K81" i="297"/>
  <c r="K82" i="297" s="1"/>
  <c r="H81" i="297"/>
  <c r="H82" i="297" s="1"/>
  <c r="AB80" i="297"/>
  <c r="AB79" i="297"/>
  <c r="AG78" i="297"/>
  <c r="AF78" i="297"/>
  <c r="AD78" i="297"/>
  <c r="AA78" i="297"/>
  <c r="Z78" i="297"/>
  <c r="Y78" i="297"/>
  <c r="X78" i="297"/>
  <c r="W78" i="297"/>
  <c r="V78" i="297"/>
  <c r="U78" i="297"/>
  <c r="S78" i="297"/>
  <c r="N78" i="297"/>
  <c r="L78" i="297"/>
  <c r="H78" i="297"/>
  <c r="G78" i="297"/>
  <c r="AE77" i="297"/>
  <c r="AC77" i="297"/>
  <c r="AB77" i="297"/>
  <c r="O77" i="297"/>
  <c r="Q77" i="297" s="1"/>
  <c r="M77" i="297"/>
  <c r="J77" i="297"/>
  <c r="I77" i="297"/>
  <c r="H77" i="297"/>
  <c r="F77" i="297"/>
  <c r="AE76" i="297"/>
  <c r="AB76" i="297"/>
  <c r="M76" i="297"/>
  <c r="O76" i="297" s="1"/>
  <c r="J76" i="297"/>
  <c r="J78" i="297" s="1"/>
  <c r="H76" i="297"/>
  <c r="F76" i="297"/>
  <c r="C76" i="297"/>
  <c r="AB75" i="297"/>
  <c r="M75" i="297"/>
  <c r="K75" i="297"/>
  <c r="I75" i="297"/>
  <c r="I78" i="297" s="1"/>
  <c r="H75" i="297"/>
  <c r="AB74" i="297"/>
  <c r="AB73" i="297"/>
  <c r="AG72" i="297"/>
  <c r="AF72" i="297"/>
  <c r="AD72" i="297"/>
  <c r="AA72" i="297"/>
  <c r="Z72" i="297"/>
  <c r="Y72" i="297"/>
  <c r="X72" i="297"/>
  <c r="W72" i="297"/>
  <c r="V72" i="297"/>
  <c r="U72" i="297"/>
  <c r="Q72" i="297"/>
  <c r="N72" i="297"/>
  <c r="L72" i="297"/>
  <c r="K72" i="297"/>
  <c r="J72" i="297"/>
  <c r="G72" i="297"/>
  <c r="F72" i="297"/>
  <c r="AE71" i="297"/>
  <c r="AB71" i="297"/>
  <c r="O71" i="297"/>
  <c r="M71" i="297"/>
  <c r="K71" i="297"/>
  <c r="H71" i="297"/>
  <c r="AE70" i="297"/>
  <c r="AB70" i="297"/>
  <c r="P70" i="297"/>
  <c r="O70" i="297"/>
  <c r="AC70" i="297" s="1"/>
  <c r="M70" i="297"/>
  <c r="K70" i="297"/>
  <c r="H70" i="297"/>
  <c r="AB69" i="297"/>
  <c r="AE69" i="297" s="1"/>
  <c r="P69" i="297"/>
  <c r="O69" i="297"/>
  <c r="AC69" i="297" s="1"/>
  <c r="M69" i="297"/>
  <c r="K69" i="297"/>
  <c r="H69" i="297"/>
  <c r="AC68" i="297"/>
  <c r="AB68" i="297"/>
  <c r="AE68" i="297" s="1"/>
  <c r="M68" i="297"/>
  <c r="O68" i="297" s="1"/>
  <c r="P68" i="297" s="1"/>
  <c r="K68" i="297"/>
  <c r="I68" i="297"/>
  <c r="I72" i="297" s="1"/>
  <c r="H68" i="297"/>
  <c r="AE67" i="297"/>
  <c r="AB67" i="297"/>
  <c r="P67" i="297"/>
  <c r="O67" i="297"/>
  <c r="AC67" i="297" s="1"/>
  <c r="M67" i="297"/>
  <c r="K67" i="297"/>
  <c r="H67" i="297"/>
  <c r="AB66" i="297"/>
  <c r="AE66" i="297" s="1"/>
  <c r="S66" i="297"/>
  <c r="S72" i="297" s="1"/>
  <c r="M66" i="297"/>
  <c r="O66" i="297" s="1"/>
  <c r="K66" i="297"/>
  <c r="H66" i="297"/>
  <c r="AE65" i="297"/>
  <c r="AC65" i="297"/>
  <c r="AB65" i="297"/>
  <c r="M65" i="297"/>
  <c r="O65" i="297" s="1"/>
  <c r="K65" i="297"/>
  <c r="H65" i="297"/>
  <c r="C65" i="297"/>
  <c r="AE64" i="297"/>
  <c r="AB64" i="297"/>
  <c r="P64" i="297"/>
  <c r="O64" i="297"/>
  <c r="AC64" i="297" s="1"/>
  <c r="M64" i="297"/>
  <c r="K64" i="297"/>
  <c r="H64" i="297"/>
  <c r="H72" i="297" s="1"/>
  <c r="AB63" i="297"/>
  <c r="AB62" i="297"/>
  <c r="AG61" i="297"/>
  <c r="AF61" i="297"/>
  <c r="AD61" i="297"/>
  <c r="X61" i="297"/>
  <c r="W61" i="297"/>
  <c r="V61" i="297"/>
  <c r="U61" i="297"/>
  <c r="AB61" i="297" s="1"/>
  <c r="S61" i="297"/>
  <c r="Q61" i="297"/>
  <c r="N61" i="297"/>
  <c r="L61" i="297"/>
  <c r="J61" i="297"/>
  <c r="I61" i="297"/>
  <c r="G61" i="297"/>
  <c r="F61" i="297"/>
  <c r="C61" i="297"/>
  <c r="AC60" i="297"/>
  <c r="AB60" i="297"/>
  <c r="AE60" i="297" s="1"/>
  <c r="M60" i="297"/>
  <c r="O60" i="297" s="1"/>
  <c r="P60" i="297" s="1"/>
  <c r="K60" i="297"/>
  <c r="H60" i="297"/>
  <c r="AB59" i="297"/>
  <c r="AE59" i="297" s="1"/>
  <c r="AE61" i="297" s="1"/>
  <c r="M59" i="297"/>
  <c r="K59" i="297"/>
  <c r="K61" i="297" s="1"/>
  <c r="H59" i="297"/>
  <c r="H61" i="297" s="1"/>
  <c r="AB58" i="297"/>
  <c r="AB57" i="297"/>
  <c r="AG56" i="297"/>
  <c r="AF56" i="297"/>
  <c r="AD56" i="297"/>
  <c r="Z56" i="297"/>
  <c r="Y56" i="297"/>
  <c r="X56" i="297"/>
  <c r="W56" i="297"/>
  <c r="V56" i="297"/>
  <c r="U56" i="297"/>
  <c r="S56" i="297"/>
  <c r="R56" i="297"/>
  <c r="N56" i="297"/>
  <c r="L56" i="297"/>
  <c r="G56" i="297"/>
  <c r="O55" i="297"/>
  <c r="M55" i="297"/>
  <c r="K55" i="297"/>
  <c r="H55" i="297"/>
  <c r="AB54" i="297"/>
  <c r="AE54" i="297" s="1"/>
  <c r="P54" i="297"/>
  <c r="O54" i="297"/>
  <c r="M54" i="297"/>
  <c r="K54" i="297"/>
  <c r="H54" i="297"/>
  <c r="AB53" i="297"/>
  <c r="AE53" i="297" s="1"/>
  <c r="M53" i="297"/>
  <c r="O53" i="297" s="1"/>
  <c r="K53" i="297"/>
  <c r="H53" i="297"/>
  <c r="AE52" i="297"/>
  <c r="AB52" i="297"/>
  <c r="M52" i="297"/>
  <c r="O52" i="297" s="1"/>
  <c r="J52" i="297"/>
  <c r="I52" i="297"/>
  <c r="K52" i="297" s="1"/>
  <c r="H52" i="297"/>
  <c r="AC51" i="297"/>
  <c r="AB51" i="297"/>
  <c r="AE51" i="297" s="1"/>
  <c r="M51" i="297"/>
  <c r="O51" i="297" s="1"/>
  <c r="P51" i="297" s="1"/>
  <c r="K51" i="297"/>
  <c r="H51" i="297"/>
  <c r="AE50" i="297"/>
  <c r="AB50" i="297"/>
  <c r="O50" i="297"/>
  <c r="M50" i="297"/>
  <c r="K50" i="297"/>
  <c r="H50" i="297"/>
  <c r="AE49" i="297"/>
  <c r="AB49" i="297"/>
  <c r="J49" i="297"/>
  <c r="M49" i="297" s="1"/>
  <c r="O49" i="297" s="1"/>
  <c r="I49" i="297"/>
  <c r="H49" i="297"/>
  <c r="AB48" i="297"/>
  <c r="AE48" i="297" s="1"/>
  <c r="M48" i="297"/>
  <c r="O48" i="297" s="1"/>
  <c r="P48" i="297" s="1"/>
  <c r="K48" i="297"/>
  <c r="H48" i="297"/>
  <c r="AE47" i="297"/>
  <c r="AB47" i="297"/>
  <c r="M47" i="297"/>
  <c r="O47" i="297" s="1"/>
  <c r="P47" i="297" s="1"/>
  <c r="K47" i="297"/>
  <c r="H47" i="297"/>
  <c r="AE46" i="297"/>
  <c r="AB46" i="297"/>
  <c r="M46" i="297"/>
  <c r="O46" i="297" s="1"/>
  <c r="P46" i="297" s="1"/>
  <c r="K46" i="297"/>
  <c r="H46" i="297"/>
  <c r="AE45" i="297"/>
  <c r="AC45" i="297"/>
  <c r="AB45" i="297"/>
  <c r="O45" i="297"/>
  <c r="P45" i="297" s="1"/>
  <c r="M45" i="297"/>
  <c r="K45" i="297"/>
  <c r="H45" i="297"/>
  <c r="AE44" i="297"/>
  <c r="AB44" i="297"/>
  <c r="P44" i="297"/>
  <c r="O44" i="297"/>
  <c r="AC44" i="297" s="1"/>
  <c r="M44" i="297"/>
  <c r="K44" i="297"/>
  <c r="H44" i="297"/>
  <c r="AB43" i="297"/>
  <c r="AE43" i="297" s="1"/>
  <c r="P43" i="297"/>
  <c r="O43" i="297"/>
  <c r="M43" i="297"/>
  <c r="K43" i="297"/>
  <c r="H43" i="297"/>
  <c r="AB42" i="297"/>
  <c r="AE42" i="297" s="1"/>
  <c r="M42" i="297"/>
  <c r="O42" i="297" s="1"/>
  <c r="K42" i="297"/>
  <c r="J42" i="297"/>
  <c r="I42" i="297"/>
  <c r="H42" i="297"/>
  <c r="AB41" i="297"/>
  <c r="AE41" i="297" s="1"/>
  <c r="K41" i="297"/>
  <c r="J41" i="297"/>
  <c r="M41" i="297" s="1"/>
  <c r="O41" i="297" s="1"/>
  <c r="H41" i="297"/>
  <c r="F41" i="297"/>
  <c r="AE40" i="297"/>
  <c r="AB40" i="297"/>
  <c r="O40" i="297"/>
  <c r="M40" i="297"/>
  <c r="H40" i="297"/>
  <c r="F40" i="297"/>
  <c r="K40" i="297" s="1"/>
  <c r="AC39" i="297"/>
  <c r="AB39" i="297"/>
  <c r="AE39" i="297" s="1"/>
  <c r="M39" i="297"/>
  <c r="O39" i="297" s="1"/>
  <c r="Q39" i="297" s="1"/>
  <c r="K39" i="297"/>
  <c r="H39" i="297"/>
  <c r="AE38" i="297"/>
  <c r="AB38" i="297"/>
  <c r="M38" i="297"/>
  <c r="O38" i="297" s="1"/>
  <c r="K38" i="297"/>
  <c r="H38" i="297"/>
  <c r="AE37" i="297"/>
  <c r="AB37" i="297"/>
  <c r="O37" i="297"/>
  <c r="M37" i="297"/>
  <c r="I37" i="297"/>
  <c r="K37" i="297" s="1"/>
  <c r="H37" i="297"/>
  <c r="AC36" i="297"/>
  <c r="AB36" i="297"/>
  <c r="AE36" i="297" s="1"/>
  <c r="M36" i="297"/>
  <c r="O36" i="297" s="1"/>
  <c r="Q36" i="297" s="1"/>
  <c r="J36" i="297"/>
  <c r="F36" i="297"/>
  <c r="AB35" i="297"/>
  <c r="AE35" i="297" s="1"/>
  <c r="Q35" i="297"/>
  <c r="K35" i="297"/>
  <c r="J35" i="297"/>
  <c r="M35" i="297" s="1"/>
  <c r="O35" i="297" s="1"/>
  <c r="AC35" i="297" s="1"/>
  <c r="H35" i="297"/>
  <c r="F35" i="297"/>
  <c r="AE34" i="297"/>
  <c r="AB34" i="297"/>
  <c r="O34" i="297"/>
  <c r="J34" i="297"/>
  <c r="M34" i="297" s="1"/>
  <c r="I34" i="297"/>
  <c r="H34" i="297"/>
  <c r="F34" i="297"/>
  <c r="K34" i="297" s="1"/>
  <c r="AE33" i="297"/>
  <c r="AB33" i="297"/>
  <c r="Q33" i="297"/>
  <c r="O33" i="297"/>
  <c r="AC33" i="297" s="1"/>
  <c r="J33" i="297"/>
  <c r="M33" i="297" s="1"/>
  <c r="I33" i="297"/>
  <c r="K33" i="297" s="1"/>
  <c r="H33" i="297"/>
  <c r="AE32" i="297"/>
  <c r="AB32" i="297"/>
  <c r="O32" i="297"/>
  <c r="M32" i="297"/>
  <c r="J32" i="297"/>
  <c r="I32" i="297"/>
  <c r="H32" i="297"/>
  <c r="F32" i="297"/>
  <c r="AE31" i="297"/>
  <c r="AC31" i="297"/>
  <c r="AB31" i="297"/>
  <c r="O31" i="297"/>
  <c r="Q31" i="297" s="1"/>
  <c r="M31" i="297"/>
  <c r="K31" i="297"/>
  <c r="J31" i="297"/>
  <c r="H31" i="297"/>
  <c r="AB30" i="297"/>
  <c r="AE30" i="297" s="1"/>
  <c r="J30" i="297"/>
  <c r="I30" i="297"/>
  <c r="I56" i="297" s="1"/>
  <c r="F30" i="297"/>
  <c r="C30" i="297"/>
  <c r="AB29" i="297"/>
  <c r="AE29" i="297" s="1"/>
  <c r="P29" i="297"/>
  <c r="O29" i="297"/>
  <c r="AC29" i="297" s="1"/>
  <c r="M29" i="297"/>
  <c r="K29" i="297"/>
  <c r="H29" i="297"/>
  <c r="C29" i="297"/>
  <c r="AB28" i="297"/>
  <c r="M28" i="297"/>
  <c r="K28" i="297"/>
  <c r="H28" i="297"/>
  <c r="AB27" i="297"/>
  <c r="AB26" i="297"/>
  <c r="AG25" i="297"/>
  <c r="AF25" i="297"/>
  <c r="AE25" i="297"/>
  <c r="AA25" i="297"/>
  <c r="Y25" i="297"/>
  <c r="X25" i="297"/>
  <c r="W25" i="297"/>
  <c r="V25" i="297"/>
  <c r="U25" i="297"/>
  <c r="S25" i="297"/>
  <c r="R25" i="297"/>
  <c r="Q25" i="297"/>
  <c r="N25" i="297"/>
  <c r="C25" i="297"/>
  <c r="AD24" i="297"/>
  <c r="AB24" i="297"/>
  <c r="P24" i="297"/>
  <c r="O24" i="297"/>
  <c r="AC24" i="297" s="1"/>
  <c r="M24" i="297"/>
  <c r="I24" i="297"/>
  <c r="K24" i="297" s="1"/>
  <c r="H24" i="297"/>
  <c r="L24" i="297" s="1"/>
  <c r="G24" i="297"/>
  <c r="AD23" i="297"/>
  <c r="AC23" i="297"/>
  <c r="AB23" i="297"/>
  <c r="M23" i="297"/>
  <c r="O23" i="297" s="1"/>
  <c r="P23" i="297" s="1"/>
  <c r="I23" i="297"/>
  <c r="K23" i="297" s="1"/>
  <c r="H23" i="297"/>
  <c r="L23" i="297" s="1"/>
  <c r="G23" i="297"/>
  <c r="AD22" i="297"/>
  <c r="Y22" i="297"/>
  <c r="P22" i="297"/>
  <c r="O22" i="297"/>
  <c r="Z22" i="297" s="1"/>
  <c r="M22" i="297"/>
  <c r="I22" i="297"/>
  <c r="K22" i="297" s="1"/>
  <c r="H22" i="297"/>
  <c r="G22" i="297"/>
  <c r="AB21" i="297"/>
  <c r="AD21" i="297" s="1"/>
  <c r="O21" i="297"/>
  <c r="K21" i="297"/>
  <c r="H21" i="297"/>
  <c r="L21" i="297" s="1"/>
  <c r="G21" i="297"/>
  <c r="AD20" i="297"/>
  <c r="AB20" i="297"/>
  <c r="Y20" i="297"/>
  <c r="M20" i="297"/>
  <c r="O20" i="297" s="1"/>
  <c r="P20" i="297" s="1"/>
  <c r="J20" i="297"/>
  <c r="G20" i="297"/>
  <c r="G25" i="297" s="1"/>
  <c r="F20" i="297"/>
  <c r="K20" i="297" s="1"/>
  <c r="AB19" i="297"/>
  <c r="AD19" i="297" s="1"/>
  <c r="P19" i="297"/>
  <c r="O19" i="297"/>
  <c r="AC19" i="297" s="1"/>
  <c r="M19" i="297"/>
  <c r="I19" i="297"/>
  <c r="K19" i="297" s="1"/>
  <c r="H19" i="297"/>
  <c r="AB18" i="297"/>
  <c r="AD18" i="297" s="1"/>
  <c r="M18" i="297"/>
  <c r="K18" i="297"/>
  <c r="J18" i="297"/>
  <c r="J25" i="297" s="1"/>
  <c r="I18" i="297"/>
  <c r="H18" i="297"/>
  <c r="AD17" i="297"/>
  <c r="AB17" i="297"/>
  <c r="O17" i="297"/>
  <c r="M17" i="297"/>
  <c r="I17" i="297"/>
  <c r="K17" i="297" s="1"/>
  <c r="H17" i="297"/>
  <c r="AB16" i="297"/>
  <c r="AD16" i="297" s="1"/>
  <c r="P16" i="297"/>
  <c r="O16" i="297"/>
  <c r="M16" i="297"/>
  <c r="K16" i="297"/>
  <c r="H16" i="297"/>
  <c r="AB15" i="297"/>
  <c r="P15" i="297"/>
  <c r="O15" i="297"/>
  <c r="M15" i="297"/>
  <c r="K15" i="297"/>
  <c r="H15" i="297"/>
  <c r="AB14" i="297"/>
  <c r="AB13" i="297"/>
  <c r="AG12" i="297"/>
  <c r="AF12" i="297"/>
  <c r="X12" i="297"/>
  <c r="W12" i="297"/>
  <c r="V12" i="297"/>
  <c r="V104" i="297" s="1"/>
  <c r="U12" i="297"/>
  <c r="S12" i="297"/>
  <c r="R12" i="297"/>
  <c r="R104" i="297" s="1"/>
  <c r="Q12" i="297"/>
  <c r="N12" i="297"/>
  <c r="L12" i="297"/>
  <c r="J12" i="297"/>
  <c r="G12" i="297"/>
  <c r="C12" i="297"/>
  <c r="AE11" i="297"/>
  <c r="AB11" i="297"/>
  <c r="O11" i="297"/>
  <c r="M11" i="297"/>
  <c r="K11" i="297"/>
  <c r="H11" i="297"/>
  <c r="AE10" i="297"/>
  <c r="AE12" i="297" s="1"/>
  <c r="AB10" i="297"/>
  <c r="O10" i="297"/>
  <c r="M10" i="297"/>
  <c r="K10" i="297"/>
  <c r="H10" i="297"/>
  <c r="AD9" i="297"/>
  <c r="AB9" i="297"/>
  <c r="P9" i="297"/>
  <c r="O9" i="297"/>
  <c r="AC9" i="297" s="1"/>
  <c r="M9" i="297"/>
  <c r="I9" i="297"/>
  <c r="I12" i="297" s="1"/>
  <c r="H9" i="297"/>
  <c r="H12" i="297" s="1"/>
  <c r="F9" i="297"/>
  <c r="F12" i="297" s="1"/>
  <c r="AC8" i="297"/>
  <c r="AB8" i="297"/>
  <c r="AD8" i="297" s="1"/>
  <c r="M8" i="297"/>
  <c r="O8" i="297" s="1"/>
  <c r="K8" i="297"/>
  <c r="I8" i="297"/>
  <c r="H8" i="297"/>
  <c r="AT15" i="295"/>
  <c r="AS15" i="295"/>
  <c r="AR15" i="295"/>
  <c r="AQ15" i="295"/>
  <c r="AO15" i="295"/>
  <c r="AL15" i="295"/>
  <c r="AK15" i="295"/>
  <c r="AJ15" i="295"/>
  <c r="AI15" i="295"/>
  <c r="AH15" i="295"/>
  <c r="AG15" i="295"/>
  <c r="AF15" i="295"/>
  <c r="AE15" i="295"/>
  <c r="AD15" i="295"/>
  <c r="AC15" i="295"/>
  <c r="AB15" i="295"/>
  <c r="AA15" i="295"/>
  <c r="Z15" i="295"/>
  <c r="Y15" i="295"/>
  <c r="X15" i="295"/>
  <c r="R15" i="295"/>
  <c r="Q15" i="295"/>
  <c r="J15" i="295"/>
  <c r="I15" i="295"/>
  <c r="H15" i="295"/>
  <c r="G15" i="295"/>
  <c r="E15" i="295"/>
  <c r="AM14" i="295"/>
  <c r="AP14" i="295" s="1"/>
  <c r="S14" i="295"/>
  <c r="N14" i="295"/>
  <c r="L14" i="295"/>
  <c r="P14" i="295" s="1"/>
  <c r="K14" i="295"/>
  <c r="F14" i="295"/>
  <c r="AM13" i="295"/>
  <c r="AP13" i="295" s="1"/>
  <c r="V13" i="295"/>
  <c r="S13" i="295"/>
  <c r="M13" i="295" s="1"/>
  <c r="L13" i="295"/>
  <c r="P13" i="295" s="1"/>
  <c r="K13" i="295"/>
  <c r="D13" i="295"/>
  <c r="AM12" i="295"/>
  <c r="AP12" i="295" s="1"/>
  <c r="S12" i="295"/>
  <c r="P12" i="295"/>
  <c r="L12" i="295"/>
  <c r="K12" i="295"/>
  <c r="F12" i="295"/>
  <c r="AP11" i="295"/>
  <c r="AM11" i="295"/>
  <c r="T11" i="295"/>
  <c r="U11" i="295" s="1"/>
  <c r="S11" i="295"/>
  <c r="M11" i="295"/>
  <c r="O11" i="295" s="1"/>
  <c r="L11" i="295"/>
  <c r="P11" i="295" s="1"/>
  <c r="K11" i="295"/>
  <c r="F11" i="295"/>
  <c r="AM10" i="295"/>
  <c r="AP10" i="295" s="1"/>
  <c r="S10" i="295"/>
  <c r="P10" i="295"/>
  <c r="L10" i="295"/>
  <c r="K10" i="295"/>
  <c r="F10" i="295"/>
  <c r="D10" i="295"/>
  <c r="AP9" i="295"/>
  <c r="AM9" i="295"/>
  <c r="S9" i="295"/>
  <c r="P9" i="295"/>
  <c r="K9" i="295"/>
  <c r="L9" i="295" s="1"/>
  <c r="F9" i="295"/>
  <c r="A9" i="295"/>
  <c r="A10" i="295" s="1"/>
  <c r="A11" i="295" s="1"/>
  <c r="A12" i="295" s="1"/>
  <c r="A13" i="295" s="1"/>
  <c r="A14" i="295" s="1"/>
  <c r="A15" i="295" s="1"/>
  <c r="AM8" i="295"/>
  <c r="AP8" i="295" s="1"/>
  <c r="S8" i="295"/>
  <c r="N8" i="295"/>
  <c r="M8" i="295"/>
  <c r="L8" i="295"/>
  <c r="P8" i="295" s="1"/>
  <c r="T8" i="295" s="1"/>
  <c r="K8" i="295"/>
  <c r="F8" i="295"/>
  <c r="A8" i="295"/>
  <c r="AP7" i="295"/>
  <c r="AM7" i="295"/>
  <c r="S7" i="295"/>
  <c r="N7" i="295"/>
  <c r="N15" i="295" s="1"/>
  <c r="K7" i="295"/>
  <c r="L7" i="295" s="1"/>
  <c r="P7" i="295" s="1"/>
  <c r="F7" i="295"/>
  <c r="A7" i="295"/>
  <c r="AP6" i="295"/>
  <c r="AM6" i="295"/>
  <c r="S6" i="295"/>
  <c r="K6" i="295"/>
  <c r="F6" i="295"/>
  <c r="L22" i="294"/>
  <c r="AT21" i="294"/>
  <c r="AS21" i="294"/>
  <c r="AR21" i="294"/>
  <c r="AQ21" i="294"/>
  <c r="AP21" i="294"/>
  <c r="AL21" i="294"/>
  <c r="AK21" i="294"/>
  <c r="AJ21" i="294"/>
  <c r="AI21" i="294"/>
  <c r="AH21" i="294"/>
  <c r="AG21" i="294"/>
  <c r="AF21" i="294"/>
  <c r="AE21" i="294"/>
  <c r="AD21" i="294"/>
  <c r="AC21" i="294"/>
  <c r="AB21" i="294"/>
  <c r="AA21" i="294"/>
  <c r="Z21" i="294"/>
  <c r="Y21" i="294"/>
  <c r="X21" i="294"/>
  <c r="W21" i="294"/>
  <c r="R21" i="294"/>
  <c r="Q21" i="294"/>
  <c r="N21" i="294"/>
  <c r="K21" i="294"/>
  <c r="J21" i="294"/>
  <c r="I21" i="294"/>
  <c r="H21" i="294"/>
  <c r="G21" i="294"/>
  <c r="E21" i="294"/>
  <c r="D21" i="294"/>
  <c r="AO20" i="294"/>
  <c r="AM20" i="294"/>
  <c r="S20" i="294"/>
  <c r="P20" i="294"/>
  <c r="K20" i="294"/>
  <c r="L20" i="294" s="1"/>
  <c r="F20" i="294"/>
  <c r="AM19" i="294"/>
  <c r="AO19" i="294" s="1"/>
  <c r="S19" i="294"/>
  <c r="L19" i="294"/>
  <c r="K19" i="294"/>
  <c r="F19" i="294"/>
  <c r="AO18" i="294"/>
  <c r="AM18" i="294"/>
  <c r="S18" i="294"/>
  <c r="K18" i="294"/>
  <c r="L18" i="294" s="1"/>
  <c r="F18" i="294"/>
  <c r="AM17" i="294"/>
  <c r="AO17" i="294" s="1"/>
  <c r="S17" i="294"/>
  <c r="L17" i="294"/>
  <c r="K17" i="294"/>
  <c r="F17" i="294"/>
  <c r="AO16" i="294"/>
  <c r="AM16" i="294"/>
  <c r="S16" i="294"/>
  <c r="P16" i="294"/>
  <c r="K16" i="294"/>
  <c r="L16" i="294" s="1"/>
  <c r="F16" i="294"/>
  <c r="AM15" i="294"/>
  <c r="AO15" i="294" s="1"/>
  <c r="S15" i="294"/>
  <c r="L15" i="294"/>
  <c r="K15" i="294"/>
  <c r="F15" i="294"/>
  <c r="AO14" i="294"/>
  <c r="AM14" i="294"/>
  <c r="S14" i="294"/>
  <c r="K14" i="294"/>
  <c r="L14" i="294" s="1"/>
  <c r="F14" i="294"/>
  <c r="AM13" i="294"/>
  <c r="AO13" i="294" s="1"/>
  <c r="S13" i="294"/>
  <c r="L13" i="294"/>
  <c r="K13" i="294"/>
  <c r="F13" i="294"/>
  <c r="AO12" i="294"/>
  <c r="AM12" i="294"/>
  <c r="S12" i="294"/>
  <c r="P12" i="294"/>
  <c r="K12" i="294"/>
  <c r="L12" i="294" s="1"/>
  <c r="F12" i="294"/>
  <c r="AM11" i="294"/>
  <c r="AO11" i="294" s="1"/>
  <c r="S11" i="294"/>
  <c r="L11" i="294"/>
  <c r="K11" i="294"/>
  <c r="F11" i="294"/>
  <c r="AO10" i="294"/>
  <c r="AM10" i="294"/>
  <c r="S10" i="294"/>
  <c r="K10" i="294"/>
  <c r="L10" i="294" s="1"/>
  <c r="F10" i="294"/>
  <c r="AM9" i="294"/>
  <c r="AO9" i="294" s="1"/>
  <c r="S9" i="294"/>
  <c r="L9" i="294"/>
  <c r="K9" i="294"/>
  <c r="F9" i="294"/>
  <c r="AO8" i="294"/>
  <c r="AM8" i="294"/>
  <c r="S8" i="294"/>
  <c r="P8" i="294"/>
  <c r="K8" i="294"/>
  <c r="L8" i="294" s="1"/>
  <c r="F8" i="294"/>
  <c r="AM7" i="294"/>
  <c r="AO7" i="294" s="1"/>
  <c r="S7" i="294"/>
  <c r="L7" i="294"/>
  <c r="K7" i="294"/>
  <c r="F7" i="294"/>
  <c r="A7" i="294"/>
  <c r="A8" i="294" s="1"/>
  <c r="A9" i="294" s="1"/>
  <c r="A10" i="294" s="1"/>
  <c r="A11" i="294" s="1"/>
  <c r="A12" i="294" s="1"/>
  <c r="A13" i="294" s="1"/>
  <c r="A14" i="294" s="1"/>
  <c r="A15" i="294" s="1"/>
  <c r="A16" i="294" s="1"/>
  <c r="A17" i="294" s="1"/>
  <c r="A18" i="294" s="1"/>
  <c r="A19" i="294" s="1"/>
  <c r="A20" i="294" s="1"/>
  <c r="A21" i="294" s="1"/>
  <c r="AO6" i="294"/>
  <c r="AM6" i="294"/>
  <c r="S6" i="294"/>
  <c r="K6" i="294"/>
  <c r="L6" i="294" s="1"/>
  <c r="F6" i="294"/>
  <c r="AT16" i="293"/>
  <c r="AS16" i="293"/>
  <c r="AR16" i="293"/>
  <c r="AQ16" i="293"/>
  <c r="AL16" i="293"/>
  <c r="AK16" i="293"/>
  <c r="AJ16" i="293"/>
  <c r="AI16" i="293"/>
  <c r="AH16" i="293"/>
  <c r="AG16" i="293"/>
  <c r="AF16" i="293"/>
  <c r="AE16" i="293"/>
  <c r="AD16" i="293"/>
  <c r="AC16" i="293"/>
  <c r="AB16" i="293"/>
  <c r="AA16" i="293"/>
  <c r="Z16" i="293"/>
  <c r="Y16" i="293"/>
  <c r="X16" i="293"/>
  <c r="V16" i="293"/>
  <c r="R16" i="293"/>
  <c r="Q16" i="293"/>
  <c r="J16" i="293"/>
  <c r="I16" i="293"/>
  <c r="H16" i="293"/>
  <c r="G16" i="293"/>
  <c r="E16" i="293"/>
  <c r="D16" i="293"/>
  <c r="AP15" i="293"/>
  <c r="AM15" i="293"/>
  <c r="S15" i="293"/>
  <c r="P15" i="293"/>
  <c r="K15" i="293"/>
  <c r="L15" i="293" s="1"/>
  <c r="F15" i="293"/>
  <c r="AM14" i="293"/>
  <c r="AP14" i="293" s="1"/>
  <c r="S14" i="293"/>
  <c r="M14" i="293" s="1"/>
  <c r="N14" i="293"/>
  <c r="L14" i="293"/>
  <c r="P14" i="293" s="1"/>
  <c r="K14" i="293"/>
  <c r="F14" i="293"/>
  <c r="AM13" i="293"/>
  <c r="AP13" i="293" s="1"/>
  <c r="S13" i="293"/>
  <c r="K13" i="293"/>
  <c r="L13" i="293" s="1"/>
  <c r="F13" i="293"/>
  <c r="AP12" i="293"/>
  <c r="AM12" i="293"/>
  <c r="S12" i="293"/>
  <c r="N12" i="293"/>
  <c r="K12" i="293"/>
  <c r="L12" i="293" s="1"/>
  <c r="P12" i="293" s="1"/>
  <c r="M12" i="293" s="1"/>
  <c r="F12" i="293"/>
  <c r="AM11" i="293"/>
  <c r="S11" i="293"/>
  <c r="L11" i="293"/>
  <c r="K11" i="293"/>
  <c r="F11" i="293"/>
  <c r="A11" i="293"/>
  <c r="A12" i="293" s="1"/>
  <c r="A13" i="293" s="1"/>
  <c r="A14" i="293" s="1"/>
  <c r="A15" i="293" s="1"/>
  <c r="A16" i="293" s="1"/>
  <c r="AP10" i="293"/>
  <c r="AM10" i="293"/>
  <c r="S10" i="293"/>
  <c r="N10" i="293"/>
  <c r="L10" i="293"/>
  <c r="K10" i="293"/>
  <c r="F10" i="293"/>
  <c r="AO9" i="293"/>
  <c r="AO16" i="293" s="1"/>
  <c r="AM9" i="293"/>
  <c r="S9" i="293"/>
  <c r="N9" i="293"/>
  <c r="K9" i="293"/>
  <c r="L9" i="293" s="1"/>
  <c r="F9" i="293"/>
  <c r="AM8" i="293"/>
  <c r="AP8" i="293" s="1"/>
  <c r="S8" i="293"/>
  <c r="L8" i="293"/>
  <c r="K8" i="293"/>
  <c r="F8" i="293"/>
  <c r="A8" i="293"/>
  <c r="A9" i="293" s="1"/>
  <c r="A10" i="293" s="1"/>
  <c r="AP7" i="293"/>
  <c r="AM7" i="293"/>
  <c r="S7" i="293"/>
  <c r="P7" i="293"/>
  <c r="K7" i="293"/>
  <c r="L7" i="293" s="1"/>
  <c r="F7" i="293"/>
  <c r="A7" i="293"/>
  <c r="AM6" i="293"/>
  <c r="AP6" i="293" s="1"/>
  <c r="S6" i="293"/>
  <c r="L6" i="293"/>
  <c r="K6" i="293"/>
  <c r="F6" i="293"/>
  <c r="AT12" i="292"/>
  <c r="AS12" i="292"/>
  <c r="AR12" i="292"/>
  <c r="AQ12" i="292"/>
  <c r="AP12" i="292"/>
  <c r="AM12" i="292"/>
  <c r="AL12" i="292"/>
  <c r="AK12" i="292"/>
  <c r="AJ12" i="292"/>
  <c r="AI12" i="292"/>
  <c r="AH12" i="292"/>
  <c r="AG12" i="292"/>
  <c r="AF12" i="292"/>
  <c r="AE12" i="292"/>
  <c r="AD12" i="292"/>
  <c r="AC12" i="292"/>
  <c r="AB12" i="292"/>
  <c r="AA12" i="292"/>
  <c r="Z12" i="292"/>
  <c r="Y12" i="292"/>
  <c r="X12" i="292"/>
  <c r="W12" i="292"/>
  <c r="R12" i="292"/>
  <c r="Q12" i="292"/>
  <c r="L12" i="292"/>
  <c r="K12" i="292"/>
  <c r="J12" i="292"/>
  <c r="I12" i="292"/>
  <c r="H12" i="292"/>
  <c r="G12" i="292"/>
  <c r="P13" i="292" s="1"/>
  <c r="E12" i="292"/>
  <c r="D12" i="292"/>
  <c r="AM11" i="292"/>
  <c r="AO11" i="292" s="1"/>
  <c r="AA11" i="292"/>
  <c r="S11" i="292"/>
  <c r="L11" i="292"/>
  <c r="K11" i="292"/>
  <c r="F11" i="292"/>
  <c r="A11" i="292"/>
  <c r="A12" i="292" s="1"/>
  <c r="AO10" i="292"/>
  <c r="AM10" i="292"/>
  <c r="AA10" i="292"/>
  <c r="S10" i="292"/>
  <c r="L10" i="292"/>
  <c r="K10" i="292"/>
  <c r="F10" i="292"/>
  <c r="AO9" i="292"/>
  <c r="AM9" i="292"/>
  <c r="AA9" i="292"/>
  <c r="S9" i="292"/>
  <c r="K9" i="292"/>
  <c r="L9" i="292" s="1"/>
  <c r="F9" i="292"/>
  <c r="AM8" i="292"/>
  <c r="AO8" i="292" s="1"/>
  <c r="AA8" i="292"/>
  <c r="S8" i="292"/>
  <c r="O8" i="292"/>
  <c r="N8" i="292"/>
  <c r="K8" i="292"/>
  <c r="L8" i="292" s="1"/>
  <c r="P8" i="292" s="1"/>
  <c r="M8" i="292" s="1"/>
  <c r="F8" i="292"/>
  <c r="AM7" i="292"/>
  <c r="AO7" i="292" s="1"/>
  <c r="AA7" i="292"/>
  <c r="T7" i="292"/>
  <c r="U7" i="292" s="1"/>
  <c r="S7" i="292"/>
  <c r="L7" i="292"/>
  <c r="P7" i="292" s="1"/>
  <c r="M7" i="292" s="1"/>
  <c r="O7" i="292" s="1"/>
  <c r="K7" i="292"/>
  <c r="F7" i="292"/>
  <c r="A7" i="292"/>
  <c r="A8" i="292" s="1"/>
  <c r="A9" i="292" s="1"/>
  <c r="A10" i="292" s="1"/>
  <c r="AM6" i="292"/>
  <c r="AO6" i="292" s="1"/>
  <c r="AA6" i="292"/>
  <c r="S6" i="292"/>
  <c r="S12" i="292" s="1"/>
  <c r="N6" i="292"/>
  <c r="M6" i="292"/>
  <c r="L6" i="292"/>
  <c r="P6" i="292" s="1"/>
  <c r="K6" i="292"/>
  <c r="F6" i="292"/>
  <c r="F12" i="292" s="1"/>
  <c r="AT20" i="291"/>
  <c r="AS20" i="291"/>
  <c r="AR20" i="291"/>
  <c r="AQ20" i="291"/>
  <c r="AO20" i="291"/>
  <c r="AL20" i="291"/>
  <c r="AK20" i="291"/>
  <c r="AJ20" i="291"/>
  <c r="AI20" i="291"/>
  <c r="AH20" i="291"/>
  <c r="AG20" i="291"/>
  <c r="AF20" i="291"/>
  <c r="AE20" i="291"/>
  <c r="AD20" i="291"/>
  <c r="AC20" i="291"/>
  <c r="AB20" i="291"/>
  <c r="AA20" i="291"/>
  <c r="Z20" i="291"/>
  <c r="Y20" i="291"/>
  <c r="X20" i="291"/>
  <c r="R20" i="291"/>
  <c r="Q20" i="291"/>
  <c r="N20" i="291"/>
  <c r="J20" i="291"/>
  <c r="I20" i="291"/>
  <c r="H20" i="291"/>
  <c r="G20" i="291"/>
  <c r="E20" i="291"/>
  <c r="D20" i="291"/>
  <c r="AM19" i="291"/>
  <c r="AP19" i="291" s="1"/>
  <c r="S19" i="291"/>
  <c r="O19" i="291"/>
  <c r="M19" i="291"/>
  <c r="L19" i="291"/>
  <c r="P19" i="291" s="1"/>
  <c r="K19" i="291"/>
  <c r="F19" i="291"/>
  <c r="AP18" i="291"/>
  <c r="AM18" i="291"/>
  <c r="S18" i="291"/>
  <c r="L18" i="291"/>
  <c r="P18" i="291" s="1"/>
  <c r="K18" i="291"/>
  <c r="F18" i="291"/>
  <c r="AP17" i="291"/>
  <c r="AM17" i="291"/>
  <c r="S17" i="291"/>
  <c r="L17" i="291"/>
  <c r="K17" i="291"/>
  <c r="F17" i="291"/>
  <c r="AM16" i="291"/>
  <c r="AP16" i="291" s="1"/>
  <c r="S16" i="291"/>
  <c r="K16" i="291"/>
  <c r="L16" i="291" s="1"/>
  <c r="F16" i="291"/>
  <c r="AM15" i="291"/>
  <c r="AP15" i="291" s="1"/>
  <c r="S15" i="291"/>
  <c r="O15" i="291"/>
  <c r="M15" i="291"/>
  <c r="L15" i="291"/>
  <c r="P15" i="291" s="1"/>
  <c r="K15" i="291"/>
  <c r="F15" i="291"/>
  <c r="AP14" i="291"/>
  <c r="AM14" i="291"/>
  <c r="S14" i="291"/>
  <c r="L14" i="291"/>
  <c r="K14" i="291"/>
  <c r="F14" i="291"/>
  <c r="AP13" i="291"/>
  <c r="AM13" i="291"/>
  <c r="S13" i="291"/>
  <c r="L13" i="291"/>
  <c r="K13" i="291"/>
  <c r="F13" i="291"/>
  <c r="AP12" i="291"/>
  <c r="AM12" i="291"/>
  <c r="S12" i="291"/>
  <c r="K12" i="291"/>
  <c r="L12" i="291" s="1"/>
  <c r="F12" i="291"/>
  <c r="AM11" i="291"/>
  <c r="AP11" i="291" s="1"/>
  <c r="S11" i="291"/>
  <c r="O11" i="291"/>
  <c r="M11" i="291"/>
  <c r="L11" i="291"/>
  <c r="P11" i="291" s="1"/>
  <c r="K11" i="291"/>
  <c r="F11" i="291"/>
  <c r="AP10" i="291"/>
  <c r="AM10" i="291"/>
  <c r="S10" i="291"/>
  <c r="L10" i="291"/>
  <c r="P10" i="291" s="1"/>
  <c r="K10" i="291"/>
  <c r="F10" i="291"/>
  <c r="AP9" i="291"/>
  <c r="AM9" i="291"/>
  <c r="S9" i="291"/>
  <c r="L9" i="291"/>
  <c r="K9" i="291"/>
  <c r="F9" i="291"/>
  <c r="AP8" i="291"/>
  <c r="AM8" i="291"/>
  <c r="S8" i="291"/>
  <c r="N8" i="291"/>
  <c r="M8" i="291"/>
  <c r="L8" i="291"/>
  <c r="P8" i="291" s="1"/>
  <c r="K8" i="291"/>
  <c r="D8" i="291"/>
  <c r="F8" i="291" s="1"/>
  <c r="A8" i="291"/>
  <c r="A9" i="291" s="1"/>
  <c r="A10" i="291" s="1"/>
  <c r="A11" i="291" s="1"/>
  <c r="A12" i="291" s="1"/>
  <c r="A13" i="291" s="1"/>
  <c r="A14" i="291" s="1"/>
  <c r="A15" i="291" s="1"/>
  <c r="A16" i="291" s="1"/>
  <c r="A17" i="291" s="1"/>
  <c r="A18" i="291" s="1"/>
  <c r="A19" i="291" s="1"/>
  <c r="A20" i="291" s="1"/>
  <c r="AP7" i="291"/>
  <c r="AM7" i="291"/>
  <c r="S7" i="291"/>
  <c r="L7" i="291"/>
  <c r="K7" i="291"/>
  <c r="F7" i="291"/>
  <c r="A7" i="291"/>
  <c r="AP6" i="291"/>
  <c r="AM6" i="291"/>
  <c r="S6" i="291"/>
  <c r="L6" i="291"/>
  <c r="K6" i="291"/>
  <c r="F6" i="291"/>
  <c r="AS43" i="290"/>
  <c r="AR43" i="290"/>
  <c r="AQ43" i="290"/>
  <c r="AL43" i="290"/>
  <c r="AK43" i="290"/>
  <c r="AJ43" i="290"/>
  <c r="AI43" i="290"/>
  <c r="AH43" i="290"/>
  <c r="AG43" i="290"/>
  <c r="AE43" i="290"/>
  <c r="AD43" i="290"/>
  <c r="AC43" i="290"/>
  <c r="AB43" i="290"/>
  <c r="Z43" i="290"/>
  <c r="Y43" i="290"/>
  <c r="X43" i="290"/>
  <c r="R43" i="290"/>
  <c r="Q43" i="290"/>
  <c r="J43" i="290"/>
  <c r="I43" i="290"/>
  <c r="H43" i="290"/>
  <c r="E43" i="290"/>
  <c r="AP42" i="290"/>
  <c r="AM42" i="290"/>
  <c r="S42" i="290"/>
  <c r="N42" i="290"/>
  <c r="K42" i="290"/>
  <c r="L42" i="290" s="1"/>
  <c r="F42" i="290"/>
  <c r="AM41" i="290"/>
  <c r="AP41" i="290" s="1"/>
  <c r="S41" i="290"/>
  <c r="L41" i="290"/>
  <c r="K41" i="290"/>
  <c r="F41" i="290"/>
  <c r="AP40" i="290"/>
  <c r="AM40" i="290"/>
  <c r="S40" i="290"/>
  <c r="P40" i="290"/>
  <c r="K40" i="290"/>
  <c r="L40" i="290" s="1"/>
  <c r="F40" i="290"/>
  <c r="AM39" i="290"/>
  <c r="AP39" i="290" s="1"/>
  <c r="S39" i="290"/>
  <c r="N39" i="290"/>
  <c r="M39" i="290"/>
  <c r="L39" i="290"/>
  <c r="P39" i="290" s="1"/>
  <c r="K39" i="290"/>
  <c r="F39" i="290"/>
  <c r="AM38" i="290"/>
  <c r="AP38" i="290" s="1"/>
  <c r="S38" i="290"/>
  <c r="P38" i="290"/>
  <c r="N38" i="290"/>
  <c r="L38" i="290"/>
  <c r="K38" i="290"/>
  <c r="F38" i="290"/>
  <c r="AP37" i="290"/>
  <c r="AM37" i="290"/>
  <c r="S37" i="290"/>
  <c r="N37" i="290"/>
  <c r="K37" i="290"/>
  <c r="L37" i="290" s="1"/>
  <c r="F37" i="290"/>
  <c r="AP36" i="290"/>
  <c r="AM36" i="290"/>
  <c r="S36" i="290"/>
  <c r="O36" i="290"/>
  <c r="N36" i="290"/>
  <c r="K36" i="290"/>
  <c r="L36" i="290" s="1"/>
  <c r="P36" i="290" s="1"/>
  <c r="M36" i="290" s="1"/>
  <c r="F36" i="290"/>
  <c r="AM35" i="290"/>
  <c r="AP35" i="290" s="1"/>
  <c r="S35" i="290"/>
  <c r="L35" i="290"/>
  <c r="K35" i="290"/>
  <c r="F35" i="290"/>
  <c r="AP34" i="290"/>
  <c r="AM34" i="290"/>
  <c r="S34" i="290"/>
  <c r="N34" i="290"/>
  <c r="L34" i="290"/>
  <c r="P34" i="290" s="1"/>
  <c r="K34" i="290"/>
  <c r="F34" i="290"/>
  <c r="AP33" i="290"/>
  <c r="AM33" i="290"/>
  <c r="S33" i="290"/>
  <c r="L33" i="290"/>
  <c r="P33" i="290" s="1"/>
  <c r="K33" i="290"/>
  <c r="F33" i="290"/>
  <c r="AM32" i="290"/>
  <c r="AP32" i="290" s="1"/>
  <c r="S32" i="290"/>
  <c r="P32" i="290"/>
  <c r="L32" i="290"/>
  <c r="K32" i="290"/>
  <c r="F32" i="290"/>
  <c r="AP31" i="290"/>
  <c r="AM31" i="290"/>
  <c r="S31" i="290"/>
  <c r="L31" i="290"/>
  <c r="P31" i="290" s="1"/>
  <c r="K31" i="290"/>
  <c r="F31" i="290"/>
  <c r="AM30" i="290"/>
  <c r="AP30" i="290" s="1"/>
  <c r="S30" i="290"/>
  <c r="N30" i="290"/>
  <c r="L30" i="290"/>
  <c r="P30" i="290" s="1"/>
  <c r="K30" i="290"/>
  <c r="F30" i="290"/>
  <c r="AP29" i="290"/>
  <c r="AM29" i="290"/>
  <c r="S29" i="290"/>
  <c r="N29" i="290"/>
  <c r="L29" i="290"/>
  <c r="P29" i="290" s="1"/>
  <c r="K29" i="290"/>
  <c r="F29" i="290"/>
  <c r="AP28" i="290"/>
  <c r="AM28" i="290"/>
  <c r="T28" i="290"/>
  <c r="U28" i="290" s="1"/>
  <c r="S28" i="290"/>
  <c r="M28" i="290"/>
  <c r="O28" i="290" s="1"/>
  <c r="L28" i="290"/>
  <c r="P28" i="290" s="1"/>
  <c r="K28" i="290"/>
  <c r="F28" i="290"/>
  <c r="AM27" i="290"/>
  <c r="AP27" i="290" s="1"/>
  <c r="S27" i="290"/>
  <c r="L27" i="290"/>
  <c r="K27" i="290"/>
  <c r="F27" i="290"/>
  <c r="AP26" i="290"/>
  <c r="AM26" i="290"/>
  <c r="T26" i="290"/>
  <c r="U26" i="290" s="1"/>
  <c r="S26" i="290"/>
  <c r="L26" i="290"/>
  <c r="P26" i="290" s="1"/>
  <c r="M26" i="290" s="1"/>
  <c r="O26" i="290" s="1"/>
  <c r="K26" i="290"/>
  <c r="F26" i="290"/>
  <c r="D26" i="290"/>
  <c r="AM25" i="290"/>
  <c r="AP25" i="290" s="1"/>
  <c r="S25" i="290"/>
  <c r="N25" i="290"/>
  <c r="M25" i="290"/>
  <c r="L25" i="290"/>
  <c r="P25" i="290" s="1"/>
  <c r="T25" i="290" s="1"/>
  <c r="K25" i="290"/>
  <c r="F25" i="290"/>
  <c r="AM24" i="290"/>
  <c r="AP24" i="290" s="1"/>
  <c r="S24" i="290"/>
  <c r="N24" i="290"/>
  <c r="L24" i="290"/>
  <c r="K24" i="290"/>
  <c r="F24" i="290"/>
  <c r="AP23" i="290"/>
  <c r="AM23" i="290"/>
  <c r="S23" i="290"/>
  <c r="P23" i="290"/>
  <c r="K23" i="290"/>
  <c r="L23" i="290" s="1"/>
  <c r="F23" i="290"/>
  <c r="AM22" i="290"/>
  <c r="AP22" i="290" s="1"/>
  <c r="S22" i="290"/>
  <c r="M22" i="290" s="1"/>
  <c r="N22" i="290"/>
  <c r="L22" i="290"/>
  <c r="P22" i="290" s="1"/>
  <c r="K22" i="290"/>
  <c r="F22" i="290"/>
  <c r="AM21" i="290"/>
  <c r="AP21" i="290" s="1"/>
  <c r="S21" i="290"/>
  <c r="K21" i="290"/>
  <c r="L21" i="290" s="1"/>
  <c r="F21" i="290"/>
  <c r="D21" i="290"/>
  <c r="AP20" i="290"/>
  <c r="AM20" i="290"/>
  <c r="S20" i="290"/>
  <c r="P20" i="290"/>
  <c r="K20" i="290"/>
  <c r="L20" i="290" s="1"/>
  <c r="F20" i="290"/>
  <c r="AM19" i="290"/>
  <c r="AT19" i="290" s="1"/>
  <c r="S19" i="290"/>
  <c r="L19" i="290"/>
  <c r="K19" i="290"/>
  <c r="F19" i="290"/>
  <c r="AP18" i="290"/>
  <c r="AM18" i="290"/>
  <c r="S18" i="290"/>
  <c r="N18" i="290"/>
  <c r="L18" i="290"/>
  <c r="P18" i="290" s="1"/>
  <c r="K18" i="290"/>
  <c r="F18" i="290"/>
  <c r="AP17" i="290"/>
  <c r="AM17" i="290"/>
  <c r="S17" i="290"/>
  <c r="M17" i="290"/>
  <c r="L17" i="290"/>
  <c r="P17" i="290" s="1"/>
  <c r="K17" i="290"/>
  <c r="D17" i="290"/>
  <c r="AM16" i="290"/>
  <c r="AO16" i="290" s="1"/>
  <c r="S16" i="290"/>
  <c r="L16" i="290"/>
  <c r="K16" i="290"/>
  <c r="F16" i="290"/>
  <c r="AP15" i="290"/>
  <c r="AM15" i="290"/>
  <c r="S15" i="290"/>
  <c r="N15" i="290"/>
  <c r="L15" i="290"/>
  <c r="P15" i="290" s="1"/>
  <c r="K15" i="290"/>
  <c r="F15" i="290"/>
  <c r="AP14" i="290"/>
  <c r="AM14" i="290"/>
  <c r="S14" i="290"/>
  <c r="L14" i="290"/>
  <c r="P14" i="290" s="1"/>
  <c r="K14" i="290"/>
  <c r="F14" i="290"/>
  <c r="AM13" i="290"/>
  <c r="AP13" i="290" s="1"/>
  <c r="AF13" i="290"/>
  <c r="AF43" i="290" s="1"/>
  <c r="S13" i="290"/>
  <c r="M13" i="290" s="1"/>
  <c r="N13" i="290"/>
  <c r="L13" i="290"/>
  <c r="P13" i="290" s="1"/>
  <c r="K13" i="290"/>
  <c r="F13" i="290"/>
  <c r="D13" i="290"/>
  <c r="AM12" i="290"/>
  <c r="AP12" i="290" s="1"/>
  <c r="T12" i="290"/>
  <c r="U12" i="290" s="1"/>
  <c r="S12" i="290"/>
  <c r="L12" i="290"/>
  <c r="P12" i="290" s="1"/>
  <c r="M12" i="290" s="1"/>
  <c r="K12" i="290"/>
  <c r="D12" i="290"/>
  <c r="AM11" i="290"/>
  <c r="AP11" i="290" s="1"/>
  <c r="S11" i="290"/>
  <c r="L11" i="290"/>
  <c r="K11" i="290"/>
  <c r="F11" i="290"/>
  <c r="D11" i="290"/>
  <c r="AP10" i="290"/>
  <c r="AM10" i="290"/>
  <c r="S10" i="290"/>
  <c r="N10" i="290"/>
  <c r="L10" i="290"/>
  <c r="K10" i="290"/>
  <c r="G10" i="290"/>
  <c r="G43" i="290" s="1"/>
  <c r="F10" i="290"/>
  <c r="AP9" i="290"/>
  <c r="AM9" i="290"/>
  <c r="W9" i="290"/>
  <c r="W43" i="290" s="1"/>
  <c r="S9" i="290"/>
  <c r="N9" i="290"/>
  <c r="M9" i="290"/>
  <c r="L9" i="290"/>
  <c r="P9" i="290" s="1"/>
  <c r="K9" i="290"/>
  <c r="F9" i="290"/>
  <c r="AT8" i="290"/>
  <c r="AT43" i="290" s="1"/>
  <c r="AM8" i="290"/>
  <c r="S8" i="290"/>
  <c r="K8" i="290"/>
  <c r="L8" i="290" s="1"/>
  <c r="F8" i="290"/>
  <c r="AM7" i="290"/>
  <c r="AO7" i="290" s="1"/>
  <c r="S7" i="290"/>
  <c r="P7" i="290"/>
  <c r="M7" i="290"/>
  <c r="L7" i="290"/>
  <c r="K7" i="290"/>
  <c r="F7" i="290"/>
  <c r="A7" i="290"/>
  <c r="A8" i="290" s="1"/>
  <c r="A9" i="290" s="1"/>
  <c r="A10" i="290" s="1"/>
  <c r="A11" i="290" s="1"/>
  <c r="A12" i="290" s="1"/>
  <c r="A13" i="290" s="1"/>
  <c r="A14" i="290" s="1"/>
  <c r="A15" i="290" s="1"/>
  <c r="A16" i="290" s="1"/>
  <c r="A17" i="290" s="1"/>
  <c r="A18" i="290" s="1"/>
  <c r="A19" i="290" s="1"/>
  <c r="A20" i="290" s="1"/>
  <c r="A21" i="290" s="1"/>
  <c r="A22" i="290" s="1"/>
  <c r="A23" i="290" s="1"/>
  <c r="A24" i="290" s="1"/>
  <c r="A25" i="290" s="1"/>
  <c r="A26" i="290" s="1"/>
  <c r="A27" i="290" s="1"/>
  <c r="A28" i="290" s="1"/>
  <c r="A29" i="290" s="1"/>
  <c r="A30" i="290" s="1"/>
  <c r="A31" i="290" s="1"/>
  <c r="A32" i="290" s="1"/>
  <c r="A33" i="290" s="1"/>
  <c r="A34" i="290" s="1"/>
  <c r="A35" i="290" s="1"/>
  <c r="A36" i="290" s="1"/>
  <c r="A37" i="290" s="1"/>
  <c r="A38" i="290" s="1"/>
  <c r="A39" i="290" s="1"/>
  <c r="A40" i="290" s="1"/>
  <c r="A41" i="290" s="1"/>
  <c r="A42" i="290" s="1"/>
  <c r="A43" i="290" s="1"/>
  <c r="AO6" i="290"/>
  <c r="AM6" i="290"/>
  <c r="S6" i="290"/>
  <c r="S43" i="290" s="1"/>
  <c r="K6" i="290"/>
  <c r="F6" i="290"/>
  <c r="AT15" i="289"/>
  <c r="AS15" i="289"/>
  <c r="AR15" i="289"/>
  <c r="AQ15" i="289"/>
  <c r="AO15" i="289"/>
  <c r="AM15" i="289"/>
  <c r="AL15" i="289"/>
  <c r="AK15" i="289"/>
  <c r="AJ15" i="289"/>
  <c r="AI15" i="289"/>
  <c r="AH15" i="289"/>
  <c r="AG15" i="289"/>
  <c r="AF15" i="289"/>
  <c r="AE15" i="289"/>
  <c r="AD15" i="289"/>
  <c r="AC15" i="289"/>
  <c r="AB15" i="289"/>
  <c r="AA15" i="289"/>
  <c r="Z15" i="289"/>
  <c r="Y15" i="289"/>
  <c r="X15" i="289"/>
  <c r="V15" i="289"/>
  <c r="R15" i="289"/>
  <c r="Q15" i="289"/>
  <c r="J15" i="289"/>
  <c r="I15" i="289"/>
  <c r="H15" i="289"/>
  <c r="G15" i="289"/>
  <c r="E15" i="289"/>
  <c r="AP14" i="289"/>
  <c r="AM14" i="289"/>
  <c r="S14" i="289"/>
  <c r="N14" i="289"/>
  <c r="K14" i="289"/>
  <c r="L14" i="289" s="1"/>
  <c r="F14" i="289"/>
  <c r="AP13" i="289"/>
  <c r="AM13" i="289"/>
  <c r="S13" i="289"/>
  <c r="O13" i="289"/>
  <c r="M13" i="289"/>
  <c r="L13" i="289"/>
  <c r="P13" i="289" s="1"/>
  <c r="K13" i="289"/>
  <c r="F13" i="289"/>
  <c r="AM12" i="289"/>
  <c r="AP12" i="289" s="1"/>
  <c r="S12" i="289"/>
  <c r="P12" i="289"/>
  <c r="K12" i="289"/>
  <c r="L12" i="289" s="1"/>
  <c r="F12" i="289"/>
  <c r="AP11" i="289"/>
  <c r="AM11" i="289"/>
  <c r="S11" i="289"/>
  <c r="O11" i="289"/>
  <c r="N11" i="289"/>
  <c r="K11" i="289"/>
  <c r="L11" i="289" s="1"/>
  <c r="P11" i="289" s="1"/>
  <c r="M11" i="289" s="1"/>
  <c r="F11" i="289"/>
  <c r="AM10" i="289"/>
  <c r="AP10" i="289" s="1"/>
  <c r="T10" i="289"/>
  <c r="S10" i="289"/>
  <c r="N10" i="289"/>
  <c r="L10" i="289"/>
  <c r="P10" i="289" s="1"/>
  <c r="M10" i="289" s="1"/>
  <c r="K10" i="289"/>
  <c r="F10" i="289"/>
  <c r="F15" i="289" s="1"/>
  <c r="D10" i="289"/>
  <c r="AM9" i="289"/>
  <c r="AP9" i="289" s="1"/>
  <c r="S9" i="289"/>
  <c r="L9" i="289"/>
  <c r="K9" i="289"/>
  <c r="F9" i="289"/>
  <c r="A9" i="289"/>
  <c r="A10" i="289" s="1"/>
  <c r="A11" i="289" s="1"/>
  <c r="A12" i="289" s="1"/>
  <c r="A13" i="289" s="1"/>
  <c r="A14" i="289" s="1"/>
  <c r="A15" i="289" s="1"/>
  <c r="AP8" i="289"/>
  <c r="AM8" i="289"/>
  <c r="S8" i="289"/>
  <c r="P8" i="289"/>
  <c r="N8" i="289"/>
  <c r="K8" i="289"/>
  <c r="L8" i="289" s="1"/>
  <c r="F8" i="289"/>
  <c r="D8" i="289"/>
  <c r="AP7" i="289"/>
  <c r="AM7" i="289"/>
  <c r="S7" i="289"/>
  <c r="P7" i="289"/>
  <c r="N7" i="289"/>
  <c r="K7" i="289"/>
  <c r="L7" i="289" s="1"/>
  <c r="F7" i="289"/>
  <c r="D7" i="289"/>
  <c r="A7" i="289"/>
  <c r="A8" i="289" s="1"/>
  <c r="AP6" i="289"/>
  <c r="AM6" i="289"/>
  <c r="S6" i="289"/>
  <c r="P6" i="289"/>
  <c r="N6" i="289"/>
  <c r="L6" i="289"/>
  <c r="K6" i="289"/>
  <c r="F6" i="289"/>
  <c r="AT27" i="288"/>
  <c r="AS27" i="288"/>
  <c r="AR27" i="288"/>
  <c r="AQ27" i="288"/>
  <c r="AO27" i="288"/>
  <c r="AL27" i="288"/>
  <c r="AK27" i="288"/>
  <c r="AJ27" i="288"/>
  <c r="AI27" i="288"/>
  <c r="AH27" i="288"/>
  <c r="AG27" i="288"/>
  <c r="AF27" i="288"/>
  <c r="AE27" i="288"/>
  <c r="AD27" i="288"/>
  <c r="AC27" i="288"/>
  <c r="AB27" i="288"/>
  <c r="AA27" i="288"/>
  <c r="Z27" i="288"/>
  <c r="Y27" i="288"/>
  <c r="X27" i="288"/>
  <c r="V27" i="288"/>
  <c r="R27" i="288"/>
  <c r="Q27" i="288"/>
  <c r="J27" i="288"/>
  <c r="I27" i="288"/>
  <c r="H27" i="288"/>
  <c r="G27" i="288"/>
  <c r="E27" i="288"/>
  <c r="D27" i="288"/>
  <c r="AP26" i="288"/>
  <c r="AM26" i="288"/>
  <c r="S26" i="288"/>
  <c r="N26" i="288"/>
  <c r="K26" i="288"/>
  <c r="L26" i="288" s="1"/>
  <c r="P26" i="288" s="1"/>
  <c r="F26" i="288"/>
  <c r="AP25" i="288"/>
  <c r="AM25" i="288"/>
  <c r="S25" i="288"/>
  <c r="O25" i="288"/>
  <c r="N25" i="288"/>
  <c r="K25" i="288"/>
  <c r="L25" i="288" s="1"/>
  <c r="P25" i="288" s="1"/>
  <c r="M25" i="288" s="1"/>
  <c r="F25" i="288"/>
  <c r="AM24" i="288"/>
  <c r="AP24" i="288" s="1"/>
  <c r="AA24" i="288"/>
  <c r="S24" i="288"/>
  <c r="L24" i="288"/>
  <c r="P24" i="288" s="1"/>
  <c r="K24" i="288"/>
  <c r="F24" i="288"/>
  <c r="AM23" i="288"/>
  <c r="AP23" i="288" s="1"/>
  <c r="S23" i="288"/>
  <c r="L23" i="288"/>
  <c r="P23" i="288" s="1"/>
  <c r="K23" i="288"/>
  <c r="F23" i="288"/>
  <c r="AP22" i="288"/>
  <c r="AM22" i="288"/>
  <c r="S22" i="288"/>
  <c r="O22" i="288"/>
  <c r="M22" i="288"/>
  <c r="L22" i="288"/>
  <c r="P22" i="288" s="1"/>
  <c r="K22" i="288"/>
  <c r="F22" i="288"/>
  <c r="AM21" i="288"/>
  <c r="AP21" i="288" s="1"/>
  <c r="S21" i="288"/>
  <c r="P21" i="288"/>
  <c r="N21" i="288"/>
  <c r="L21" i="288"/>
  <c r="K21" i="288"/>
  <c r="F21" i="288"/>
  <c r="AP20" i="288"/>
  <c r="AM20" i="288"/>
  <c r="S20" i="288"/>
  <c r="P20" i="288"/>
  <c r="K20" i="288"/>
  <c r="L20" i="288" s="1"/>
  <c r="F20" i="288"/>
  <c r="AM19" i="288"/>
  <c r="AP19" i="288" s="1"/>
  <c r="T19" i="288"/>
  <c r="U19" i="288" s="1"/>
  <c r="S19" i="288"/>
  <c r="M19" i="288" s="1"/>
  <c r="O19" i="288" s="1"/>
  <c r="L19" i="288"/>
  <c r="P19" i="288" s="1"/>
  <c r="K19" i="288"/>
  <c r="F19" i="288"/>
  <c r="AP18" i="288"/>
  <c r="AM18" i="288"/>
  <c r="S18" i="288"/>
  <c r="P18" i="288"/>
  <c r="K18" i="288"/>
  <c r="L18" i="288" s="1"/>
  <c r="F18" i="288"/>
  <c r="AM17" i="288"/>
  <c r="AP17" i="288" s="1"/>
  <c r="S17" i="288"/>
  <c r="L17" i="288"/>
  <c r="P17" i="288" s="1"/>
  <c r="K17" i="288"/>
  <c r="F17" i="288"/>
  <c r="AP16" i="288"/>
  <c r="AM16" i="288"/>
  <c r="S16" i="288"/>
  <c r="P16" i="288"/>
  <c r="K16" i="288"/>
  <c r="L16" i="288" s="1"/>
  <c r="F16" i="288"/>
  <c r="AM15" i="288"/>
  <c r="AP15" i="288" s="1"/>
  <c r="S15" i="288"/>
  <c r="M15" i="288"/>
  <c r="L15" i="288"/>
  <c r="P15" i="288" s="1"/>
  <c r="K15" i="288"/>
  <c r="F15" i="288"/>
  <c r="AP14" i="288"/>
  <c r="AM14" i="288"/>
  <c r="S14" i="288"/>
  <c r="N14" i="288"/>
  <c r="K14" i="288"/>
  <c r="L14" i="288" s="1"/>
  <c r="P14" i="288" s="1"/>
  <c r="F14" i="288"/>
  <c r="E14" i="288"/>
  <c r="AP13" i="288"/>
  <c r="AM13" i="288"/>
  <c r="S13" i="288"/>
  <c r="P13" i="288"/>
  <c r="K13" i="288"/>
  <c r="L13" i="288" s="1"/>
  <c r="F13" i="288"/>
  <c r="AM12" i="288"/>
  <c r="AP12" i="288" s="1"/>
  <c r="S12" i="288"/>
  <c r="M12" i="288"/>
  <c r="O12" i="288" s="1"/>
  <c r="L12" i="288"/>
  <c r="P12" i="288" s="1"/>
  <c r="K12" i="288"/>
  <c r="F12" i="288"/>
  <c r="AP11" i="288"/>
  <c r="AM11" i="288"/>
  <c r="S11" i="288"/>
  <c r="K11" i="288"/>
  <c r="L11" i="288" s="1"/>
  <c r="P11" i="288" s="1"/>
  <c r="F11" i="288"/>
  <c r="AM10" i="288"/>
  <c r="AP10" i="288" s="1"/>
  <c r="S10" i="288"/>
  <c r="L10" i="288"/>
  <c r="P10" i="288" s="1"/>
  <c r="K10" i="288"/>
  <c r="F10" i="288"/>
  <c r="AP9" i="288"/>
  <c r="AM9" i="288"/>
  <c r="S9" i="288"/>
  <c r="P9" i="288"/>
  <c r="K9" i="288"/>
  <c r="L9" i="288" s="1"/>
  <c r="F9" i="288"/>
  <c r="AM8" i="288"/>
  <c r="AP8" i="288" s="1"/>
  <c r="AA8" i="288"/>
  <c r="S8" i="288"/>
  <c r="N8" i="288"/>
  <c r="N27" i="288" s="1"/>
  <c r="K8" i="288"/>
  <c r="F8" i="288"/>
  <c r="AM7" i="288"/>
  <c r="S7" i="288"/>
  <c r="S27" i="288" s="1"/>
  <c r="L7" i="288"/>
  <c r="P7" i="288" s="1"/>
  <c r="K7" i="288"/>
  <c r="F7" i="288"/>
  <c r="A7" i="288"/>
  <c r="A8" i="288" s="1"/>
  <c r="A9" i="288" s="1"/>
  <c r="A10" i="288" s="1"/>
  <c r="A11" i="288" s="1"/>
  <c r="A12" i="288" s="1"/>
  <c r="A13" i="288" s="1"/>
  <c r="A14" i="288" s="1"/>
  <c r="A15" i="288" s="1"/>
  <c r="A16" i="288" s="1"/>
  <c r="A17" i="288" s="1"/>
  <c r="A18" i="288" s="1"/>
  <c r="A19" i="288" s="1"/>
  <c r="A20" i="288" s="1"/>
  <c r="A21" i="288" s="1"/>
  <c r="A22" i="288" s="1"/>
  <c r="A23" i="288" s="1"/>
  <c r="A24" i="288" s="1"/>
  <c r="A25" i="288" s="1"/>
  <c r="A26" i="288" s="1"/>
  <c r="A27" i="288" s="1"/>
  <c r="AP6" i="288"/>
  <c r="AM6" i="288"/>
  <c r="S6" i="288"/>
  <c r="N6" i="288"/>
  <c r="L6" i="288"/>
  <c r="K6" i="288"/>
  <c r="F6" i="288"/>
  <c r="L9" i="287"/>
  <c r="AT8" i="287"/>
  <c r="AS8" i="287"/>
  <c r="AR8" i="287"/>
  <c r="AQ8" i="287"/>
  <c r="AP8" i="287"/>
  <c r="AO8" i="287"/>
  <c r="AN8" i="287"/>
  <c r="AM8" i="287"/>
  <c r="AL8" i="287"/>
  <c r="AK8" i="287"/>
  <c r="AJ8" i="287"/>
  <c r="AI8" i="287"/>
  <c r="AH8" i="287"/>
  <c r="AG8" i="287"/>
  <c r="AF8" i="287"/>
  <c r="AE8" i="287"/>
  <c r="AD8" i="287"/>
  <c r="AC8" i="287"/>
  <c r="AB8" i="287"/>
  <c r="AA8" i="287"/>
  <c r="Z8" i="287"/>
  <c r="Y8" i="287"/>
  <c r="X8" i="287"/>
  <c r="V8" i="287"/>
  <c r="S8" i="287"/>
  <c r="R8" i="287"/>
  <c r="Q8" i="287"/>
  <c r="P8" i="287"/>
  <c r="L8" i="287"/>
  <c r="K8" i="287"/>
  <c r="J8" i="287"/>
  <c r="I8" i="287"/>
  <c r="H8" i="287"/>
  <c r="G8" i="287"/>
  <c r="E8" i="287"/>
  <c r="D8" i="287"/>
  <c r="A8" i="287"/>
  <c r="AM7" i="287"/>
  <c r="S7" i="287"/>
  <c r="N7" i="287"/>
  <c r="O7" i="287" s="1"/>
  <c r="K7" i="287"/>
  <c r="L7" i="287" s="1"/>
  <c r="P7" i="287" s="1"/>
  <c r="M7" i="287" s="1"/>
  <c r="F7" i="287"/>
  <c r="AM6" i="287"/>
  <c r="S6" i="287"/>
  <c r="N6" i="287"/>
  <c r="K6" i="287"/>
  <c r="L6" i="287" s="1"/>
  <c r="P6" i="287" s="1"/>
  <c r="M6" i="287" s="1"/>
  <c r="M8" i="287" s="1"/>
  <c r="F6" i="287"/>
  <c r="F8" i="287" s="1"/>
  <c r="AT66" i="286"/>
  <c r="AS66" i="286"/>
  <c r="AR66" i="286"/>
  <c r="AQ66" i="286"/>
  <c r="AO66" i="286"/>
  <c r="AL66" i="286"/>
  <c r="AK66" i="286"/>
  <c r="AJ66" i="286"/>
  <c r="AI66" i="286"/>
  <c r="AH66" i="286"/>
  <c r="AG66" i="286"/>
  <c r="AF66" i="286"/>
  <c r="AD66" i="286"/>
  <c r="AC66" i="286"/>
  <c r="AB66" i="286"/>
  <c r="AA66" i="286"/>
  <c r="Z66" i="286"/>
  <c r="Y66" i="286"/>
  <c r="X66" i="286"/>
  <c r="R66" i="286"/>
  <c r="Q66" i="286"/>
  <c r="J66" i="286"/>
  <c r="I66" i="286"/>
  <c r="E66" i="286"/>
  <c r="AP65" i="286"/>
  <c r="AM65" i="286"/>
  <c r="S65" i="286"/>
  <c r="N65" i="286"/>
  <c r="O65" i="286" s="1"/>
  <c r="K65" i="286"/>
  <c r="L65" i="286" s="1"/>
  <c r="P65" i="286" s="1"/>
  <c r="M65" i="286" s="1"/>
  <c r="F65" i="286"/>
  <c r="AM64" i="286"/>
  <c r="AP64" i="286" s="1"/>
  <c r="S64" i="286"/>
  <c r="L64" i="286"/>
  <c r="K64" i="286"/>
  <c r="F64" i="286"/>
  <c r="AP63" i="286"/>
  <c r="AM63" i="286"/>
  <c r="S63" i="286"/>
  <c r="K63" i="286"/>
  <c r="L63" i="286" s="1"/>
  <c r="P63" i="286" s="1"/>
  <c r="F63" i="286"/>
  <c r="AS62" i="286"/>
  <c r="AP62" i="286"/>
  <c r="AM62" i="286"/>
  <c r="T62" i="286"/>
  <c r="U62" i="286" s="1"/>
  <c r="W62" i="286" s="1"/>
  <c r="S62" i="286"/>
  <c r="O62" i="286"/>
  <c r="K62" i="286"/>
  <c r="L62" i="286" s="1"/>
  <c r="P62" i="286" s="1"/>
  <c r="M62" i="286" s="1"/>
  <c r="F62" i="286"/>
  <c r="AM61" i="286"/>
  <c r="AP61" i="286" s="1"/>
  <c r="S61" i="286"/>
  <c r="P61" i="286"/>
  <c r="N61" i="286"/>
  <c r="L61" i="286"/>
  <c r="K61" i="286"/>
  <c r="F61" i="286"/>
  <c r="AP60" i="286"/>
  <c r="AM60" i="286"/>
  <c r="S60" i="286"/>
  <c r="P60" i="286"/>
  <c r="K60" i="286"/>
  <c r="L60" i="286" s="1"/>
  <c r="F60" i="286"/>
  <c r="AM59" i="286"/>
  <c r="AP59" i="286" s="1"/>
  <c r="V59" i="286"/>
  <c r="S59" i="286"/>
  <c r="M59" i="286"/>
  <c r="O59" i="286" s="1"/>
  <c r="K59" i="286"/>
  <c r="L59" i="286" s="1"/>
  <c r="P59" i="286" s="1"/>
  <c r="F59" i="286"/>
  <c r="AM58" i="286"/>
  <c r="AP58" i="286" s="1"/>
  <c r="S58" i="286"/>
  <c r="P58" i="286"/>
  <c r="N58" i="286"/>
  <c r="L58" i="286"/>
  <c r="K58" i="286"/>
  <c r="F58" i="286"/>
  <c r="AP57" i="286"/>
  <c r="AM57" i="286"/>
  <c r="S57" i="286"/>
  <c r="P57" i="286"/>
  <c r="K57" i="286"/>
  <c r="L57" i="286" s="1"/>
  <c r="F57" i="286"/>
  <c r="AM56" i="286"/>
  <c r="AP56" i="286" s="1"/>
  <c r="S56" i="286"/>
  <c r="L56" i="286"/>
  <c r="K56" i="286"/>
  <c r="F56" i="286"/>
  <c r="AP55" i="286"/>
  <c r="AG55" i="286"/>
  <c r="AM55" i="286" s="1"/>
  <c r="S55" i="286"/>
  <c r="L55" i="286"/>
  <c r="K55" i="286"/>
  <c r="F55" i="286"/>
  <c r="AP54" i="286"/>
  <c r="AM54" i="286"/>
  <c r="S54" i="286"/>
  <c r="K54" i="286"/>
  <c r="L54" i="286" s="1"/>
  <c r="F54" i="286"/>
  <c r="AM53" i="286"/>
  <c r="AP53" i="286" s="1"/>
  <c r="S53" i="286"/>
  <c r="N53" i="286"/>
  <c r="L53" i="286"/>
  <c r="K53" i="286"/>
  <c r="F53" i="286"/>
  <c r="AP52" i="286"/>
  <c r="AM52" i="286"/>
  <c r="S52" i="286"/>
  <c r="N52" i="286"/>
  <c r="L52" i="286"/>
  <c r="P52" i="286" s="1"/>
  <c r="K52" i="286"/>
  <c r="F52" i="286"/>
  <c r="AP51" i="286"/>
  <c r="AM51" i="286"/>
  <c r="S51" i="286"/>
  <c r="N51" i="286"/>
  <c r="K51" i="286"/>
  <c r="L51" i="286" s="1"/>
  <c r="F51" i="286"/>
  <c r="AM50" i="286"/>
  <c r="AP50" i="286" s="1"/>
  <c r="S50" i="286"/>
  <c r="N50" i="286"/>
  <c r="K50" i="286"/>
  <c r="L50" i="286" s="1"/>
  <c r="F50" i="286"/>
  <c r="AM49" i="286"/>
  <c r="AP49" i="286" s="1"/>
  <c r="S49" i="286"/>
  <c r="K49" i="286"/>
  <c r="L49" i="286" s="1"/>
  <c r="F49" i="286"/>
  <c r="AP48" i="286"/>
  <c r="AM48" i="286"/>
  <c r="U48" i="286"/>
  <c r="S48" i="286"/>
  <c r="M48" i="286"/>
  <c r="O48" i="286" s="1"/>
  <c r="K48" i="286"/>
  <c r="L48" i="286" s="1"/>
  <c r="P48" i="286" s="1"/>
  <c r="T48" i="286" s="1"/>
  <c r="F48" i="286"/>
  <c r="AM47" i="286"/>
  <c r="AP47" i="286" s="1"/>
  <c r="S47" i="286"/>
  <c r="L47" i="286"/>
  <c r="K47" i="286"/>
  <c r="F47" i="286"/>
  <c r="AP46" i="286"/>
  <c r="AM46" i="286"/>
  <c r="S46" i="286"/>
  <c r="M46" i="286"/>
  <c r="K46" i="286"/>
  <c r="L46" i="286" s="1"/>
  <c r="P46" i="286" s="1"/>
  <c r="F46" i="286"/>
  <c r="D46" i="286"/>
  <c r="O46" i="286" s="1"/>
  <c r="AM45" i="286"/>
  <c r="AP45" i="286" s="1"/>
  <c r="S45" i="286"/>
  <c r="N45" i="286"/>
  <c r="K45" i="286"/>
  <c r="L45" i="286" s="1"/>
  <c r="F45" i="286"/>
  <c r="AM44" i="286"/>
  <c r="AP44" i="286" s="1"/>
  <c r="S44" i="286"/>
  <c r="L44" i="286"/>
  <c r="K44" i="286"/>
  <c r="F44" i="286"/>
  <c r="AP43" i="286"/>
  <c r="AN43" i="286"/>
  <c r="AM43" i="286"/>
  <c r="T43" i="286"/>
  <c r="U43" i="286" s="1"/>
  <c r="W43" i="286" s="1"/>
  <c r="S43" i="286"/>
  <c r="O43" i="286"/>
  <c r="K43" i="286"/>
  <c r="L43" i="286" s="1"/>
  <c r="P43" i="286" s="1"/>
  <c r="M43" i="286" s="1"/>
  <c r="F43" i="286"/>
  <c r="AM42" i="286"/>
  <c r="AP42" i="286" s="1"/>
  <c r="S42" i="286"/>
  <c r="K42" i="286"/>
  <c r="L42" i="286" s="1"/>
  <c r="F42" i="286"/>
  <c r="AP41" i="286"/>
  <c r="AM41" i="286"/>
  <c r="S41" i="286"/>
  <c r="O41" i="286"/>
  <c r="N41" i="286"/>
  <c r="K41" i="286"/>
  <c r="L41" i="286" s="1"/>
  <c r="P41" i="286" s="1"/>
  <c r="M41" i="286" s="1"/>
  <c r="F41" i="286"/>
  <c r="AM40" i="286"/>
  <c r="AP40" i="286" s="1"/>
  <c r="S40" i="286"/>
  <c r="L40" i="286"/>
  <c r="K40" i="286"/>
  <c r="F40" i="286"/>
  <c r="AP39" i="286"/>
  <c r="AM39" i="286"/>
  <c r="S39" i="286"/>
  <c r="K39" i="286"/>
  <c r="L39" i="286" s="1"/>
  <c r="G39" i="286"/>
  <c r="G66" i="286" s="1"/>
  <c r="F39" i="286"/>
  <c r="AK38" i="286"/>
  <c r="AM38" i="286" s="1"/>
  <c r="AP38" i="286" s="1"/>
  <c r="S38" i="286"/>
  <c r="N38" i="286"/>
  <c r="K38" i="286"/>
  <c r="L38" i="286" s="1"/>
  <c r="F38" i="286"/>
  <c r="AP37" i="286"/>
  <c r="AM37" i="286"/>
  <c r="S37" i="286"/>
  <c r="M37" i="286"/>
  <c r="O37" i="286" s="1"/>
  <c r="K37" i="286"/>
  <c r="L37" i="286" s="1"/>
  <c r="P37" i="286" s="1"/>
  <c r="F37" i="286"/>
  <c r="AM36" i="286"/>
  <c r="AP36" i="286" s="1"/>
  <c r="S36" i="286"/>
  <c r="P36" i="286"/>
  <c r="L36" i="286"/>
  <c r="K36" i="286"/>
  <c r="F36" i="286"/>
  <c r="AP35" i="286"/>
  <c r="AM35" i="286"/>
  <c r="T35" i="286"/>
  <c r="U35" i="286" s="1"/>
  <c r="S35" i="286"/>
  <c r="M35" i="286"/>
  <c r="L35" i="286"/>
  <c r="P35" i="286" s="1"/>
  <c r="K35" i="286"/>
  <c r="D35" i="286"/>
  <c r="AM34" i="286"/>
  <c r="AP34" i="286" s="1"/>
  <c r="S34" i="286"/>
  <c r="L34" i="286"/>
  <c r="K34" i="286"/>
  <c r="F34" i="286"/>
  <c r="AP33" i="286"/>
  <c r="AM33" i="286"/>
  <c r="S33" i="286"/>
  <c r="K33" i="286"/>
  <c r="L33" i="286" s="1"/>
  <c r="F33" i="286"/>
  <c r="D33" i="286"/>
  <c r="AP32" i="286"/>
  <c r="AM32" i="286"/>
  <c r="S32" i="286"/>
  <c r="O32" i="286"/>
  <c r="N32" i="286"/>
  <c r="K32" i="286"/>
  <c r="L32" i="286" s="1"/>
  <c r="P32" i="286" s="1"/>
  <c r="M32" i="286" s="1"/>
  <c r="F32" i="286"/>
  <c r="D32" i="286"/>
  <c r="AP31" i="286"/>
  <c r="AM31" i="286"/>
  <c r="S31" i="286"/>
  <c r="O31" i="286"/>
  <c r="N31" i="286"/>
  <c r="K31" i="286"/>
  <c r="L31" i="286" s="1"/>
  <c r="P31" i="286" s="1"/>
  <c r="M31" i="286" s="1"/>
  <c r="F31" i="286"/>
  <c r="AM30" i="286"/>
  <c r="AP30" i="286" s="1"/>
  <c r="S30" i="286"/>
  <c r="L30" i="286"/>
  <c r="K30" i="286"/>
  <c r="F30" i="286"/>
  <c r="AP29" i="286"/>
  <c r="AM29" i="286"/>
  <c r="S29" i="286"/>
  <c r="K29" i="286"/>
  <c r="L29" i="286" s="1"/>
  <c r="F29" i="286"/>
  <c r="AM28" i="286"/>
  <c r="AP28" i="286" s="1"/>
  <c r="S28" i="286"/>
  <c r="L28" i="286"/>
  <c r="P28" i="286" s="1"/>
  <c r="K28" i="286"/>
  <c r="D28" i="286"/>
  <c r="AM27" i="286"/>
  <c r="AP27" i="286" s="1"/>
  <c r="S27" i="286"/>
  <c r="N27" i="286"/>
  <c r="L27" i="286"/>
  <c r="K27" i="286"/>
  <c r="F27" i="286"/>
  <c r="AP26" i="286"/>
  <c r="AM26" i="286"/>
  <c r="S26" i="286"/>
  <c r="K26" i="286"/>
  <c r="L26" i="286" s="1"/>
  <c r="P26" i="286" s="1"/>
  <c r="F26" i="286"/>
  <c r="D26" i="286"/>
  <c r="AP25" i="286"/>
  <c r="AM25" i="286"/>
  <c r="S25" i="286"/>
  <c r="N25" i="286"/>
  <c r="K25" i="286"/>
  <c r="L25" i="286" s="1"/>
  <c r="F25" i="286"/>
  <c r="AM24" i="286"/>
  <c r="AP24" i="286" s="1"/>
  <c r="S24" i="286"/>
  <c r="N24" i="286"/>
  <c r="K24" i="286"/>
  <c r="L24" i="286" s="1"/>
  <c r="F24" i="286"/>
  <c r="AM23" i="286"/>
  <c r="AP23" i="286" s="1"/>
  <c r="S23" i="286"/>
  <c r="P23" i="286"/>
  <c r="N23" i="286"/>
  <c r="L23" i="286"/>
  <c r="K23" i="286"/>
  <c r="F23" i="286"/>
  <c r="AP22" i="286"/>
  <c r="AM22" i="286"/>
  <c r="S22" i="286"/>
  <c r="N22" i="286"/>
  <c r="K22" i="286"/>
  <c r="L22" i="286" s="1"/>
  <c r="F22" i="286"/>
  <c r="AP21" i="286"/>
  <c r="AM21" i="286"/>
  <c r="S21" i="286"/>
  <c r="K21" i="286"/>
  <c r="L21" i="286" s="1"/>
  <c r="F21" i="286"/>
  <c r="AM20" i="286"/>
  <c r="AP20" i="286" s="1"/>
  <c r="S20" i="286"/>
  <c r="P20" i="286"/>
  <c r="K20" i="286"/>
  <c r="L20" i="286" s="1"/>
  <c r="F20" i="286"/>
  <c r="AP19" i="286"/>
  <c r="AM19" i="286"/>
  <c r="T19" i="286"/>
  <c r="U19" i="286" s="1"/>
  <c r="S19" i="286"/>
  <c r="L19" i="286"/>
  <c r="P19" i="286" s="1"/>
  <c r="M19" i="286" s="1"/>
  <c r="O19" i="286" s="1"/>
  <c r="K19" i="286"/>
  <c r="F19" i="286"/>
  <c r="D19" i="286"/>
  <c r="AM18" i="286"/>
  <c r="AP18" i="286" s="1"/>
  <c r="S18" i="286"/>
  <c r="L18" i="286"/>
  <c r="K18" i="286"/>
  <c r="F18" i="286"/>
  <c r="AP17" i="286"/>
  <c r="AM17" i="286"/>
  <c r="S17" i="286"/>
  <c r="P17" i="286"/>
  <c r="K17" i="286"/>
  <c r="L17" i="286" s="1"/>
  <c r="H17" i="286"/>
  <c r="H66" i="286" s="1"/>
  <c r="F17" i="286"/>
  <c r="AP16" i="286"/>
  <c r="AM16" i="286"/>
  <c r="S16" i="286"/>
  <c r="K16" i="286"/>
  <c r="L16" i="286" s="1"/>
  <c r="F16" i="286"/>
  <c r="AM15" i="286"/>
  <c r="AP15" i="286" s="1"/>
  <c r="S15" i="286"/>
  <c r="N15" i="286"/>
  <c r="L15" i="286"/>
  <c r="K15" i="286"/>
  <c r="F15" i="286"/>
  <c r="AE14" i="286"/>
  <c r="S14" i="286"/>
  <c r="P14" i="286"/>
  <c r="N14" i="286"/>
  <c r="L14" i="286"/>
  <c r="K14" i="286"/>
  <c r="D14" i="286"/>
  <c r="AM13" i="286"/>
  <c r="AP13" i="286" s="1"/>
  <c r="S13" i="286"/>
  <c r="P13" i="286"/>
  <c r="N13" i="286"/>
  <c r="M13" i="286"/>
  <c r="L13" i="286"/>
  <c r="K13" i="286"/>
  <c r="F13" i="286"/>
  <c r="AP12" i="286"/>
  <c r="AM12" i="286"/>
  <c r="S12" i="286"/>
  <c r="K12" i="286"/>
  <c r="L12" i="286" s="1"/>
  <c r="P12" i="286" s="1"/>
  <c r="F12" i="286"/>
  <c r="D12" i="286"/>
  <c r="AP11" i="286"/>
  <c r="AM11" i="286"/>
  <c r="S11" i="286"/>
  <c r="N11" i="286"/>
  <c r="K11" i="286"/>
  <c r="L11" i="286" s="1"/>
  <c r="F11" i="286"/>
  <c r="AM10" i="286"/>
  <c r="AP10" i="286" s="1"/>
  <c r="S10" i="286"/>
  <c r="N10" i="286"/>
  <c r="K10" i="286"/>
  <c r="L10" i="286" s="1"/>
  <c r="P10" i="286" s="1"/>
  <c r="F10" i="286"/>
  <c r="D10" i="286"/>
  <c r="AM9" i="286"/>
  <c r="AP9" i="286" s="1"/>
  <c r="S9" i="286"/>
  <c r="L9" i="286"/>
  <c r="K9" i="286"/>
  <c r="F9" i="286"/>
  <c r="A9" i="286"/>
  <c r="A10" i="286" s="1"/>
  <c r="A11" i="286" s="1"/>
  <c r="A12" i="286" s="1"/>
  <c r="A13" i="286" s="1"/>
  <c r="A14" i="286" s="1"/>
  <c r="A15" i="286" s="1"/>
  <c r="A16" i="286" s="1"/>
  <c r="A17" i="286" s="1"/>
  <c r="A18" i="286" s="1"/>
  <c r="A19" i="286" s="1"/>
  <c r="A20" i="286" s="1"/>
  <c r="A21" i="286" s="1"/>
  <c r="A22" i="286" s="1"/>
  <c r="A23" i="286" s="1"/>
  <c r="A24" i="286" s="1"/>
  <c r="A25" i="286" s="1"/>
  <c r="A26" i="286" s="1"/>
  <c r="A27" i="286" s="1"/>
  <c r="A28" i="286" s="1"/>
  <c r="A29" i="286" s="1"/>
  <c r="A30" i="286" s="1"/>
  <c r="A31" i="286" s="1"/>
  <c r="A32" i="286" s="1"/>
  <c r="A33" i="286" s="1"/>
  <c r="A34" i="286" s="1"/>
  <c r="A35" i="286" s="1"/>
  <c r="A36" i="286" s="1"/>
  <c r="A37" i="286" s="1"/>
  <c r="A38" i="286" s="1"/>
  <c r="A39" i="286" s="1"/>
  <c r="A40" i="286" s="1"/>
  <c r="A41" i="286" s="1"/>
  <c r="A42" i="286" s="1"/>
  <c r="A43" i="286" s="1"/>
  <c r="A44" i="286" s="1"/>
  <c r="A45" i="286" s="1"/>
  <c r="A46" i="286" s="1"/>
  <c r="A47" i="286" s="1"/>
  <c r="A48" i="286" s="1"/>
  <c r="A49" i="286" s="1"/>
  <c r="A50" i="286" s="1"/>
  <c r="A51" i="286" s="1"/>
  <c r="A52" i="286" s="1"/>
  <c r="A53" i="286" s="1"/>
  <c r="A54" i="286" s="1"/>
  <c r="A55" i="286" s="1"/>
  <c r="A56" i="286" s="1"/>
  <c r="A57" i="286" s="1"/>
  <c r="A58" i="286" s="1"/>
  <c r="A59" i="286" s="1"/>
  <c r="A60" i="286" s="1"/>
  <c r="A61" i="286" s="1"/>
  <c r="A62" i="286" s="1"/>
  <c r="A63" i="286" s="1"/>
  <c r="A64" i="286" s="1"/>
  <c r="A65" i="286" s="1"/>
  <c r="A66" i="286" s="1"/>
  <c r="AP8" i="286"/>
  <c r="AM8" i="286"/>
  <c r="S8" i="286"/>
  <c r="P8" i="286"/>
  <c r="N8" i="286"/>
  <c r="K8" i="286"/>
  <c r="L8" i="286" s="1"/>
  <c r="D8" i="286"/>
  <c r="A8" i="286"/>
  <c r="AP7" i="286"/>
  <c r="AM7" i="286"/>
  <c r="S7" i="286"/>
  <c r="K7" i="286"/>
  <c r="L7" i="286" s="1"/>
  <c r="F7" i="286"/>
  <c r="A7" i="286"/>
  <c r="AM6" i="286"/>
  <c r="S6" i="286"/>
  <c r="N6" i="286"/>
  <c r="K6" i="286"/>
  <c r="F6" i="286"/>
  <c r="AL130" i="285"/>
  <c r="AQ122" i="285"/>
  <c r="AJ122" i="285"/>
  <c r="Y122" i="285"/>
  <c r="AT121" i="285"/>
  <c r="AT122" i="285" s="1"/>
  <c r="AS121" i="285"/>
  <c r="AS122" i="285" s="1"/>
  <c r="AR121" i="285"/>
  <c r="AQ121" i="285"/>
  <c r="AP121" i="285"/>
  <c r="AP122" i="285" s="1"/>
  <c r="AJ121" i="285"/>
  <c r="AI121" i="285"/>
  <c r="AH121" i="285"/>
  <c r="AG121" i="285"/>
  <c r="AG122" i="285" s="1"/>
  <c r="AF121" i="285"/>
  <c r="AF122" i="285" s="1"/>
  <c r="AE121" i="285"/>
  <c r="AE122" i="285" s="1"/>
  <c r="AD121" i="285"/>
  <c r="AD122" i="285" s="1"/>
  <c r="AC121" i="285"/>
  <c r="AB121" i="285"/>
  <c r="AB122" i="285" s="1"/>
  <c r="Z121" i="285"/>
  <c r="Z122" i="285" s="1"/>
  <c r="Y121" i="285"/>
  <c r="X121" i="285"/>
  <c r="X122" i="285" s="1"/>
  <c r="W121" i="285"/>
  <c r="W122" i="285" s="1"/>
  <c r="R121" i="285"/>
  <c r="R122" i="285" s="1"/>
  <c r="J121" i="285"/>
  <c r="J122" i="285" s="1"/>
  <c r="I121" i="285"/>
  <c r="I122" i="285" s="1"/>
  <c r="H121" i="285"/>
  <c r="H122" i="285" s="1"/>
  <c r="E121" i="285"/>
  <c r="E122" i="285" s="1"/>
  <c r="D121" i="285"/>
  <c r="AM120" i="285"/>
  <c r="AO120" i="285" s="1"/>
  <c r="S120" i="285"/>
  <c r="P120" i="285"/>
  <c r="M120" i="285"/>
  <c r="L120" i="285"/>
  <c r="K120" i="285"/>
  <c r="G120" i="285"/>
  <c r="F120" i="285"/>
  <c r="D120" i="285"/>
  <c r="AO119" i="285"/>
  <c r="AM119" i="285"/>
  <c r="S119" i="285"/>
  <c r="N119" i="285"/>
  <c r="K119" i="285"/>
  <c r="L119" i="285" s="1"/>
  <c r="F119" i="285"/>
  <c r="AO118" i="285"/>
  <c r="AM118" i="285"/>
  <c r="S118" i="285"/>
  <c r="L118" i="285"/>
  <c r="P118" i="285" s="1"/>
  <c r="M118" i="285" s="1"/>
  <c r="K118" i="285"/>
  <c r="F118" i="285"/>
  <c r="AM117" i="285"/>
  <c r="AO117" i="285" s="1"/>
  <c r="AL117" i="285"/>
  <c r="AJ117" i="285"/>
  <c r="AA117" i="285"/>
  <c r="AA121" i="285" s="1"/>
  <c r="AA122" i="285" s="1"/>
  <c r="Q117" i="285"/>
  <c r="N117" i="285"/>
  <c r="L117" i="285"/>
  <c r="P117" i="285" s="1"/>
  <c r="K117" i="285"/>
  <c r="D117" i="285"/>
  <c r="AM116" i="285"/>
  <c r="AO116" i="285" s="1"/>
  <c r="S116" i="285"/>
  <c r="M116" i="285"/>
  <c r="O116" i="285" s="1"/>
  <c r="L116" i="285"/>
  <c r="K116" i="285"/>
  <c r="G116" i="285"/>
  <c r="P116" i="285" s="1"/>
  <c r="T116" i="285" s="1"/>
  <c r="U116" i="285" s="1"/>
  <c r="F116" i="285"/>
  <c r="AM115" i="285"/>
  <c r="AO115" i="285" s="1"/>
  <c r="S115" i="285"/>
  <c r="M115" i="285" s="1"/>
  <c r="O115" i="285"/>
  <c r="L115" i="285"/>
  <c r="P115" i="285" s="1"/>
  <c r="T115" i="285" s="1"/>
  <c r="U115" i="285" s="1"/>
  <c r="K115" i="285"/>
  <c r="F115" i="285"/>
  <c r="AM114" i="285"/>
  <c r="AO114" i="285" s="1"/>
  <c r="AL114" i="285"/>
  <c r="S114" i="285"/>
  <c r="L114" i="285"/>
  <c r="K114" i="285"/>
  <c r="G114" i="285"/>
  <c r="F114" i="285"/>
  <c r="AO113" i="285"/>
  <c r="AM113" i="285"/>
  <c r="AL113" i="285"/>
  <c r="S113" i="285"/>
  <c r="P113" i="285"/>
  <c r="K113" i="285"/>
  <c r="L113" i="285" s="1"/>
  <c r="F113" i="285"/>
  <c r="AM112" i="285"/>
  <c r="AO112" i="285" s="1"/>
  <c r="AL112" i="285"/>
  <c r="AA112" i="285"/>
  <c r="S112" i="285"/>
  <c r="L112" i="285"/>
  <c r="K112" i="285"/>
  <c r="F112" i="285"/>
  <c r="AO111" i="285"/>
  <c r="AL111" i="285"/>
  <c r="AK111" i="285"/>
  <c r="AM111" i="285" s="1"/>
  <c r="S111" i="285"/>
  <c r="P111" i="285"/>
  <c r="T111" i="285" s="1"/>
  <c r="U111" i="285" s="1"/>
  <c r="M111" i="285"/>
  <c r="L111" i="285"/>
  <c r="K111" i="285"/>
  <c r="F111" i="285"/>
  <c r="AM110" i="285"/>
  <c r="S110" i="285"/>
  <c r="P110" i="285"/>
  <c r="L110" i="285"/>
  <c r="K110" i="285"/>
  <c r="F110" i="285"/>
  <c r="AO109" i="285"/>
  <c r="AM109" i="285"/>
  <c r="S109" i="285"/>
  <c r="N109" i="285"/>
  <c r="N121" i="285" s="1"/>
  <c r="K109" i="285"/>
  <c r="L109" i="285" s="1"/>
  <c r="P109" i="285" s="1"/>
  <c r="G109" i="285"/>
  <c r="G121" i="285" s="1"/>
  <c r="F109" i="285"/>
  <c r="AO108" i="285"/>
  <c r="AM108" i="285"/>
  <c r="S108" i="285"/>
  <c r="L108" i="285"/>
  <c r="K108" i="285"/>
  <c r="F108" i="285"/>
  <c r="P107" i="285"/>
  <c r="P106" i="285"/>
  <c r="AT105" i="285"/>
  <c r="AS105" i="285"/>
  <c r="AR105" i="285"/>
  <c r="AQ105" i="285"/>
  <c r="AP105" i="285"/>
  <c r="AJ105" i="285"/>
  <c r="AI105" i="285"/>
  <c r="AG105" i="285"/>
  <c r="AF105" i="285"/>
  <c r="AE105" i="285"/>
  <c r="AD105" i="285"/>
  <c r="AC105" i="285"/>
  <c r="AC122" i="285" s="1"/>
  <c r="AB105" i="285"/>
  <c r="Z105" i="285"/>
  <c r="Y105" i="285"/>
  <c r="X105" i="285"/>
  <c r="W105" i="285"/>
  <c r="R105" i="285"/>
  <c r="Q105" i="285"/>
  <c r="J105" i="285"/>
  <c r="I105" i="285"/>
  <c r="H105" i="285"/>
  <c r="E105" i="285"/>
  <c r="AW104" i="285"/>
  <c r="AM104" i="285"/>
  <c r="AO104" i="285" s="1"/>
  <c r="S104" i="285"/>
  <c r="N104" i="285"/>
  <c r="M104" i="285"/>
  <c r="T104" i="285" s="1"/>
  <c r="K104" i="285"/>
  <c r="L104" i="285" s="1"/>
  <c r="P104" i="285" s="1"/>
  <c r="F104" i="285"/>
  <c r="AW103" i="285"/>
  <c r="AO103" i="285"/>
  <c r="AM103" i="285"/>
  <c r="S103" i="285"/>
  <c r="K103" i="285"/>
  <c r="L103" i="285" s="1"/>
  <c r="P103" i="285" s="1"/>
  <c r="F103" i="285"/>
  <c r="AW102" i="285"/>
  <c r="AO102" i="285"/>
  <c r="AM102" i="285"/>
  <c r="S102" i="285"/>
  <c r="K102" i="285"/>
  <c r="L102" i="285" s="1"/>
  <c r="F102" i="285"/>
  <c r="AW101" i="285"/>
  <c r="AO101" i="285"/>
  <c r="AM101" i="285"/>
  <c r="S101" i="285"/>
  <c r="P101" i="285"/>
  <c r="K101" i="285"/>
  <c r="L101" i="285" s="1"/>
  <c r="F101" i="285"/>
  <c r="AW100" i="285"/>
  <c r="AO100" i="285"/>
  <c r="AM100" i="285"/>
  <c r="S100" i="285"/>
  <c r="P100" i="285"/>
  <c r="K100" i="285"/>
  <c r="L100" i="285" s="1"/>
  <c r="F100" i="285"/>
  <c r="AL99" i="285"/>
  <c r="S99" i="285"/>
  <c r="P99" i="285"/>
  <c r="K99" i="285"/>
  <c r="L99" i="285" s="1"/>
  <c r="F99" i="285"/>
  <c r="AW98" i="285"/>
  <c r="AM98" i="285"/>
  <c r="AO98" i="285" s="1"/>
  <c r="S98" i="285"/>
  <c r="K98" i="285"/>
  <c r="L98" i="285" s="1"/>
  <c r="F98" i="285"/>
  <c r="AW97" i="285"/>
  <c r="AM97" i="285"/>
  <c r="AO97" i="285" s="1"/>
  <c r="S97" i="285"/>
  <c r="P97" i="285"/>
  <c r="K97" i="285"/>
  <c r="L97" i="285" s="1"/>
  <c r="F97" i="285"/>
  <c r="AW96" i="285"/>
  <c r="AM96" i="285"/>
  <c r="AO96" i="285" s="1"/>
  <c r="S96" i="285"/>
  <c r="K96" i="285"/>
  <c r="L96" i="285" s="1"/>
  <c r="F96" i="285"/>
  <c r="AW95" i="285"/>
  <c r="AM95" i="285"/>
  <c r="AO95" i="285" s="1"/>
  <c r="S95" i="285"/>
  <c r="P95" i="285"/>
  <c r="K95" i="285"/>
  <c r="L95" i="285" s="1"/>
  <c r="F95" i="285"/>
  <c r="AW94" i="285"/>
  <c r="AM94" i="285"/>
  <c r="AO94" i="285" s="1"/>
  <c r="S94" i="285"/>
  <c r="K94" i="285"/>
  <c r="L94" i="285" s="1"/>
  <c r="F94" i="285"/>
  <c r="AW93" i="285"/>
  <c r="AM93" i="285"/>
  <c r="AO93" i="285" s="1"/>
  <c r="S93" i="285"/>
  <c r="P93" i="285"/>
  <c r="K93" i="285"/>
  <c r="L93" i="285" s="1"/>
  <c r="F93" i="285"/>
  <c r="D93" i="285"/>
  <c r="AW92" i="285"/>
  <c r="AM92" i="285"/>
  <c r="AO92" i="285" s="1"/>
  <c r="S92" i="285"/>
  <c r="L92" i="285"/>
  <c r="K92" i="285"/>
  <c r="F92" i="285"/>
  <c r="AW91" i="285"/>
  <c r="AM91" i="285"/>
  <c r="AO91" i="285" s="1"/>
  <c r="S91" i="285"/>
  <c r="P91" i="285"/>
  <c r="T91" i="285" s="1"/>
  <c r="U91" i="285" s="1"/>
  <c r="AN91" i="285" s="1"/>
  <c r="AU91" i="285" s="1"/>
  <c r="M91" i="285"/>
  <c r="L91" i="285"/>
  <c r="K91" i="285"/>
  <c r="G91" i="285"/>
  <c r="F91" i="285"/>
  <c r="D91" i="285"/>
  <c r="AW90" i="285"/>
  <c r="AK90" i="285"/>
  <c r="AM90" i="285" s="1"/>
  <c r="AO90" i="285" s="1"/>
  <c r="S90" i="285"/>
  <c r="L90" i="285"/>
  <c r="K90" i="285"/>
  <c r="G90" i="285"/>
  <c r="P90" i="285" s="1"/>
  <c r="D90" i="285"/>
  <c r="F90" i="285" s="1"/>
  <c r="AW89" i="285"/>
  <c r="AO89" i="285"/>
  <c r="AM89" i="285"/>
  <c r="AH89" i="285"/>
  <c r="AH105" i="285" s="1"/>
  <c r="S89" i="285"/>
  <c r="P89" i="285"/>
  <c r="K89" i="285"/>
  <c r="L89" i="285" s="1"/>
  <c r="F89" i="285"/>
  <c r="AW88" i="285"/>
  <c r="AO88" i="285"/>
  <c r="AM88" i="285"/>
  <c r="S88" i="285"/>
  <c r="M88" i="285"/>
  <c r="O88" i="285" s="1"/>
  <c r="K88" i="285"/>
  <c r="L88" i="285" s="1"/>
  <c r="P88" i="285" s="1"/>
  <c r="T88" i="285" s="1"/>
  <c r="U88" i="285" s="1"/>
  <c r="V88" i="285" s="1"/>
  <c r="F88" i="285"/>
  <c r="AW87" i="285"/>
  <c r="AO87" i="285"/>
  <c r="AM87" i="285"/>
  <c r="S87" i="285"/>
  <c r="N87" i="285"/>
  <c r="L87" i="285"/>
  <c r="K87" i="285"/>
  <c r="F87" i="285"/>
  <c r="D87" i="285"/>
  <c r="AW86" i="285"/>
  <c r="AM86" i="285"/>
  <c r="AO86" i="285" s="1"/>
  <c r="S86" i="285"/>
  <c r="P86" i="285"/>
  <c r="N86" i="285"/>
  <c r="L86" i="285"/>
  <c r="K86" i="285"/>
  <c r="F86" i="285"/>
  <c r="D86" i="285"/>
  <c r="AW85" i="285"/>
  <c r="AO85" i="285"/>
  <c r="AM85" i="285"/>
  <c r="S85" i="285"/>
  <c r="K85" i="285"/>
  <c r="L85" i="285" s="1"/>
  <c r="F85" i="285"/>
  <c r="AW84" i="285"/>
  <c r="AO84" i="285"/>
  <c r="AM84" i="285"/>
  <c r="S84" i="285"/>
  <c r="N84" i="285"/>
  <c r="K84" i="285"/>
  <c r="L84" i="285" s="1"/>
  <c r="F84" i="285"/>
  <c r="AW83" i="285"/>
  <c r="AO83" i="285"/>
  <c r="AM83" i="285"/>
  <c r="S83" i="285"/>
  <c r="K83" i="285"/>
  <c r="L83" i="285" s="1"/>
  <c r="G83" i="285"/>
  <c r="F83" i="285"/>
  <c r="AW82" i="285"/>
  <c r="AM82" i="285"/>
  <c r="AO82" i="285" s="1"/>
  <c r="S82" i="285"/>
  <c r="P82" i="285"/>
  <c r="T82" i="285" s="1"/>
  <c r="U82" i="285" s="1"/>
  <c r="AN82" i="285" s="1"/>
  <c r="AU82" i="285" s="1"/>
  <c r="M82" i="285"/>
  <c r="L82" i="285"/>
  <c r="K82" i="285"/>
  <c r="F82" i="285"/>
  <c r="AW81" i="285"/>
  <c r="AM81" i="285"/>
  <c r="AO81" i="285" s="1"/>
  <c r="S81" i="285"/>
  <c r="P81" i="285"/>
  <c r="K81" i="285"/>
  <c r="L81" i="285" s="1"/>
  <c r="D81" i="285"/>
  <c r="AW80" i="285"/>
  <c r="AO80" i="285"/>
  <c r="AM80" i="285"/>
  <c r="S80" i="285"/>
  <c r="L80" i="285"/>
  <c r="P80" i="285" s="1"/>
  <c r="K80" i="285"/>
  <c r="F80" i="285"/>
  <c r="D80" i="285"/>
  <c r="AW79" i="285"/>
  <c r="AO79" i="285"/>
  <c r="AM79" i="285"/>
  <c r="S79" i="285"/>
  <c r="N79" i="285"/>
  <c r="L79" i="285"/>
  <c r="K79" i="285"/>
  <c r="F79" i="285"/>
  <c r="D79" i="285"/>
  <c r="AW78" i="285"/>
  <c r="AM78" i="285"/>
  <c r="AO78" i="285" s="1"/>
  <c r="S78" i="285"/>
  <c r="K78" i="285"/>
  <c r="L78" i="285" s="1"/>
  <c r="F78" i="285"/>
  <c r="AW77" i="285"/>
  <c r="AM77" i="285"/>
  <c r="AO77" i="285" s="1"/>
  <c r="S77" i="285"/>
  <c r="K77" i="285"/>
  <c r="L77" i="285" s="1"/>
  <c r="F77" i="285"/>
  <c r="AW76" i="285"/>
  <c r="AM76" i="285"/>
  <c r="AO76" i="285" s="1"/>
  <c r="S76" i="285"/>
  <c r="L76" i="285"/>
  <c r="K76" i="285"/>
  <c r="F76" i="285"/>
  <c r="AW75" i="285"/>
  <c r="AM75" i="285"/>
  <c r="AO75" i="285" s="1"/>
  <c r="S75" i="285"/>
  <c r="P75" i="285"/>
  <c r="T75" i="285" s="1"/>
  <c r="U75" i="285" s="1"/>
  <c r="M75" i="285"/>
  <c r="L75" i="285"/>
  <c r="K75" i="285"/>
  <c r="F75" i="285"/>
  <c r="AW74" i="285"/>
  <c r="AM74" i="285"/>
  <c r="AO74" i="285" s="1"/>
  <c r="S74" i="285"/>
  <c r="P74" i="285"/>
  <c r="K74" i="285"/>
  <c r="L74" i="285" s="1"/>
  <c r="F74" i="285"/>
  <c r="AW73" i="285"/>
  <c r="AM73" i="285"/>
  <c r="AO73" i="285" s="1"/>
  <c r="S73" i="285"/>
  <c r="N73" i="285"/>
  <c r="L73" i="285"/>
  <c r="K73" i="285"/>
  <c r="F73" i="285"/>
  <c r="AW72" i="285"/>
  <c r="AM72" i="285"/>
  <c r="AO72" i="285" s="1"/>
  <c r="S72" i="285"/>
  <c r="N72" i="285"/>
  <c r="U72" i="285" s="1"/>
  <c r="M72" i="285"/>
  <c r="T72" i="285" s="1"/>
  <c r="K72" i="285"/>
  <c r="L72" i="285" s="1"/>
  <c r="P72" i="285" s="1"/>
  <c r="D72" i="285"/>
  <c r="AW71" i="285"/>
  <c r="AM71" i="285"/>
  <c r="AO71" i="285" s="1"/>
  <c r="S71" i="285"/>
  <c r="N71" i="285"/>
  <c r="L71" i="285"/>
  <c r="P71" i="285" s="1"/>
  <c r="K71" i="285"/>
  <c r="F71" i="285"/>
  <c r="AW70" i="285"/>
  <c r="AM70" i="285"/>
  <c r="AO70" i="285" s="1"/>
  <c r="S70" i="285"/>
  <c r="P70" i="285"/>
  <c r="N70" i="285"/>
  <c r="L70" i="285"/>
  <c r="K70" i="285"/>
  <c r="F70" i="285"/>
  <c r="AW69" i="285"/>
  <c r="AO69" i="285"/>
  <c r="AM69" i="285"/>
  <c r="S69" i="285"/>
  <c r="L69" i="285"/>
  <c r="P69" i="285" s="1"/>
  <c r="K69" i="285"/>
  <c r="F69" i="285"/>
  <c r="D69" i="285"/>
  <c r="AW68" i="285"/>
  <c r="AO68" i="285"/>
  <c r="AM68" i="285"/>
  <c r="S68" i="285"/>
  <c r="N68" i="285"/>
  <c r="L68" i="285"/>
  <c r="K68" i="285"/>
  <c r="F68" i="285"/>
  <c r="AW67" i="285"/>
  <c r="AO67" i="285"/>
  <c r="AM67" i="285"/>
  <c r="AA67" i="285"/>
  <c r="S67" i="285"/>
  <c r="P67" i="285"/>
  <c r="N67" i="285"/>
  <c r="L67" i="285"/>
  <c r="K67" i="285"/>
  <c r="F67" i="285"/>
  <c r="AW66" i="285"/>
  <c r="AO66" i="285"/>
  <c r="AM66" i="285"/>
  <c r="S66" i="285"/>
  <c r="L66" i="285"/>
  <c r="P66" i="285" s="1"/>
  <c r="K66" i="285"/>
  <c r="F66" i="285"/>
  <c r="AW65" i="285"/>
  <c r="AO65" i="285"/>
  <c r="AM65" i="285"/>
  <c r="S65" i="285"/>
  <c r="L65" i="285"/>
  <c r="K65" i="285"/>
  <c r="H65" i="285"/>
  <c r="F65" i="285"/>
  <c r="AW64" i="285"/>
  <c r="AO64" i="285"/>
  <c r="AM64" i="285"/>
  <c r="S64" i="285"/>
  <c r="N64" i="285"/>
  <c r="L64" i="285"/>
  <c r="P64" i="285" s="1"/>
  <c r="M64" i="285" s="1"/>
  <c r="O64" i="285" s="1"/>
  <c r="K64" i="285"/>
  <c r="F64" i="285"/>
  <c r="AW63" i="285"/>
  <c r="AM63" i="285"/>
  <c r="AO63" i="285" s="1"/>
  <c r="S63" i="285"/>
  <c r="N63" i="285"/>
  <c r="K63" i="285"/>
  <c r="L63" i="285" s="1"/>
  <c r="P63" i="285" s="1"/>
  <c r="F63" i="285"/>
  <c r="D63" i="285"/>
  <c r="AW62" i="285"/>
  <c r="AM62" i="285"/>
  <c r="AO62" i="285" s="1"/>
  <c r="S62" i="285"/>
  <c r="L62" i="285"/>
  <c r="K62" i="285"/>
  <c r="F62" i="285"/>
  <c r="AW61" i="285"/>
  <c r="AM61" i="285"/>
  <c r="AO61" i="285" s="1"/>
  <c r="S61" i="285"/>
  <c r="N61" i="285"/>
  <c r="M61" i="285"/>
  <c r="L61" i="285"/>
  <c r="P61" i="285" s="1"/>
  <c r="T61" i="285" s="1"/>
  <c r="K61" i="285"/>
  <c r="F61" i="285"/>
  <c r="AW60" i="285"/>
  <c r="AO60" i="285"/>
  <c r="AM60" i="285"/>
  <c r="S60" i="285"/>
  <c r="O60" i="285"/>
  <c r="N60" i="285"/>
  <c r="K60" i="285"/>
  <c r="L60" i="285" s="1"/>
  <c r="P60" i="285" s="1"/>
  <c r="M60" i="285" s="1"/>
  <c r="F60" i="285"/>
  <c r="AW59" i="285"/>
  <c r="AO59" i="285"/>
  <c r="AM59" i="285"/>
  <c r="S59" i="285"/>
  <c r="K59" i="285"/>
  <c r="L59" i="285" s="1"/>
  <c r="P59" i="285" s="1"/>
  <c r="F59" i="285"/>
  <c r="AW58" i="285"/>
  <c r="AO58" i="285"/>
  <c r="AM58" i="285"/>
  <c r="S58" i="285"/>
  <c r="K58" i="285"/>
  <c r="L58" i="285" s="1"/>
  <c r="F58" i="285"/>
  <c r="AW57" i="285"/>
  <c r="AO57" i="285"/>
  <c r="AM57" i="285"/>
  <c r="S57" i="285"/>
  <c r="K57" i="285"/>
  <c r="L57" i="285" s="1"/>
  <c r="G57" i="285"/>
  <c r="P57" i="285" s="1"/>
  <c r="F57" i="285"/>
  <c r="D57" i="285"/>
  <c r="AW56" i="285"/>
  <c r="AM56" i="285"/>
  <c r="AO56" i="285" s="1"/>
  <c r="S56" i="285"/>
  <c r="L56" i="285"/>
  <c r="K56" i="285"/>
  <c r="F56" i="285"/>
  <c r="AW55" i="285"/>
  <c r="AM55" i="285"/>
  <c r="AO55" i="285" s="1"/>
  <c r="S55" i="285"/>
  <c r="L55" i="285"/>
  <c r="P55" i="285" s="1"/>
  <c r="K55" i="285"/>
  <c r="D55" i="285"/>
  <c r="AW54" i="285"/>
  <c r="AO54" i="285"/>
  <c r="AM54" i="285"/>
  <c r="S54" i="285"/>
  <c r="M54" i="285"/>
  <c r="O54" i="285" s="1"/>
  <c r="L54" i="285"/>
  <c r="P54" i="285" s="1"/>
  <c r="T54" i="285" s="1"/>
  <c r="U54" i="285" s="1"/>
  <c r="K54" i="285"/>
  <c r="F54" i="285"/>
  <c r="AW53" i="285"/>
  <c r="AO53" i="285"/>
  <c r="AM53" i="285"/>
  <c r="S53" i="285"/>
  <c r="O53" i="285"/>
  <c r="M53" i="285"/>
  <c r="L53" i="285"/>
  <c r="P53" i="285" s="1"/>
  <c r="T53" i="285" s="1"/>
  <c r="U53" i="285" s="1"/>
  <c r="K53" i="285"/>
  <c r="F53" i="285"/>
  <c r="AW52" i="285"/>
  <c r="AO52" i="285"/>
  <c r="AM52" i="285"/>
  <c r="S52" i="285"/>
  <c r="O52" i="285"/>
  <c r="M52" i="285"/>
  <c r="L52" i="285"/>
  <c r="P52" i="285" s="1"/>
  <c r="T52" i="285" s="1"/>
  <c r="U52" i="285" s="1"/>
  <c r="V52" i="285" s="1"/>
  <c r="K52" i="285"/>
  <c r="F52" i="285"/>
  <c r="D52" i="285"/>
  <c r="AW51" i="285"/>
  <c r="AO51" i="285"/>
  <c r="AM51" i="285"/>
  <c r="S51" i="285"/>
  <c r="N51" i="285"/>
  <c r="L51" i="285"/>
  <c r="P51" i="285" s="1"/>
  <c r="K51" i="285"/>
  <c r="F51" i="285"/>
  <c r="AW50" i="285"/>
  <c r="AM50" i="285"/>
  <c r="AO50" i="285" s="1"/>
  <c r="S50" i="285"/>
  <c r="P50" i="285"/>
  <c r="L50" i="285"/>
  <c r="K50" i="285"/>
  <c r="F50" i="285"/>
  <c r="AW49" i="285"/>
  <c r="AM49" i="285"/>
  <c r="AO49" i="285" s="1"/>
  <c r="S49" i="285"/>
  <c r="N49" i="285"/>
  <c r="M49" i="285"/>
  <c r="L49" i="285"/>
  <c r="P49" i="285" s="1"/>
  <c r="K49" i="285"/>
  <c r="F49" i="285"/>
  <c r="AW48" i="285"/>
  <c r="AM48" i="285"/>
  <c r="AO48" i="285" s="1"/>
  <c r="S48" i="285"/>
  <c r="N48" i="285"/>
  <c r="L48" i="285"/>
  <c r="P48" i="285" s="1"/>
  <c r="M48" i="285" s="1"/>
  <c r="K48" i="285"/>
  <c r="F48" i="285"/>
  <c r="AW47" i="285"/>
  <c r="AO47" i="285"/>
  <c r="AM47" i="285"/>
  <c r="S47" i="285"/>
  <c r="N47" i="285"/>
  <c r="K47" i="285"/>
  <c r="L47" i="285" s="1"/>
  <c r="P47" i="285" s="1"/>
  <c r="M47" i="285" s="1"/>
  <c r="F47" i="285"/>
  <c r="AW46" i="285"/>
  <c r="AO46" i="285"/>
  <c r="AM46" i="285"/>
  <c r="S46" i="285"/>
  <c r="N46" i="285"/>
  <c r="L46" i="285"/>
  <c r="P46" i="285" s="1"/>
  <c r="K46" i="285"/>
  <c r="F46" i="285"/>
  <c r="AW45" i="285"/>
  <c r="AM45" i="285"/>
  <c r="AO45" i="285" s="1"/>
  <c r="AL45" i="285"/>
  <c r="AL105" i="285" s="1"/>
  <c r="S45" i="285"/>
  <c r="L45" i="285"/>
  <c r="K45" i="285"/>
  <c r="F45" i="285"/>
  <c r="AW44" i="285"/>
  <c r="AM44" i="285"/>
  <c r="AO44" i="285" s="1"/>
  <c r="S44" i="285"/>
  <c r="L44" i="285"/>
  <c r="K44" i="285"/>
  <c r="F44" i="285"/>
  <c r="AW43" i="285"/>
  <c r="AM43" i="285"/>
  <c r="AO43" i="285" s="1"/>
  <c r="S43" i="285"/>
  <c r="L43" i="285"/>
  <c r="K43" i="285"/>
  <c r="F43" i="285"/>
  <c r="AW42" i="285"/>
  <c r="AM42" i="285"/>
  <c r="AO42" i="285" s="1"/>
  <c r="S42" i="285"/>
  <c r="N42" i="285"/>
  <c r="U42" i="285" s="1"/>
  <c r="V42" i="285" s="1"/>
  <c r="M42" i="285"/>
  <c r="L42" i="285"/>
  <c r="P42" i="285" s="1"/>
  <c r="T42" i="285" s="1"/>
  <c r="K42" i="285"/>
  <c r="F42" i="285"/>
  <c r="AW41" i="285"/>
  <c r="AO41" i="285"/>
  <c r="AN41" i="285"/>
  <c r="AU41" i="285" s="1"/>
  <c r="AM41" i="285"/>
  <c r="S41" i="285"/>
  <c r="O41" i="285"/>
  <c r="M41" i="285"/>
  <c r="L41" i="285"/>
  <c r="P41" i="285" s="1"/>
  <c r="T41" i="285" s="1"/>
  <c r="U41" i="285" s="1"/>
  <c r="V41" i="285" s="1"/>
  <c r="K41" i="285"/>
  <c r="F41" i="285"/>
  <c r="AW40" i="285"/>
  <c r="AO40" i="285"/>
  <c r="AM40" i="285"/>
  <c r="S40" i="285"/>
  <c r="L40" i="285"/>
  <c r="P40" i="285" s="1"/>
  <c r="M40" i="285" s="1"/>
  <c r="O40" i="285" s="1"/>
  <c r="K40" i="285"/>
  <c r="F40" i="285"/>
  <c r="AW39" i="285"/>
  <c r="AO39" i="285"/>
  <c r="AM39" i="285"/>
  <c r="S39" i="285"/>
  <c r="M39" i="285"/>
  <c r="O39" i="285" s="1"/>
  <c r="L39" i="285"/>
  <c r="P39" i="285" s="1"/>
  <c r="K39" i="285"/>
  <c r="F39" i="285"/>
  <c r="AW38" i="285"/>
  <c r="AO38" i="285"/>
  <c r="AM38" i="285"/>
  <c r="S38" i="285"/>
  <c r="O38" i="285"/>
  <c r="M38" i="285"/>
  <c r="L38" i="285"/>
  <c r="P38" i="285" s="1"/>
  <c r="T38" i="285" s="1"/>
  <c r="U38" i="285" s="1"/>
  <c r="K38" i="285"/>
  <c r="F38" i="285"/>
  <c r="AW37" i="285"/>
  <c r="AO37" i="285"/>
  <c r="AM37" i="285"/>
  <c r="S37" i="285"/>
  <c r="O37" i="285"/>
  <c r="N37" i="285"/>
  <c r="K37" i="285"/>
  <c r="L37" i="285" s="1"/>
  <c r="P37" i="285" s="1"/>
  <c r="M37" i="285" s="1"/>
  <c r="F37" i="285"/>
  <c r="AW36" i="285"/>
  <c r="AO36" i="285"/>
  <c r="AM36" i="285"/>
  <c r="S36" i="285"/>
  <c r="P36" i="285"/>
  <c r="K36" i="285"/>
  <c r="L36" i="285" s="1"/>
  <c r="F36" i="285"/>
  <c r="AW35" i="285"/>
  <c r="AO35" i="285"/>
  <c r="AM35" i="285"/>
  <c r="S35" i="285"/>
  <c r="K35" i="285"/>
  <c r="L35" i="285" s="1"/>
  <c r="P35" i="285" s="1"/>
  <c r="F35" i="285"/>
  <c r="AW34" i="285"/>
  <c r="AO34" i="285"/>
  <c r="AM34" i="285"/>
  <c r="S34" i="285"/>
  <c r="K34" i="285"/>
  <c r="L34" i="285" s="1"/>
  <c r="F34" i="285"/>
  <c r="AW33" i="285"/>
  <c r="AO33" i="285"/>
  <c r="AM33" i="285"/>
  <c r="S33" i="285"/>
  <c r="N33" i="285"/>
  <c r="L33" i="285"/>
  <c r="K33" i="285"/>
  <c r="F33" i="285"/>
  <c r="AW32" i="285"/>
  <c r="AM32" i="285"/>
  <c r="AO32" i="285" s="1"/>
  <c r="S32" i="285"/>
  <c r="P32" i="285"/>
  <c r="L32" i="285"/>
  <c r="K32" i="285"/>
  <c r="F32" i="285"/>
  <c r="AW31" i="285"/>
  <c r="AM31" i="285"/>
  <c r="AO31" i="285" s="1"/>
  <c r="AA31" i="285"/>
  <c r="AA105" i="285" s="1"/>
  <c r="S31" i="285"/>
  <c r="L31" i="285"/>
  <c r="K31" i="285"/>
  <c r="F31" i="285"/>
  <c r="AW30" i="285"/>
  <c r="AM30" i="285"/>
  <c r="AO30" i="285" s="1"/>
  <c r="S30" i="285"/>
  <c r="L30" i="285"/>
  <c r="K30" i="285"/>
  <c r="F30" i="285"/>
  <c r="AW29" i="285"/>
  <c r="AM29" i="285"/>
  <c r="AO29" i="285" s="1"/>
  <c r="S29" i="285"/>
  <c r="N29" i="285"/>
  <c r="L29" i="285"/>
  <c r="P29" i="285" s="1"/>
  <c r="M29" i="285" s="1"/>
  <c r="K29" i="285"/>
  <c r="F29" i="285"/>
  <c r="AW28" i="285"/>
  <c r="AO28" i="285"/>
  <c r="AM28" i="285"/>
  <c r="S28" i="285"/>
  <c r="M28" i="285"/>
  <c r="O28" i="285" s="1"/>
  <c r="L28" i="285"/>
  <c r="P28" i="285" s="1"/>
  <c r="K28" i="285"/>
  <c r="F28" i="285"/>
  <c r="AW27" i="285"/>
  <c r="AO27" i="285"/>
  <c r="AM27" i="285"/>
  <c r="S27" i="285"/>
  <c r="O27" i="285"/>
  <c r="M27" i="285"/>
  <c r="L27" i="285"/>
  <c r="P27" i="285" s="1"/>
  <c r="T27" i="285" s="1"/>
  <c r="U27" i="285" s="1"/>
  <c r="K27" i="285"/>
  <c r="F27" i="285"/>
  <c r="D27" i="285"/>
  <c r="AW26" i="285"/>
  <c r="AO26" i="285"/>
  <c r="AM26" i="285"/>
  <c r="S26" i="285"/>
  <c r="N26" i="285"/>
  <c r="L26" i="285"/>
  <c r="K26" i="285"/>
  <c r="F26" i="285"/>
  <c r="AW25" i="285"/>
  <c r="AM25" i="285"/>
  <c r="AO25" i="285" s="1"/>
  <c r="S25" i="285"/>
  <c r="P25" i="285"/>
  <c r="L25" i="285"/>
  <c r="K25" i="285"/>
  <c r="F25" i="285"/>
  <c r="AW24" i="285"/>
  <c r="AM24" i="285"/>
  <c r="AO24" i="285" s="1"/>
  <c r="S24" i="285"/>
  <c r="N24" i="285"/>
  <c r="L24" i="285"/>
  <c r="K24" i="285"/>
  <c r="F24" i="285"/>
  <c r="AW23" i="285"/>
  <c r="AM23" i="285"/>
  <c r="AO23" i="285" s="1"/>
  <c r="S23" i="285"/>
  <c r="L23" i="285"/>
  <c r="K23" i="285"/>
  <c r="F23" i="285"/>
  <c r="AW22" i="285"/>
  <c r="AM22" i="285"/>
  <c r="AO22" i="285" s="1"/>
  <c r="S22" i="285"/>
  <c r="L22" i="285"/>
  <c r="K22" i="285"/>
  <c r="F22" i="285"/>
  <c r="AW21" i="285"/>
  <c r="AM21" i="285"/>
  <c r="AO21" i="285" s="1"/>
  <c r="S21" i="285"/>
  <c r="L21" i="285"/>
  <c r="K21" i="285"/>
  <c r="F21" i="285"/>
  <c r="AW20" i="285"/>
  <c r="AM20" i="285"/>
  <c r="AO20" i="285" s="1"/>
  <c r="S20" i="285"/>
  <c r="L20" i="285"/>
  <c r="K20" i="285"/>
  <c r="G20" i="285"/>
  <c r="F20" i="285"/>
  <c r="A20" i="285"/>
  <c r="A21" i="285" s="1"/>
  <c r="A22" i="285" s="1"/>
  <c r="A23" i="285" s="1"/>
  <c r="A24" i="285" s="1"/>
  <c r="A25" i="285" s="1"/>
  <c r="A26" i="285" s="1"/>
  <c r="A27" i="285" s="1"/>
  <c r="A28" i="285" s="1"/>
  <c r="A29" i="285" s="1"/>
  <c r="A30" i="285" s="1"/>
  <c r="A31" i="285" s="1"/>
  <c r="A32" i="285" s="1"/>
  <c r="A33" i="285" s="1"/>
  <c r="A34" i="285" s="1"/>
  <c r="A35" i="285" s="1"/>
  <c r="A36" i="285" s="1"/>
  <c r="A37" i="285" s="1"/>
  <c r="A38" i="285" s="1"/>
  <c r="A39" i="285" s="1"/>
  <c r="A40" i="285" s="1"/>
  <c r="A41" i="285" s="1"/>
  <c r="A42" i="285" s="1"/>
  <c r="A43" i="285" s="1"/>
  <c r="A44" i="285" s="1"/>
  <c r="A45" i="285" s="1"/>
  <c r="A46" i="285" s="1"/>
  <c r="A47" i="285" s="1"/>
  <c r="A48" i="285" s="1"/>
  <c r="A49" i="285" s="1"/>
  <c r="A50" i="285" s="1"/>
  <c r="A51" i="285" s="1"/>
  <c r="A52" i="285" s="1"/>
  <c r="A53" i="285" s="1"/>
  <c r="A54" i="285" s="1"/>
  <c r="A55" i="285" s="1"/>
  <c r="A56" i="285" s="1"/>
  <c r="A57" i="285" s="1"/>
  <c r="A58" i="285" s="1"/>
  <c r="A59" i="285" s="1"/>
  <c r="A60" i="285" s="1"/>
  <c r="A61" i="285" s="1"/>
  <c r="A62" i="285" s="1"/>
  <c r="A63" i="285" s="1"/>
  <c r="A64" i="285" s="1"/>
  <c r="A65" i="285" s="1"/>
  <c r="A66" i="285" s="1"/>
  <c r="A67" i="285" s="1"/>
  <c r="A68" i="285" s="1"/>
  <c r="A69" i="285" s="1"/>
  <c r="A70" i="285" s="1"/>
  <c r="A71" i="285" s="1"/>
  <c r="A72" i="285" s="1"/>
  <c r="A73" i="285" s="1"/>
  <c r="A74" i="285" s="1"/>
  <c r="A75" i="285" s="1"/>
  <c r="A76" i="285" s="1"/>
  <c r="A77" i="285" s="1"/>
  <c r="A78" i="285" s="1"/>
  <c r="A79" i="285" s="1"/>
  <c r="A80" i="285" s="1"/>
  <c r="A81" i="285" s="1"/>
  <c r="A82" i="285" s="1"/>
  <c r="A83" i="285" s="1"/>
  <c r="A84" i="285" s="1"/>
  <c r="A85" i="285" s="1"/>
  <c r="A86" i="285" s="1"/>
  <c r="A87" i="285" s="1"/>
  <c r="A88" i="285" s="1"/>
  <c r="A89" i="285" s="1"/>
  <c r="A90" i="285" s="1"/>
  <c r="A91" i="285" s="1"/>
  <c r="A92" i="285" s="1"/>
  <c r="A93" i="285" s="1"/>
  <c r="A94" i="285" s="1"/>
  <c r="A95" i="285" s="1"/>
  <c r="A96" i="285" s="1"/>
  <c r="A97" i="285" s="1"/>
  <c r="A98" i="285" s="1"/>
  <c r="A99" i="285" s="1"/>
  <c r="A100" i="285" s="1"/>
  <c r="A101" i="285" s="1"/>
  <c r="A102" i="285" s="1"/>
  <c r="A103" i="285" s="1"/>
  <c r="A104" i="285" s="1"/>
  <c r="A108" i="285" s="1"/>
  <c r="A109" i="285" s="1"/>
  <c r="A110" i="285" s="1"/>
  <c r="A111" i="285" s="1"/>
  <c r="A112" i="285" s="1"/>
  <c r="A113" i="285" s="1"/>
  <c r="A114" i="285" s="1"/>
  <c r="A115" i="285" s="1"/>
  <c r="A116" i="285" s="1"/>
  <c r="A117" i="285" s="1"/>
  <c r="A118" i="285" s="1"/>
  <c r="A119" i="285" s="1"/>
  <c r="A120" i="285" s="1"/>
  <c r="A122" i="285" s="1"/>
  <c r="AW19" i="285"/>
  <c r="AO19" i="285"/>
  <c r="AM19" i="285"/>
  <c r="S19" i="285"/>
  <c r="O19" i="285"/>
  <c r="M19" i="285"/>
  <c r="L19" i="285"/>
  <c r="P19" i="285" s="1"/>
  <c r="T19" i="285" s="1"/>
  <c r="U19" i="285" s="1"/>
  <c r="K19" i="285"/>
  <c r="F19" i="285"/>
  <c r="AW18" i="285"/>
  <c r="AO18" i="285"/>
  <c r="AM18" i="285"/>
  <c r="S18" i="285"/>
  <c r="O18" i="285"/>
  <c r="N18" i="285"/>
  <c r="K18" i="285"/>
  <c r="L18" i="285" s="1"/>
  <c r="P18" i="285" s="1"/>
  <c r="M18" i="285" s="1"/>
  <c r="F18" i="285"/>
  <c r="AW17" i="285"/>
  <c r="AO17" i="285"/>
  <c r="AM17" i="285"/>
  <c r="S17" i="285"/>
  <c r="P17" i="285"/>
  <c r="K17" i="285"/>
  <c r="L17" i="285" s="1"/>
  <c r="G17" i="285"/>
  <c r="F17" i="285"/>
  <c r="AO16" i="285"/>
  <c r="AM16" i="285"/>
  <c r="S16" i="285"/>
  <c r="N16" i="285"/>
  <c r="L16" i="285"/>
  <c r="P16" i="285" s="1"/>
  <c r="K16" i="285"/>
  <c r="F16" i="285"/>
  <c r="AO15" i="285"/>
  <c r="AM15" i="285"/>
  <c r="S15" i="285"/>
  <c r="N15" i="285"/>
  <c r="L15" i="285"/>
  <c r="P15" i="285" s="1"/>
  <c r="K15" i="285"/>
  <c r="F15" i="285"/>
  <c r="AO14" i="285"/>
  <c r="AM14" i="285"/>
  <c r="S14" i="285"/>
  <c r="K14" i="285"/>
  <c r="L14" i="285" s="1"/>
  <c r="P14" i="285" s="1"/>
  <c r="F14" i="285"/>
  <c r="D14" i="285"/>
  <c r="AW13" i="285"/>
  <c r="AM13" i="285"/>
  <c r="AO13" i="285" s="1"/>
  <c r="S13" i="285"/>
  <c r="P13" i="285"/>
  <c r="L13" i="285"/>
  <c r="K13" i="285"/>
  <c r="F13" i="285"/>
  <c r="D13" i="285"/>
  <c r="AM12" i="285"/>
  <c r="AO12" i="285" s="1"/>
  <c r="S12" i="285"/>
  <c r="N12" i="285"/>
  <c r="L12" i="285"/>
  <c r="P12" i="285" s="1"/>
  <c r="K12" i="285"/>
  <c r="F12" i="285"/>
  <c r="AM11" i="285"/>
  <c r="AO11" i="285" s="1"/>
  <c r="S11" i="285"/>
  <c r="K11" i="285"/>
  <c r="L11" i="285" s="1"/>
  <c r="F11" i="285"/>
  <c r="AW10" i="285"/>
  <c r="AM10" i="285"/>
  <c r="AO10" i="285" s="1"/>
  <c r="S10" i="285"/>
  <c r="L10" i="285"/>
  <c r="K10" i="285"/>
  <c r="F10" i="285"/>
  <c r="D10" i="285"/>
  <c r="A10" i="285"/>
  <c r="A11" i="285" s="1"/>
  <c r="A12" i="285" s="1"/>
  <c r="A13" i="285" s="1"/>
  <c r="A14" i="285" s="1"/>
  <c r="A15" i="285" s="1"/>
  <c r="A16" i="285" s="1"/>
  <c r="A17" i="285" s="1"/>
  <c r="A18" i="285" s="1"/>
  <c r="A19" i="285" s="1"/>
  <c r="AM9" i="285"/>
  <c r="AO9" i="285" s="1"/>
  <c r="S9" i="285"/>
  <c r="P9" i="285"/>
  <c r="L9" i="285"/>
  <c r="K9" i="285"/>
  <c r="F9" i="285"/>
  <c r="AO8" i="285"/>
  <c r="AM8" i="285"/>
  <c r="S8" i="285"/>
  <c r="K8" i="285"/>
  <c r="L8" i="285" s="1"/>
  <c r="P8" i="285" s="1"/>
  <c r="F8" i="285"/>
  <c r="D8" i="285"/>
  <c r="AW7" i="285"/>
  <c r="AO7" i="285"/>
  <c r="AM7" i="285"/>
  <c r="S7" i="285"/>
  <c r="K7" i="285"/>
  <c r="L7" i="285" s="1"/>
  <c r="F7" i="285"/>
  <c r="A7" i="285"/>
  <c r="A8" i="285" s="1"/>
  <c r="A9" i="285" s="1"/>
  <c r="AO6" i="285"/>
  <c r="AM6" i="285"/>
  <c r="S6" i="285"/>
  <c r="S105" i="285" s="1"/>
  <c r="O6" i="285"/>
  <c r="M6" i="285"/>
  <c r="L6" i="285"/>
  <c r="P6" i="285" s="1"/>
  <c r="K6" i="285"/>
  <c r="K105" i="285" s="1"/>
  <c r="F6" i="285"/>
  <c r="AT84" i="284"/>
  <c r="AS84" i="284"/>
  <c r="AP7" i="296" s="1"/>
  <c r="AR84" i="284"/>
  <c r="AQ84" i="284"/>
  <c r="AP84" i="284"/>
  <c r="AK84" i="284"/>
  <c r="AJ84" i="284"/>
  <c r="AI84" i="284"/>
  <c r="AH84" i="284"/>
  <c r="AG84" i="284"/>
  <c r="AF84" i="284"/>
  <c r="AE84" i="284"/>
  <c r="AD84" i="284"/>
  <c r="AC84" i="284"/>
  <c r="AB84" i="284"/>
  <c r="Z84" i="284"/>
  <c r="Y84" i="284"/>
  <c r="X84" i="284"/>
  <c r="W84" i="284"/>
  <c r="R84" i="284"/>
  <c r="Q84" i="284"/>
  <c r="J84" i="284"/>
  <c r="I84" i="284"/>
  <c r="H84" i="284"/>
  <c r="G84" i="284"/>
  <c r="E84" i="284"/>
  <c r="D84" i="284"/>
  <c r="AM83" i="284"/>
  <c r="AO83" i="284" s="1"/>
  <c r="S83" i="284"/>
  <c r="M83" i="284" s="1"/>
  <c r="N83" i="284"/>
  <c r="K83" i="284"/>
  <c r="L83" i="284" s="1"/>
  <c r="P83" i="284" s="1"/>
  <c r="T83" i="284" s="1"/>
  <c r="F83" i="284"/>
  <c r="D83" i="284"/>
  <c r="AM82" i="284"/>
  <c r="AO82" i="284" s="1"/>
  <c r="AL82" i="284"/>
  <c r="S82" i="284"/>
  <c r="O82" i="284"/>
  <c r="N82" i="284"/>
  <c r="K82" i="284"/>
  <c r="L82" i="284" s="1"/>
  <c r="P82" i="284" s="1"/>
  <c r="M82" i="284" s="1"/>
  <c r="F82" i="284"/>
  <c r="AM81" i="284"/>
  <c r="AO81" i="284" s="1"/>
  <c r="S81" i="284"/>
  <c r="N81" i="284"/>
  <c r="U81" i="284" s="1"/>
  <c r="V81" i="284" s="1"/>
  <c r="M81" i="284"/>
  <c r="L81" i="284"/>
  <c r="P81" i="284" s="1"/>
  <c r="T81" i="284" s="1"/>
  <c r="F81" i="284"/>
  <c r="AO80" i="284"/>
  <c r="AM80" i="284"/>
  <c r="S80" i="284"/>
  <c r="N80" i="284"/>
  <c r="L80" i="284"/>
  <c r="P80" i="284" s="1"/>
  <c r="K80" i="284"/>
  <c r="F80" i="284"/>
  <c r="AO79" i="284"/>
  <c r="AM79" i="284"/>
  <c r="T79" i="284"/>
  <c r="S79" i="284"/>
  <c r="N79" i="284"/>
  <c r="L79" i="284"/>
  <c r="P79" i="284" s="1"/>
  <c r="M79" i="284" s="1"/>
  <c r="O79" i="284" s="1"/>
  <c r="F79" i="284"/>
  <c r="AM78" i="284"/>
  <c r="AO78" i="284" s="1"/>
  <c r="S78" i="284"/>
  <c r="N78" i="284"/>
  <c r="M78" i="284"/>
  <c r="L78" i="284"/>
  <c r="P78" i="284" s="1"/>
  <c r="K78" i="284"/>
  <c r="F78" i="284"/>
  <c r="AO77" i="284"/>
  <c r="AM77" i="284"/>
  <c r="S77" i="284"/>
  <c r="P77" i="284"/>
  <c r="L77" i="284"/>
  <c r="F77" i="284"/>
  <c r="AM76" i="284"/>
  <c r="AO76" i="284" s="1"/>
  <c r="S76" i="284"/>
  <c r="P76" i="284"/>
  <c r="L76" i="284"/>
  <c r="F76" i="284"/>
  <c r="AM75" i="284"/>
  <c r="AO75" i="284" s="1"/>
  <c r="S75" i="284"/>
  <c r="L75" i="284"/>
  <c r="K75" i="284"/>
  <c r="F75" i="284"/>
  <c r="AO74" i="284"/>
  <c r="AM74" i="284"/>
  <c r="S74" i="284"/>
  <c r="K74" i="284"/>
  <c r="L74" i="284" s="1"/>
  <c r="P74" i="284" s="1"/>
  <c r="F74" i="284"/>
  <c r="AM73" i="284"/>
  <c r="AO73" i="284" s="1"/>
  <c r="S73" i="284"/>
  <c r="L73" i="284"/>
  <c r="K73" i="284"/>
  <c r="F73" i="284"/>
  <c r="AO72" i="284"/>
  <c r="AM72" i="284"/>
  <c r="S72" i="284"/>
  <c r="P72" i="284"/>
  <c r="K72" i="284"/>
  <c r="L72" i="284" s="1"/>
  <c r="F72" i="284"/>
  <c r="AM71" i="284"/>
  <c r="AO71" i="284" s="1"/>
  <c r="AA71" i="284"/>
  <c r="AA84" i="284" s="1"/>
  <c r="S71" i="284"/>
  <c r="M71" i="284"/>
  <c r="K71" i="284"/>
  <c r="L71" i="284" s="1"/>
  <c r="P71" i="284" s="1"/>
  <c r="F71" i="284"/>
  <c r="AM70" i="284"/>
  <c r="AO70" i="284" s="1"/>
  <c r="S70" i="284"/>
  <c r="L70" i="284"/>
  <c r="K70" i="284"/>
  <c r="F70" i="284"/>
  <c r="AO69" i="284"/>
  <c r="AM69" i="284"/>
  <c r="S69" i="284"/>
  <c r="O69" i="284"/>
  <c r="M69" i="284"/>
  <c r="K69" i="284"/>
  <c r="L69" i="284" s="1"/>
  <c r="P69" i="284" s="1"/>
  <c r="T69" i="284" s="1"/>
  <c r="U69" i="284" s="1"/>
  <c r="V69" i="284" s="1"/>
  <c r="F69" i="284"/>
  <c r="AM68" i="284"/>
  <c r="AO68" i="284" s="1"/>
  <c r="S68" i="284"/>
  <c r="P68" i="284"/>
  <c r="L68" i="284"/>
  <c r="K68" i="284"/>
  <c r="F68" i="284"/>
  <c r="AO67" i="284"/>
  <c r="AM67" i="284"/>
  <c r="S67" i="284"/>
  <c r="N67" i="284"/>
  <c r="K67" i="284"/>
  <c r="L67" i="284" s="1"/>
  <c r="P67" i="284" s="1"/>
  <c r="M67" i="284" s="1"/>
  <c r="F67" i="284"/>
  <c r="AM66" i="284"/>
  <c r="AO66" i="284" s="1"/>
  <c r="S66" i="284"/>
  <c r="N66" i="284"/>
  <c r="M66" i="284"/>
  <c r="L66" i="284"/>
  <c r="P66" i="284" s="1"/>
  <c r="K66" i="284"/>
  <c r="F66" i="284"/>
  <c r="AM65" i="284"/>
  <c r="AO65" i="284" s="1"/>
  <c r="S65" i="284"/>
  <c r="P65" i="284"/>
  <c r="L65" i="284"/>
  <c r="K65" i="284"/>
  <c r="F65" i="284"/>
  <c r="AO64" i="284"/>
  <c r="AM64" i="284"/>
  <c r="S64" i="284"/>
  <c r="L64" i="284"/>
  <c r="P64" i="284" s="1"/>
  <c r="M64" i="284" s="1"/>
  <c r="O64" i="284" s="1"/>
  <c r="K64" i="284"/>
  <c r="F64" i="284"/>
  <c r="AM63" i="284"/>
  <c r="AO63" i="284" s="1"/>
  <c r="S63" i="284"/>
  <c r="L63" i="284"/>
  <c r="K63" i="284"/>
  <c r="F63" i="284"/>
  <c r="AO62" i="284"/>
  <c r="AM62" i="284"/>
  <c r="S62" i="284"/>
  <c r="O62" i="284"/>
  <c r="N62" i="284"/>
  <c r="K62" i="284"/>
  <c r="L62" i="284" s="1"/>
  <c r="P62" i="284" s="1"/>
  <c r="M62" i="284" s="1"/>
  <c r="F62" i="284"/>
  <c r="AM61" i="284"/>
  <c r="AO61" i="284" s="1"/>
  <c r="S61" i="284"/>
  <c r="M61" i="284" s="1"/>
  <c r="N61" i="284"/>
  <c r="L61" i="284"/>
  <c r="P61" i="284" s="1"/>
  <c r="T61" i="284" s="1"/>
  <c r="K61" i="284"/>
  <c r="F61" i="284"/>
  <c r="AM60" i="284"/>
  <c r="AO60" i="284" s="1"/>
  <c r="S60" i="284"/>
  <c r="K60" i="284"/>
  <c r="L60" i="284" s="1"/>
  <c r="F60" i="284"/>
  <c r="AO59" i="284"/>
  <c r="AM59" i="284"/>
  <c r="S59" i="284"/>
  <c r="O59" i="284"/>
  <c r="M59" i="284"/>
  <c r="L59" i="284"/>
  <c r="P59" i="284" s="1"/>
  <c r="T59" i="284" s="1"/>
  <c r="U59" i="284" s="1"/>
  <c r="K59" i="284"/>
  <c r="F59" i="284"/>
  <c r="AM58" i="284"/>
  <c r="AO58" i="284" s="1"/>
  <c r="S58" i="284"/>
  <c r="P58" i="284"/>
  <c r="L58" i="284"/>
  <c r="K58" i="284"/>
  <c r="F58" i="284"/>
  <c r="AO57" i="284"/>
  <c r="AM57" i="284"/>
  <c r="S57" i="284"/>
  <c r="M57" i="284"/>
  <c r="O57" i="284" s="1"/>
  <c r="L57" i="284"/>
  <c r="P57" i="284" s="1"/>
  <c r="K57" i="284"/>
  <c r="F57" i="284"/>
  <c r="AM56" i="284"/>
  <c r="AO56" i="284" s="1"/>
  <c r="S56" i="284"/>
  <c r="P56" i="284"/>
  <c r="N56" i="284"/>
  <c r="L56" i="284"/>
  <c r="K56" i="284"/>
  <c r="F56" i="284"/>
  <c r="AO55" i="284"/>
  <c r="AM55" i="284"/>
  <c r="S55" i="284"/>
  <c r="P55" i="284"/>
  <c r="N55" i="284"/>
  <c r="K55" i="284"/>
  <c r="L55" i="284" s="1"/>
  <c r="F55" i="284"/>
  <c r="AO54" i="284"/>
  <c r="AM54" i="284"/>
  <c r="S54" i="284"/>
  <c r="O54" i="284"/>
  <c r="M54" i="284"/>
  <c r="K54" i="284"/>
  <c r="L54" i="284" s="1"/>
  <c r="P54" i="284" s="1"/>
  <c r="T54" i="284" s="1"/>
  <c r="U54" i="284" s="1"/>
  <c r="F54" i="284"/>
  <c r="AM53" i="284"/>
  <c r="AO53" i="284" s="1"/>
  <c r="S53" i="284"/>
  <c r="P53" i="284"/>
  <c r="L53" i="284"/>
  <c r="K53" i="284"/>
  <c r="D53" i="284"/>
  <c r="AO52" i="284"/>
  <c r="AM52" i="284"/>
  <c r="S52" i="284"/>
  <c r="K52" i="284"/>
  <c r="L52" i="284" s="1"/>
  <c r="F52" i="284"/>
  <c r="AM51" i="284"/>
  <c r="AO51" i="284" s="1"/>
  <c r="S51" i="284"/>
  <c r="N51" i="284"/>
  <c r="K51" i="284"/>
  <c r="L51" i="284" s="1"/>
  <c r="F51" i="284"/>
  <c r="AM50" i="284"/>
  <c r="AO50" i="284" s="1"/>
  <c r="S50" i="284"/>
  <c r="K50" i="284"/>
  <c r="L50" i="284" s="1"/>
  <c r="F50" i="284"/>
  <c r="AO49" i="284"/>
  <c r="AM49" i="284"/>
  <c r="S49" i="284"/>
  <c r="O49" i="284"/>
  <c r="M49" i="284"/>
  <c r="K49" i="284"/>
  <c r="L49" i="284" s="1"/>
  <c r="P49" i="284" s="1"/>
  <c r="T49" i="284" s="1"/>
  <c r="U49" i="284" s="1"/>
  <c r="F49" i="284"/>
  <c r="AM48" i="284"/>
  <c r="AO48" i="284" s="1"/>
  <c r="S48" i="284"/>
  <c r="P48" i="284"/>
  <c r="L48" i="284"/>
  <c r="K48" i="284"/>
  <c r="F48" i="284"/>
  <c r="AO47" i="284"/>
  <c r="AM47" i="284"/>
  <c r="S47" i="284"/>
  <c r="N47" i="284"/>
  <c r="K47" i="284"/>
  <c r="L47" i="284" s="1"/>
  <c r="F47" i="284"/>
  <c r="AM46" i="284"/>
  <c r="AO46" i="284" s="1"/>
  <c r="S46" i="284"/>
  <c r="L46" i="284"/>
  <c r="K46" i="284"/>
  <c r="F46" i="284"/>
  <c r="AO45" i="284"/>
  <c r="AM45" i="284"/>
  <c r="S45" i="284"/>
  <c r="P45" i="284"/>
  <c r="K45" i="284"/>
  <c r="L45" i="284" s="1"/>
  <c r="F45" i="284"/>
  <c r="D45" i="284"/>
  <c r="AO44" i="284"/>
  <c r="AM44" i="284"/>
  <c r="S44" i="284"/>
  <c r="N44" i="284"/>
  <c r="K44" i="284"/>
  <c r="L44" i="284" s="1"/>
  <c r="P44" i="284" s="1"/>
  <c r="M44" i="284" s="1"/>
  <c r="F44" i="284"/>
  <c r="D44" i="284"/>
  <c r="AO43" i="284"/>
  <c r="AM43" i="284"/>
  <c r="S43" i="284"/>
  <c r="K43" i="284"/>
  <c r="L43" i="284" s="1"/>
  <c r="F43" i="284"/>
  <c r="AM42" i="284"/>
  <c r="AO42" i="284" s="1"/>
  <c r="S42" i="284"/>
  <c r="K42" i="284"/>
  <c r="L42" i="284" s="1"/>
  <c r="F42" i="284"/>
  <c r="AO41" i="284"/>
  <c r="AM41" i="284"/>
  <c r="S41" i="284"/>
  <c r="O41" i="284"/>
  <c r="N41" i="284"/>
  <c r="K41" i="284"/>
  <c r="L41" i="284" s="1"/>
  <c r="P41" i="284" s="1"/>
  <c r="M41" i="284" s="1"/>
  <c r="F41" i="284"/>
  <c r="AM40" i="284"/>
  <c r="AO40" i="284" s="1"/>
  <c r="S40" i="284"/>
  <c r="L40" i="284"/>
  <c r="K40" i="284"/>
  <c r="F40" i="284"/>
  <c r="AO39" i="284"/>
  <c r="AM39" i="284"/>
  <c r="S39" i="284"/>
  <c r="K39" i="284"/>
  <c r="L39" i="284" s="1"/>
  <c r="F39" i="284"/>
  <c r="AM38" i="284"/>
  <c r="AO38" i="284" s="1"/>
  <c r="T38" i="284"/>
  <c r="U38" i="284" s="1"/>
  <c r="S38" i="284"/>
  <c r="M38" i="284" s="1"/>
  <c r="L38" i="284"/>
  <c r="P38" i="284" s="1"/>
  <c r="K38" i="284"/>
  <c r="D38" i="284"/>
  <c r="AM37" i="284"/>
  <c r="AO37" i="284" s="1"/>
  <c r="S37" i="284"/>
  <c r="N37" i="284"/>
  <c r="M37" i="284"/>
  <c r="L37" i="284"/>
  <c r="P37" i="284" s="1"/>
  <c r="K37" i="284"/>
  <c r="F37" i="284"/>
  <c r="AO36" i="284"/>
  <c r="AM36" i="284"/>
  <c r="S36" i="284"/>
  <c r="N36" i="284"/>
  <c r="L36" i="284"/>
  <c r="P36" i="284" s="1"/>
  <c r="K36" i="284"/>
  <c r="F36" i="284"/>
  <c r="AO35" i="284"/>
  <c r="AM35" i="284"/>
  <c r="T35" i="284"/>
  <c r="U35" i="284" s="1"/>
  <c r="S35" i="284"/>
  <c r="L35" i="284"/>
  <c r="P35" i="284" s="1"/>
  <c r="M35" i="284" s="1"/>
  <c r="O35" i="284" s="1"/>
  <c r="K35" i="284"/>
  <c r="F35" i="284"/>
  <c r="AM34" i="284"/>
  <c r="AO34" i="284" s="1"/>
  <c r="S34" i="284"/>
  <c r="L34" i="284"/>
  <c r="K34" i="284"/>
  <c r="F34" i="284"/>
  <c r="D34" i="284"/>
  <c r="AO33" i="284"/>
  <c r="AM33" i="284"/>
  <c r="S33" i="284"/>
  <c r="K33" i="284"/>
  <c r="L33" i="284" s="1"/>
  <c r="F33" i="284"/>
  <c r="AM32" i="284"/>
  <c r="AO32" i="284" s="1"/>
  <c r="S32" i="284"/>
  <c r="L32" i="284"/>
  <c r="K32" i="284"/>
  <c r="F32" i="284"/>
  <c r="AO31" i="284"/>
  <c r="AM31" i="284"/>
  <c r="S31" i="284"/>
  <c r="P31" i="284"/>
  <c r="K31" i="284"/>
  <c r="L31" i="284" s="1"/>
  <c r="F31" i="284"/>
  <c r="AM30" i="284"/>
  <c r="AO30" i="284" s="1"/>
  <c r="S30" i="284"/>
  <c r="N30" i="284"/>
  <c r="K30" i="284"/>
  <c r="L30" i="284" s="1"/>
  <c r="F30" i="284"/>
  <c r="AM29" i="284"/>
  <c r="AO29" i="284" s="1"/>
  <c r="S29" i="284"/>
  <c r="P29" i="284"/>
  <c r="N29" i="284"/>
  <c r="L29" i="284"/>
  <c r="K29" i="284"/>
  <c r="D29" i="284"/>
  <c r="AM28" i="284"/>
  <c r="AO28" i="284" s="1"/>
  <c r="S28" i="284"/>
  <c r="K28" i="284"/>
  <c r="L28" i="284" s="1"/>
  <c r="F28" i="284"/>
  <c r="AO27" i="284"/>
  <c r="AM27" i="284"/>
  <c r="S27" i="284"/>
  <c r="O27" i="284"/>
  <c r="M27" i="284"/>
  <c r="L27" i="284"/>
  <c r="P27" i="284" s="1"/>
  <c r="T27" i="284" s="1"/>
  <c r="U27" i="284" s="1"/>
  <c r="K27" i="284"/>
  <c r="F27" i="284"/>
  <c r="AM26" i="284"/>
  <c r="AO26" i="284" s="1"/>
  <c r="S26" i="284"/>
  <c r="P26" i="284"/>
  <c r="L26" i="284"/>
  <c r="K26" i="284"/>
  <c r="F26" i="284"/>
  <c r="AO25" i="284"/>
  <c r="AM25" i="284"/>
  <c r="S25" i="284"/>
  <c r="N25" i="284"/>
  <c r="K25" i="284"/>
  <c r="L25" i="284" s="1"/>
  <c r="P25" i="284" s="1"/>
  <c r="M25" i="284" s="1"/>
  <c r="F25" i="284"/>
  <c r="AM24" i="284"/>
  <c r="AO24" i="284" s="1"/>
  <c r="S24" i="284"/>
  <c r="L24" i="284"/>
  <c r="P24" i="284" s="1"/>
  <c r="K24" i="284"/>
  <c r="D24" i="284"/>
  <c r="AM23" i="284"/>
  <c r="AO23" i="284" s="1"/>
  <c r="S23" i="284"/>
  <c r="L23" i="284"/>
  <c r="K23" i="284"/>
  <c r="F23" i="284"/>
  <c r="AO22" i="284"/>
  <c r="AM22" i="284"/>
  <c r="S22" i="284"/>
  <c r="O22" i="284"/>
  <c r="N22" i="284"/>
  <c r="K22" i="284"/>
  <c r="L22" i="284" s="1"/>
  <c r="P22" i="284" s="1"/>
  <c r="M22" i="284" s="1"/>
  <c r="F22" i="284"/>
  <c r="D22" i="284"/>
  <c r="AO21" i="284"/>
  <c r="AM21" i="284"/>
  <c r="S21" i="284"/>
  <c r="O21" i="284"/>
  <c r="M21" i="284"/>
  <c r="L21" i="284"/>
  <c r="P21" i="284" s="1"/>
  <c r="T21" i="284" s="1"/>
  <c r="U21" i="284" s="1"/>
  <c r="K21" i="284"/>
  <c r="F21" i="284"/>
  <c r="D21" i="284"/>
  <c r="AM20" i="284"/>
  <c r="AO20" i="284" s="1"/>
  <c r="S20" i="284"/>
  <c r="N20" i="284"/>
  <c r="L20" i="284"/>
  <c r="P20" i="284" s="1"/>
  <c r="M20" i="284" s="1"/>
  <c r="K20" i="284"/>
  <c r="F20" i="284"/>
  <c r="AM19" i="284"/>
  <c r="AO19" i="284" s="1"/>
  <c r="S19" i="284"/>
  <c r="L19" i="284"/>
  <c r="K19" i="284"/>
  <c r="F19" i="284"/>
  <c r="D19" i="284"/>
  <c r="AO18" i="284"/>
  <c r="AM18" i="284"/>
  <c r="S18" i="284"/>
  <c r="K18" i="284"/>
  <c r="L18" i="284" s="1"/>
  <c r="F18" i="284"/>
  <c r="D18" i="284"/>
  <c r="AO17" i="284"/>
  <c r="AM17" i="284"/>
  <c r="S17" i="284"/>
  <c r="O17" i="284"/>
  <c r="N17" i="284"/>
  <c r="K17" i="284"/>
  <c r="L17" i="284" s="1"/>
  <c r="P17" i="284" s="1"/>
  <c r="M17" i="284" s="1"/>
  <c r="F17" i="284"/>
  <c r="AM16" i="284"/>
  <c r="AO16" i="284" s="1"/>
  <c r="S16" i="284"/>
  <c r="L16" i="284"/>
  <c r="K16" i="284"/>
  <c r="F16" i="284"/>
  <c r="AL15" i="284"/>
  <c r="S15" i="284"/>
  <c r="K15" i="284"/>
  <c r="L15" i="284" s="1"/>
  <c r="F15" i="284"/>
  <c r="AO14" i="284"/>
  <c r="AM14" i="284"/>
  <c r="S14" i="284"/>
  <c r="O14" i="284"/>
  <c r="M14" i="284"/>
  <c r="L14" i="284"/>
  <c r="P14" i="284" s="1"/>
  <c r="T14" i="284" s="1"/>
  <c r="U14" i="284" s="1"/>
  <c r="K14" i="284"/>
  <c r="F14" i="284"/>
  <c r="AM13" i="284"/>
  <c r="AO13" i="284" s="1"/>
  <c r="S13" i="284"/>
  <c r="P13" i="284"/>
  <c r="L13" i="284"/>
  <c r="K13" i="284"/>
  <c r="F13" i="284"/>
  <c r="AO12" i="284"/>
  <c r="AM12" i="284"/>
  <c r="S12" i="284"/>
  <c r="N12" i="284"/>
  <c r="K12" i="284"/>
  <c r="L12" i="284" s="1"/>
  <c r="P12" i="284" s="1"/>
  <c r="M12" i="284" s="1"/>
  <c r="F12" i="284"/>
  <c r="D12" i="284"/>
  <c r="AO11" i="284"/>
  <c r="AM11" i="284"/>
  <c r="T11" i="284"/>
  <c r="U11" i="284" s="1"/>
  <c r="S11" i="284"/>
  <c r="L11" i="284"/>
  <c r="P11" i="284" s="1"/>
  <c r="M11" i="284" s="1"/>
  <c r="O11" i="284" s="1"/>
  <c r="K11" i="284"/>
  <c r="F11" i="284"/>
  <c r="AM10" i="284"/>
  <c r="AO10" i="284" s="1"/>
  <c r="S10" i="284"/>
  <c r="L10" i="284"/>
  <c r="K10" i="284"/>
  <c r="F10" i="284"/>
  <c r="AO9" i="284"/>
  <c r="AN9" i="284"/>
  <c r="AM9" i="284"/>
  <c r="S9" i="284"/>
  <c r="O9" i="284"/>
  <c r="M9" i="284"/>
  <c r="L9" i="284"/>
  <c r="P9" i="284" s="1"/>
  <c r="T9" i="284" s="1"/>
  <c r="U9" i="284" s="1"/>
  <c r="V9" i="284" s="1"/>
  <c r="K9" i="284"/>
  <c r="F9" i="284"/>
  <c r="A9" i="284"/>
  <c r="A10" i="284" s="1"/>
  <c r="A11" i="284" s="1"/>
  <c r="A12" i="284" s="1"/>
  <c r="A13" i="284" s="1"/>
  <c r="A14" i="284" s="1"/>
  <c r="A15" i="284" s="1"/>
  <c r="A16" i="284" s="1"/>
  <c r="A17" i="284" s="1"/>
  <c r="A18" i="284" s="1"/>
  <c r="A19" i="284" s="1"/>
  <c r="A20" i="284" s="1"/>
  <c r="A21" i="284" s="1"/>
  <c r="A22" i="284" s="1"/>
  <c r="A23" i="284" s="1"/>
  <c r="A24" i="284" s="1"/>
  <c r="A25" i="284" s="1"/>
  <c r="A26" i="284" s="1"/>
  <c r="A27" i="284" s="1"/>
  <c r="A28" i="284" s="1"/>
  <c r="A29" i="284" s="1"/>
  <c r="A30" i="284" s="1"/>
  <c r="A31" i="284" s="1"/>
  <c r="A32" i="284" s="1"/>
  <c r="A33" i="284" s="1"/>
  <c r="A34" i="284" s="1"/>
  <c r="A35" i="284" s="1"/>
  <c r="A36" i="284" s="1"/>
  <c r="A37" i="284" s="1"/>
  <c r="A38" i="284" s="1"/>
  <c r="A39" i="284" s="1"/>
  <c r="A40" i="284" s="1"/>
  <c r="A41" i="284" s="1"/>
  <c r="A42" i="284" s="1"/>
  <c r="A43" i="284" s="1"/>
  <c r="A44" i="284" s="1"/>
  <c r="A45" i="284" s="1"/>
  <c r="A46" i="284" s="1"/>
  <c r="A47" i="284" s="1"/>
  <c r="A48" i="284" s="1"/>
  <c r="A49" i="284" s="1"/>
  <c r="A50" i="284" s="1"/>
  <c r="A51" i="284" s="1"/>
  <c r="A52" i="284" s="1"/>
  <c r="A53" i="284" s="1"/>
  <c r="A54" i="284" s="1"/>
  <c r="A55" i="284" s="1"/>
  <c r="A56" i="284" s="1"/>
  <c r="A57" i="284" s="1"/>
  <c r="A58" i="284" s="1"/>
  <c r="A59" i="284" s="1"/>
  <c r="A60" i="284" s="1"/>
  <c r="A61" i="284" s="1"/>
  <c r="A62" i="284" s="1"/>
  <c r="A63" i="284" s="1"/>
  <c r="A64" i="284" s="1"/>
  <c r="A65" i="284" s="1"/>
  <c r="A66" i="284" s="1"/>
  <c r="A67" i="284" s="1"/>
  <c r="A68" i="284" s="1"/>
  <c r="A69" i="284" s="1"/>
  <c r="A70" i="284" s="1"/>
  <c r="A71" i="284" s="1"/>
  <c r="A72" i="284" s="1"/>
  <c r="A73" i="284" s="1"/>
  <c r="A74" i="284" s="1"/>
  <c r="A75" i="284" s="1"/>
  <c r="A76" i="284" s="1"/>
  <c r="A77" i="284" s="1"/>
  <c r="A78" i="284" s="1"/>
  <c r="A79" i="284" s="1"/>
  <c r="A80" i="284" s="1"/>
  <c r="A81" i="284" s="1"/>
  <c r="A82" i="284" s="1"/>
  <c r="A83" i="284" s="1"/>
  <c r="A84" i="284" s="1"/>
  <c r="AM8" i="284"/>
  <c r="AO8" i="284" s="1"/>
  <c r="S8" i="284"/>
  <c r="K8" i="284"/>
  <c r="L8" i="284" s="1"/>
  <c r="F8" i="284"/>
  <c r="D8" i="284"/>
  <c r="A8" i="284"/>
  <c r="AO7" i="284"/>
  <c r="AM7" i="284"/>
  <c r="S7" i="284"/>
  <c r="P7" i="284"/>
  <c r="K7" i="284"/>
  <c r="L7" i="284" s="1"/>
  <c r="F7" i="284"/>
  <c r="A7" i="284"/>
  <c r="AM6" i="284"/>
  <c r="S6" i="284"/>
  <c r="L6" i="284"/>
  <c r="K6" i="284"/>
  <c r="F6" i="284"/>
  <c r="AS19" i="296"/>
  <c r="AQ18" i="296"/>
  <c r="AP18" i="296"/>
  <c r="AO18" i="296"/>
  <c r="AN18" i="296"/>
  <c r="AM18" i="296"/>
  <c r="AL18" i="296"/>
  <c r="AK18" i="296"/>
  <c r="AJ18" i="296"/>
  <c r="AI18" i="296"/>
  <c r="AH18" i="296"/>
  <c r="AG18" i="296"/>
  <c r="AF18" i="296"/>
  <c r="AE18" i="296"/>
  <c r="AD18" i="296"/>
  <c r="AC18" i="296"/>
  <c r="AB18" i="296"/>
  <c r="AA18" i="296"/>
  <c r="Z18" i="296"/>
  <c r="Y18" i="296"/>
  <c r="X18" i="296"/>
  <c r="W18" i="296"/>
  <c r="V18" i="296"/>
  <c r="U18" i="296"/>
  <c r="T18" i="296"/>
  <c r="S18" i="296"/>
  <c r="R18" i="296"/>
  <c r="Q18" i="296"/>
  <c r="P18" i="296"/>
  <c r="O18" i="296"/>
  <c r="N18" i="296"/>
  <c r="M18" i="296"/>
  <c r="L18" i="296"/>
  <c r="K18" i="296"/>
  <c r="J18" i="296"/>
  <c r="I18" i="296"/>
  <c r="H18" i="296"/>
  <c r="G18" i="296"/>
  <c r="F18" i="296"/>
  <c r="E18" i="296"/>
  <c r="D18" i="296"/>
  <c r="C18" i="296"/>
  <c r="B18" i="296"/>
  <c r="AQ17" i="296"/>
  <c r="AP17" i="296"/>
  <c r="AO17" i="296"/>
  <c r="AN17" i="296"/>
  <c r="AM17" i="296"/>
  <c r="AL17" i="296"/>
  <c r="AK17" i="296"/>
  <c r="AJ17" i="296"/>
  <c r="AI17" i="296"/>
  <c r="AH17" i="296"/>
  <c r="AG17" i="296"/>
  <c r="AF17" i="296"/>
  <c r="AE17" i="296"/>
  <c r="AD17" i="296"/>
  <c r="AC17" i="296"/>
  <c r="AB17" i="296"/>
  <c r="AA17" i="296"/>
  <c r="Z17" i="296"/>
  <c r="Y17" i="296"/>
  <c r="X17" i="296"/>
  <c r="W17" i="296"/>
  <c r="V17" i="296"/>
  <c r="U17" i="296"/>
  <c r="T17" i="296"/>
  <c r="S17" i="296"/>
  <c r="R17" i="296"/>
  <c r="Q17" i="296"/>
  <c r="P17" i="296"/>
  <c r="O17" i="296"/>
  <c r="N17" i="296"/>
  <c r="M17" i="296"/>
  <c r="L17" i="296"/>
  <c r="K17" i="296"/>
  <c r="J17" i="296"/>
  <c r="I17" i="296"/>
  <c r="H17" i="296"/>
  <c r="G17" i="296"/>
  <c r="F17" i="296"/>
  <c r="E17" i="296"/>
  <c r="D17" i="296"/>
  <c r="C17" i="296"/>
  <c r="B17" i="296"/>
  <c r="AQ16" i="296"/>
  <c r="AP16" i="296"/>
  <c r="AO16" i="296"/>
  <c r="AN16" i="296"/>
  <c r="AM16" i="296"/>
  <c r="AL16" i="296"/>
  <c r="AK16" i="296"/>
  <c r="AJ16" i="296"/>
  <c r="AI16" i="296"/>
  <c r="AH16" i="296"/>
  <c r="AG16" i="296"/>
  <c r="AF16" i="296"/>
  <c r="AE16" i="296"/>
  <c r="AD16" i="296"/>
  <c r="AC16" i="296"/>
  <c r="AB16" i="296"/>
  <c r="AA16" i="296"/>
  <c r="Z16" i="296"/>
  <c r="Y16" i="296"/>
  <c r="X16" i="296"/>
  <c r="W16" i="296"/>
  <c r="V16" i="296"/>
  <c r="U16" i="296"/>
  <c r="T16" i="296"/>
  <c r="S16" i="296"/>
  <c r="R16" i="296"/>
  <c r="Q16" i="296"/>
  <c r="P16" i="296"/>
  <c r="O16" i="296"/>
  <c r="N16" i="296"/>
  <c r="M16" i="296"/>
  <c r="L16" i="296"/>
  <c r="K16" i="296"/>
  <c r="J16" i="296"/>
  <c r="I16" i="296"/>
  <c r="H16" i="296"/>
  <c r="G16" i="296"/>
  <c r="F16" i="296"/>
  <c r="E16" i="296"/>
  <c r="D16" i="296"/>
  <c r="C16" i="296"/>
  <c r="B16" i="296"/>
  <c r="AQ15" i="296"/>
  <c r="AP15" i="296"/>
  <c r="AO15" i="296"/>
  <c r="AN15" i="296"/>
  <c r="AM15" i="296"/>
  <c r="AL15" i="296"/>
  <c r="AK15" i="296"/>
  <c r="AJ15" i="296"/>
  <c r="AI15" i="296"/>
  <c r="AH15" i="296"/>
  <c r="AG15" i="296"/>
  <c r="AF15" i="296"/>
  <c r="AE15" i="296"/>
  <c r="AD15" i="296"/>
  <c r="AC15" i="296"/>
  <c r="AB15" i="296"/>
  <c r="AA15" i="296"/>
  <c r="Z15" i="296"/>
  <c r="Y15" i="296"/>
  <c r="X15" i="296"/>
  <c r="W15" i="296"/>
  <c r="V15" i="296"/>
  <c r="U15" i="296"/>
  <c r="T15" i="296"/>
  <c r="S15" i="296"/>
  <c r="R15" i="296"/>
  <c r="Q15" i="296"/>
  <c r="P15" i="296"/>
  <c r="O15" i="296"/>
  <c r="N15" i="296"/>
  <c r="M15" i="296"/>
  <c r="L15" i="296"/>
  <c r="K15" i="296"/>
  <c r="J15" i="296"/>
  <c r="I15" i="296"/>
  <c r="H15" i="296"/>
  <c r="G15" i="296"/>
  <c r="F15" i="296"/>
  <c r="E15" i="296"/>
  <c r="D15" i="296"/>
  <c r="C15" i="296"/>
  <c r="B15" i="296"/>
  <c r="AQ14" i="296"/>
  <c r="AP14" i="296"/>
  <c r="AO14" i="296"/>
  <c r="AN14" i="296"/>
  <c r="AM14" i="296"/>
  <c r="AL14" i="296"/>
  <c r="AK14" i="296"/>
  <c r="AJ14" i="296"/>
  <c r="AI14" i="296"/>
  <c r="AH14" i="296"/>
  <c r="AG14" i="296"/>
  <c r="AF14" i="296"/>
  <c r="AE14" i="296"/>
  <c r="AD14" i="296"/>
  <c r="AC14" i="296"/>
  <c r="AB14" i="296"/>
  <c r="AA14" i="296"/>
  <c r="Z14" i="296"/>
  <c r="Y14" i="296"/>
  <c r="X14" i="296"/>
  <c r="W14" i="296"/>
  <c r="V14" i="296"/>
  <c r="U14" i="296"/>
  <c r="T14" i="296"/>
  <c r="S14" i="296"/>
  <c r="R14" i="296"/>
  <c r="Q14" i="296"/>
  <c r="P14" i="296"/>
  <c r="O14" i="296"/>
  <c r="N14" i="296"/>
  <c r="M14" i="296"/>
  <c r="L14" i="296"/>
  <c r="K14" i="296"/>
  <c r="J14" i="296"/>
  <c r="I14" i="296"/>
  <c r="H14" i="296"/>
  <c r="G14" i="296"/>
  <c r="F14" i="296"/>
  <c r="E14" i="296"/>
  <c r="D14" i="296"/>
  <c r="C14" i="296"/>
  <c r="B14" i="296"/>
  <c r="AQ13" i="296"/>
  <c r="AP13" i="296"/>
  <c r="AO13" i="296"/>
  <c r="AN13" i="296"/>
  <c r="AM13" i="296"/>
  <c r="AL13" i="296"/>
  <c r="AK13" i="296"/>
  <c r="AJ13" i="296"/>
  <c r="AI13" i="296"/>
  <c r="AH13" i="296"/>
  <c r="AG13" i="296"/>
  <c r="AF13" i="296"/>
  <c r="AE13" i="296"/>
  <c r="AD13" i="296"/>
  <c r="AC13" i="296"/>
  <c r="AB13" i="296"/>
  <c r="AA13" i="296"/>
  <c r="Z13" i="296"/>
  <c r="Y13" i="296"/>
  <c r="X13" i="296"/>
  <c r="W13" i="296"/>
  <c r="V13" i="296"/>
  <c r="U13" i="296"/>
  <c r="T13" i="296"/>
  <c r="S13" i="296"/>
  <c r="R13" i="296"/>
  <c r="Q13" i="296"/>
  <c r="P13" i="296"/>
  <c r="O13" i="296"/>
  <c r="N13" i="296"/>
  <c r="M13" i="296"/>
  <c r="L13" i="296"/>
  <c r="K13" i="296"/>
  <c r="J13" i="296"/>
  <c r="I13" i="296"/>
  <c r="H13" i="296"/>
  <c r="G13" i="296"/>
  <c r="F13" i="296"/>
  <c r="E13" i="296"/>
  <c r="D13" i="296"/>
  <c r="C13" i="296"/>
  <c r="B13" i="296"/>
  <c r="AQ12" i="296"/>
  <c r="AP12" i="296"/>
  <c r="AO12" i="296"/>
  <c r="AN12" i="296"/>
  <c r="AM12" i="296"/>
  <c r="AL12" i="296"/>
  <c r="AK12" i="296"/>
  <c r="AJ12" i="296"/>
  <c r="AI12" i="296"/>
  <c r="AH12" i="296"/>
  <c r="AG12" i="296"/>
  <c r="AF12" i="296"/>
  <c r="AE12" i="296"/>
  <c r="AD12" i="296"/>
  <c r="AC12" i="296"/>
  <c r="AB12" i="296"/>
  <c r="AA12" i="296"/>
  <c r="Z12" i="296"/>
  <c r="Y12" i="296"/>
  <c r="X12" i="296"/>
  <c r="W12" i="296"/>
  <c r="V12" i="296"/>
  <c r="U12" i="296"/>
  <c r="T12" i="296"/>
  <c r="S12" i="296"/>
  <c r="R12" i="296"/>
  <c r="Q12" i="296"/>
  <c r="P12" i="296"/>
  <c r="O12" i="296"/>
  <c r="N12" i="296"/>
  <c r="M12" i="296"/>
  <c r="L12" i="296"/>
  <c r="K12" i="296"/>
  <c r="J12" i="296"/>
  <c r="I12" i="296"/>
  <c r="H12" i="296"/>
  <c r="G12" i="296"/>
  <c r="F12" i="296"/>
  <c r="E12" i="296"/>
  <c r="D12" i="296"/>
  <c r="C12" i="296"/>
  <c r="B12" i="296"/>
  <c r="AQ11" i="296"/>
  <c r="AP11" i="296"/>
  <c r="AO11" i="296"/>
  <c r="AN11" i="296"/>
  <c r="AM11" i="296"/>
  <c r="AL11" i="296"/>
  <c r="AK11" i="296"/>
  <c r="AJ11" i="296"/>
  <c r="AI11" i="296"/>
  <c r="AH11" i="296"/>
  <c r="AG11" i="296"/>
  <c r="AF11" i="296"/>
  <c r="AE11" i="296"/>
  <c r="AD11" i="296"/>
  <c r="AC11" i="296"/>
  <c r="AB11" i="296"/>
  <c r="AA11" i="296"/>
  <c r="Z11" i="296"/>
  <c r="Y11" i="296"/>
  <c r="X11" i="296"/>
  <c r="W11" i="296"/>
  <c r="V11" i="296"/>
  <c r="U11" i="296"/>
  <c r="T11" i="296"/>
  <c r="S11" i="296"/>
  <c r="R11" i="296"/>
  <c r="Q11" i="296"/>
  <c r="P11" i="296"/>
  <c r="O11" i="296"/>
  <c r="N11" i="296"/>
  <c r="M11" i="296"/>
  <c r="L11" i="296"/>
  <c r="K11" i="296"/>
  <c r="J11" i="296"/>
  <c r="I11" i="296"/>
  <c r="H11" i="296"/>
  <c r="G11" i="296"/>
  <c r="F11" i="296"/>
  <c r="E11" i="296"/>
  <c r="D11" i="296"/>
  <c r="C11" i="296"/>
  <c r="B11" i="296"/>
  <c r="AQ10" i="296"/>
  <c r="AP10" i="296"/>
  <c r="AO10" i="296"/>
  <c r="AN10" i="296"/>
  <c r="AM10" i="296"/>
  <c r="AL10" i="296"/>
  <c r="AK10" i="296"/>
  <c r="AJ10" i="296"/>
  <c r="AI10" i="296"/>
  <c r="AH10" i="296"/>
  <c r="AG10" i="296"/>
  <c r="AF10" i="296"/>
  <c r="AE10" i="296"/>
  <c r="AD10" i="296"/>
  <c r="AC10" i="296"/>
  <c r="AB10" i="296"/>
  <c r="AA10" i="296"/>
  <c r="Z10" i="296"/>
  <c r="Y10" i="296"/>
  <c r="X10" i="296"/>
  <c r="W10" i="296"/>
  <c r="V10" i="296"/>
  <c r="U10" i="296"/>
  <c r="T10" i="296"/>
  <c r="S10" i="296"/>
  <c r="R10" i="296"/>
  <c r="Q10" i="296"/>
  <c r="P10" i="296"/>
  <c r="O10" i="296"/>
  <c r="N10" i="296"/>
  <c r="M10" i="296"/>
  <c r="L10" i="296"/>
  <c r="K10" i="296"/>
  <c r="J10" i="296"/>
  <c r="I10" i="296"/>
  <c r="H10" i="296"/>
  <c r="G10" i="296"/>
  <c r="F10" i="296"/>
  <c r="E10" i="296"/>
  <c r="D10" i="296"/>
  <c r="C10" i="296"/>
  <c r="B10" i="296"/>
  <c r="AQ9" i="296"/>
  <c r="AP9" i="296"/>
  <c r="AO9" i="296"/>
  <c r="AN9" i="296"/>
  <c r="AM9" i="296"/>
  <c r="AL9" i="296"/>
  <c r="AK9" i="296"/>
  <c r="AJ9" i="296"/>
  <c r="AI9" i="296"/>
  <c r="AH9" i="296"/>
  <c r="AG9" i="296"/>
  <c r="AF9" i="296"/>
  <c r="AE9" i="296"/>
  <c r="AD9" i="296"/>
  <c r="AC9" i="296"/>
  <c r="AB9" i="296"/>
  <c r="AA9" i="296"/>
  <c r="Z9" i="296"/>
  <c r="Y9" i="296"/>
  <c r="X9" i="296"/>
  <c r="W9" i="296"/>
  <c r="V9" i="296"/>
  <c r="U9" i="296"/>
  <c r="T9" i="296"/>
  <c r="S9" i="296"/>
  <c r="R9" i="296"/>
  <c r="Q9" i="296"/>
  <c r="P9" i="296"/>
  <c r="O9" i="296"/>
  <c r="N9" i="296"/>
  <c r="M9" i="296"/>
  <c r="L9" i="296"/>
  <c r="K9" i="296"/>
  <c r="J9" i="296"/>
  <c r="I9" i="296"/>
  <c r="H9" i="296"/>
  <c r="G9" i="296"/>
  <c r="F9" i="296"/>
  <c r="E9" i="296"/>
  <c r="D9" i="296"/>
  <c r="C9" i="296"/>
  <c r="B9" i="296"/>
  <c r="AQ8" i="296"/>
  <c r="AP8" i="296"/>
  <c r="AO8" i="296"/>
  <c r="AN8" i="296"/>
  <c r="AM8" i="296"/>
  <c r="AL8" i="296"/>
  <c r="AK8" i="296"/>
  <c r="AJ8" i="296"/>
  <c r="AH8" i="296"/>
  <c r="AG8" i="296"/>
  <c r="AF8" i="296"/>
  <c r="AE8" i="296"/>
  <c r="AD8" i="296"/>
  <c r="AC8" i="296"/>
  <c r="AB8" i="296"/>
  <c r="AA8" i="296"/>
  <c r="Z8" i="296"/>
  <c r="Y8" i="296"/>
  <c r="X8" i="296"/>
  <c r="W8" i="296"/>
  <c r="V8" i="296"/>
  <c r="U8" i="296"/>
  <c r="T8" i="296"/>
  <c r="S8" i="296"/>
  <c r="R8" i="296"/>
  <c r="Q8" i="296"/>
  <c r="P8" i="296"/>
  <c r="O8" i="296"/>
  <c r="N8" i="296"/>
  <c r="M8" i="296"/>
  <c r="L8" i="296"/>
  <c r="K8" i="296"/>
  <c r="J8" i="296"/>
  <c r="I8" i="296"/>
  <c r="H8" i="296"/>
  <c r="G8" i="296"/>
  <c r="F8" i="296"/>
  <c r="E8" i="296"/>
  <c r="D8" i="296"/>
  <c r="C8" i="296"/>
  <c r="B8" i="296"/>
  <c r="AQ7" i="296"/>
  <c r="AO7" i="296"/>
  <c r="AN7" i="296"/>
  <c r="AM7" i="296"/>
  <c r="AH7" i="296"/>
  <c r="AG7" i="296"/>
  <c r="AF7" i="296"/>
  <c r="AE7" i="296"/>
  <c r="AD7" i="296"/>
  <c r="AC7" i="296"/>
  <c r="AB7" i="296"/>
  <c r="AA7" i="296"/>
  <c r="Z7" i="296"/>
  <c r="Y7" i="296"/>
  <c r="X7" i="296"/>
  <c r="W7" i="296"/>
  <c r="V7" i="296"/>
  <c r="U7" i="296"/>
  <c r="T7" i="296"/>
  <c r="S7" i="296"/>
  <c r="R7" i="296"/>
  <c r="Q7" i="296"/>
  <c r="P7" i="296"/>
  <c r="O7" i="296"/>
  <c r="N7" i="296"/>
  <c r="M7" i="296"/>
  <c r="L7" i="296"/>
  <c r="K7" i="296"/>
  <c r="J7" i="296"/>
  <c r="I7" i="296"/>
  <c r="H7" i="296"/>
  <c r="G7" i="296"/>
  <c r="F7" i="296"/>
  <c r="E7" i="296"/>
  <c r="D7" i="296"/>
  <c r="C7" i="296"/>
  <c r="B7" i="296"/>
  <c r="AF19" i="306"/>
  <c r="AA19" i="306"/>
  <c r="Y19" i="306"/>
  <c r="H18" i="306"/>
  <c r="D18" i="306"/>
  <c r="AC17" i="306"/>
  <c r="AB17" i="306"/>
  <c r="W17" i="306"/>
  <c r="W18" i="306" s="1"/>
  <c r="R17" i="306"/>
  <c r="R18" i="306" s="1"/>
  <c r="Q17" i="306"/>
  <c r="Q18" i="306" s="1"/>
  <c r="N17" i="306"/>
  <c r="N18" i="306" s="1"/>
  <c r="J17" i="306"/>
  <c r="J18" i="306" s="1"/>
  <c r="I17" i="306"/>
  <c r="I18" i="306" s="1"/>
  <c r="H17" i="306"/>
  <c r="G17" i="306"/>
  <c r="G18" i="306" s="1"/>
  <c r="F17" i="306"/>
  <c r="F18" i="306" s="1"/>
  <c r="E17" i="306"/>
  <c r="E18" i="306" s="1"/>
  <c r="D17" i="306"/>
  <c r="C17" i="306"/>
  <c r="B17" i="306"/>
  <c r="Q16" i="306"/>
  <c r="I16" i="306"/>
  <c r="E16" i="306"/>
  <c r="AC15" i="306"/>
  <c r="AB15" i="306"/>
  <c r="W15" i="306"/>
  <c r="W16" i="306" s="1"/>
  <c r="S15" i="306"/>
  <c r="S16" i="306" s="1"/>
  <c r="R15" i="306"/>
  <c r="R16" i="306" s="1"/>
  <c r="Q15" i="306"/>
  <c r="N15" i="306"/>
  <c r="N16" i="306" s="1"/>
  <c r="K15" i="306"/>
  <c r="K16" i="306" s="1"/>
  <c r="J15" i="306"/>
  <c r="J16" i="306" s="1"/>
  <c r="I15" i="306"/>
  <c r="H15" i="306"/>
  <c r="H16" i="306" s="1"/>
  <c r="G15" i="306"/>
  <c r="G16" i="306" s="1"/>
  <c r="G19" i="306" s="1"/>
  <c r="E15" i="306"/>
  <c r="D15" i="306"/>
  <c r="D16" i="306" s="1"/>
  <c r="C15" i="306"/>
  <c r="B15" i="306"/>
  <c r="AA14" i="306"/>
  <c r="Z14" i="306"/>
  <c r="Y14" i="306"/>
  <c r="X14" i="306"/>
  <c r="R14" i="306"/>
  <c r="N14" i="306"/>
  <c r="J14" i="306"/>
  <c r="AC13" i="306"/>
  <c r="AB13" i="306"/>
  <c r="W13" i="306"/>
  <c r="R13" i="306"/>
  <c r="Q13" i="306"/>
  <c r="N13" i="306"/>
  <c r="J13" i="306"/>
  <c r="I13" i="306"/>
  <c r="H13" i="306"/>
  <c r="H14" i="306" s="1"/>
  <c r="G13" i="306"/>
  <c r="E13" i="306"/>
  <c r="D13" i="306"/>
  <c r="D14" i="306" s="1"/>
  <c r="C13" i="306"/>
  <c r="B13" i="306"/>
  <c r="AC12" i="306"/>
  <c r="AB12" i="306"/>
  <c r="W12" i="306"/>
  <c r="W14" i="306" s="1"/>
  <c r="S12" i="306"/>
  <c r="R12" i="306"/>
  <c r="Q12" i="306"/>
  <c r="Q14" i="306" s="1"/>
  <c r="N12" i="306"/>
  <c r="J12" i="306"/>
  <c r="I12" i="306"/>
  <c r="I14" i="306" s="1"/>
  <c r="H12" i="306"/>
  <c r="G12" i="306"/>
  <c r="G14" i="306" s="1"/>
  <c r="E12" i="306"/>
  <c r="E14" i="306" s="1"/>
  <c r="D12" i="306"/>
  <c r="C12" i="306"/>
  <c r="B12" i="306"/>
  <c r="AA11" i="306"/>
  <c r="Z11" i="306"/>
  <c r="Z19" i="306" s="1"/>
  <c r="Y11" i="306"/>
  <c r="X11" i="306"/>
  <c r="X19" i="306" s="1"/>
  <c r="AC10" i="306"/>
  <c r="AB10" i="306"/>
  <c r="V10" i="306"/>
  <c r="R10" i="306"/>
  <c r="Q10" i="306"/>
  <c r="N10" i="306"/>
  <c r="J10" i="306"/>
  <c r="I10" i="306"/>
  <c r="H10" i="306"/>
  <c r="G10" i="306"/>
  <c r="E10" i="306"/>
  <c r="C10" i="306"/>
  <c r="B10" i="306"/>
  <c r="AC9" i="306"/>
  <c r="AB9" i="306"/>
  <c r="V9" i="306"/>
  <c r="S9" i="306"/>
  <c r="R9" i="306"/>
  <c r="Q9" i="306"/>
  <c r="N9" i="306"/>
  <c r="K9" i="306"/>
  <c r="J9" i="306"/>
  <c r="I9" i="306"/>
  <c r="H9" i="306"/>
  <c r="G9" i="306"/>
  <c r="E9" i="306"/>
  <c r="C9" i="306"/>
  <c r="B9" i="306"/>
  <c r="AC8" i="306"/>
  <c r="AB8" i="306"/>
  <c r="W8" i="306"/>
  <c r="R8" i="306"/>
  <c r="R11" i="306" s="1"/>
  <c r="Q8" i="306"/>
  <c r="N8" i="306"/>
  <c r="L8" i="306"/>
  <c r="J8" i="306"/>
  <c r="J11" i="306" s="1"/>
  <c r="I8" i="306"/>
  <c r="H8" i="306"/>
  <c r="H11" i="306" s="1"/>
  <c r="G8" i="306"/>
  <c r="E8" i="306"/>
  <c r="D8" i="306"/>
  <c r="C8" i="306"/>
  <c r="B8" i="306"/>
  <c r="AC7" i="306"/>
  <c r="AB7" i="306"/>
  <c r="V7" i="306"/>
  <c r="S7" i="306"/>
  <c r="R7" i="306"/>
  <c r="Q7" i="306"/>
  <c r="Q11" i="306" s="1"/>
  <c r="K7" i="306"/>
  <c r="J7" i="306"/>
  <c r="I7" i="306"/>
  <c r="I11" i="306" s="1"/>
  <c r="H7" i="306"/>
  <c r="G7" i="306"/>
  <c r="G11" i="306" s="1"/>
  <c r="E7" i="306"/>
  <c r="E11" i="306" s="1"/>
  <c r="C7" i="306"/>
  <c r="B7" i="306"/>
  <c r="A7" i="306"/>
  <c r="A8" i="306" s="1"/>
  <c r="A9" i="306" s="1"/>
  <c r="A10" i="306" s="1"/>
  <c r="A12" i="306" s="1"/>
  <c r="A13" i="306" s="1"/>
  <c r="A15" i="306" s="1"/>
  <c r="A17" i="306" s="1"/>
  <c r="A19" i="306" s="1"/>
  <c r="W6" i="306"/>
  <c r="H6" i="306"/>
  <c r="G6" i="306"/>
  <c r="D6" i="306"/>
  <c r="AC5" i="306"/>
  <c r="AB5" i="306"/>
  <c r="W5" i="306"/>
  <c r="R5" i="306"/>
  <c r="R6" i="306" s="1"/>
  <c r="Q5" i="306"/>
  <c r="Q6" i="306" s="1"/>
  <c r="N5" i="306"/>
  <c r="N6" i="306" s="1"/>
  <c r="J5" i="306"/>
  <c r="J6" i="306" s="1"/>
  <c r="I5" i="306"/>
  <c r="I6" i="306" s="1"/>
  <c r="H5" i="306"/>
  <c r="G5" i="306"/>
  <c r="F5" i="306"/>
  <c r="F6" i="306" s="1"/>
  <c r="E5" i="306"/>
  <c r="E6" i="306" s="1"/>
  <c r="D5" i="306"/>
  <c r="C5" i="306"/>
  <c r="B5" i="306"/>
  <c r="AA14" i="282"/>
  <c r="Z14" i="282"/>
  <c r="Y14" i="282"/>
  <c r="X14" i="282"/>
  <c r="R14" i="282"/>
  <c r="Q14" i="282"/>
  <c r="J14" i="282"/>
  <c r="I14" i="282"/>
  <c r="H14" i="282"/>
  <c r="G14" i="282"/>
  <c r="E14" i="282"/>
  <c r="S13" i="282"/>
  <c r="S10" i="306" s="1"/>
  <c r="N13" i="282"/>
  <c r="K13" i="282"/>
  <c r="L13" i="282" s="1"/>
  <c r="D13" i="282"/>
  <c r="S12" i="282"/>
  <c r="K12" i="282"/>
  <c r="L12" i="282" s="1"/>
  <c r="D12" i="282"/>
  <c r="S11" i="282"/>
  <c r="S17" i="306" s="1"/>
  <c r="S18" i="306" s="1"/>
  <c r="K11" i="282"/>
  <c r="L11" i="282" s="1"/>
  <c r="F11" i="282"/>
  <c r="S10" i="282"/>
  <c r="S5" i="306" s="1"/>
  <c r="S6" i="306" s="1"/>
  <c r="L10" i="282"/>
  <c r="K10" i="282"/>
  <c r="K5" i="306" s="1"/>
  <c r="K6" i="306" s="1"/>
  <c r="F10" i="282"/>
  <c r="S9" i="282"/>
  <c r="S13" i="306" s="1"/>
  <c r="K9" i="282"/>
  <c r="D9" i="282"/>
  <c r="S8" i="282"/>
  <c r="K8" i="282"/>
  <c r="K14" i="282" s="1"/>
  <c r="L15" i="282" s="1"/>
  <c r="F8" i="282"/>
  <c r="F12" i="306" s="1"/>
  <c r="S7" i="282"/>
  <c r="S8" i="306" s="1"/>
  <c r="L7" i="282"/>
  <c r="P7" i="282" s="1"/>
  <c r="K7" i="282"/>
  <c r="K8" i="306" s="1"/>
  <c r="F7" i="282"/>
  <c r="F8" i="306" s="1"/>
  <c r="S6" i="282"/>
  <c r="N6" i="282"/>
  <c r="L6" i="282"/>
  <c r="L7" i="306" s="1"/>
  <c r="K6" i="282"/>
  <c r="F6" i="282"/>
  <c r="F7" i="306" s="1"/>
  <c r="D6" i="282"/>
  <c r="D7" i="306" s="1"/>
  <c r="A6" i="282"/>
  <c r="A7" i="282" s="1"/>
  <c r="A8" i="282" s="1"/>
  <c r="A9" i="282" s="1"/>
  <c r="A10" i="282" s="1"/>
  <c r="A11" i="282" s="1"/>
  <c r="A12" i="282" s="1"/>
  <c r="A13" i="282" s="1"/>
  <c r="A14" i="282" s="1"/>
  <c r="S5" i="282"/>
  <c r="L5" i="282"/>
  <c r="L15" i="306" s="1"/>
  <c r="L16" i="306" s="1"/>
  <c r="K5" i="282"/>
  <c r="F5" i="282"/>
  <c r="AA17" i="305"/>
  <c r="Z17" i="305"/>
  <c r="Y17" i="305"/>
  <c r="X17" i="305"/>
  <c r="W17" i="305"/>
  <c r="AC16" i="305"/>
  <c r="AB16" i="305"/>
  <c r="R16" i="305"/>
  <c r="Q16" i="305"/>
  <c r="N16" i="305"/>
  <c r="J16" i="305"/>
  <c r="I16" i="305"/>
  <c r="H16" i="305"/>
  <c r="G16" i="305"/>
  <c r="F16" i="305"/>
  <c r="E16" i="305"/>
  <c r="D16" i="305"/>
  <c r="C16" i="305"/>
  <c r="B16" i="305"/>
  <c r="AC15" i="305"/>
  <c r="AB15" i="305"/>
  <c r="R15" i="305"/>
  <c r="Q15" i="305"/>
  <c r="N15" i="305"/>
  <c r="J15" i="305"/>
  <c r="I15" i="305"/>
  <c r="H15" i="305"/>
  <c r="G15" i="305"/>
  <c r="E15" i="305"/>
  <c r="D15" i="305"/>
  <c r="C15" i="305"/>
  <c r="B15" i="305"/>
  <c r="AC14" i="305"/>
  <c r="AB14" i="305"/>
  <c r="R14" i="305"/>
  <c r="Q14" i="305"/>
  <c r="N14" i="305"/>
  <c r="J14" i="305"/>
  <c r="I14" i="305"/>
  <c r="H14" i="305"/>
  <c r="G14" i="305"/>
  <c r="E14" i="305"/>
  <c r="D14" i="305"/>
  <c r="C14" i="305"/>
  <c r="B14" i="305"/>
  <c r="AC13" i="305"/>
  <c r="AB13" i="305"/>
  <c r="R13" i="305"/>
  <c r="Q13" i="305"/>
  <c r="N13" i="305"/>
  <c r="J13" i="305"/>
  <c r="I13" i="305"/>
  <c r="H13" i="305"/>
  <c r="G13" i="305"/>
  <c r="E13" i="305"/>
  <c r="D13" i="305"/>
  <c r="C13" i="305"/>
  <c r="B13" i="305"/>
  <c r="AC12" i="305"/>
  <c r="AB12" i="305"/>
  <c r="R12" i="305"/>
  <c r="Q12" i="305"/>
  <c r="N12" i="305"/>
  <c r="J12" i="305"/>
  <c r="I12" i="305"/>
  <c r="H12" i="305"/>
  <c r="G12" i="305"/>
  <c r="E12" i="305"/>
  <c r="D12" i="305"/>
  <c r="C12" i="305"/>
  <c r="B12" i="305"/>
  <c r="AC11" i="305"/>
  <c r="AB11" i="305"/>
  <c r="R11" i="305"/>
  <c r="Q11" i="305"/>
  <c r="J11" i="305"/>
  <c r="I11" i="305"/>
  <c r="H11" i="305"/>
  <c r="G11" i="305"/>
  <c r="E11" i="305"/>
  <c r="D11" i="305"/>
  <c r="C11" i="305"/>
  <c r="B11" i="305"/>
  <c r="AC10" i="305"/>
  <c r="AB10" i="305"/>
  <c r="R10" i="305"/>
  <c r="Q10" i="305"/>
  <c r="N10" i="305"/>
  <c r="J10" i="305"/>
  <c r="I10" i="305"/>
  <c r="H10" i="305"/>
  <c r="G10" i="305"/>
  <c r="F10" i="305"/>
  <c r="E10" i="305"/>
  <c r="D10" i="305"/>
  <c r="C10" i="305"/>
  <c r="B10" i="305"/>
  <c r="AC9" i="305"/>
  <c r="AB9" i="305"/>
  <c r="R9" i="305"/>
  <c r="Q9" i="305"/>
  <c r="N9" i="305"/>
  <c r="J9" i="305"/>
  <c r="I9" i="305"/>
  <c r="H9" i="305"/>
  <c r="G9" i="305"/>
  <c r="E9" i="305"/>
  <c r="D9" i="305"/>
  <c r="C9" i="305"/>
  <c r="B9" i="305"/>
  <c r="AC8" i="305"/>
  <c r="AB8" i="305"/>
  <c r="R8" i="305"/>
  <c r="Q8" i="305"/>
  <c r="N8" i="305"/>
  <c r="J8" i="305"/>
  <c r="I8" i="305"/>
  <c r="H8" i="305"/>
  <c r="G8" i="305"/>
  <c r="E8" i="305"/>
  <c r="D8" i="305"/>
  <c r="C8" i="305"/>
  <c r="B8" i="305"/>
  <c r="AC7" i="305"/>
  <c r="AB7" i="305"/>
  <c r="R7" i="305"/>
  <c r="Q7" i="305"/>
  <c r="N7" i="305"/>
  <c r="J7" i="305"/>
  <c r="I7" i="305"/>
  <c r="H7" i="305"/>
  <c r="G7" i="305"/>
  <c r="E7" i="305"/>
  <c r="D7" i="305"/>
  <c r="C7" i="305"/>
  <c r="B7" i="305"/>
  <c r="AC6" i="305"/>
  <c r="AB6" i="305"/>
  <c r="R6" i="305"/>
  <c r="Q6" i="305"/>
  <c r="N6" i="305"/>
  <c r="J6" i="305"/>
  <c r="I6" i="305"/>
  <c r="H6" i="305"/>
  <c r="G6" i="305"/>
  <c r="F6" i="305"/>
  <c r="E6" i="305"/>
  <c r="D6" i="305"/>
  <c r="C6" i="305"/>
  <c r="B6" i="305"/>
  <c r="A6" i="305"/>
  <c r="A7" i="305" s="1"/>
  <c r="A8" i="305" s="1"/>
  <c r="A9" i="305" s="1"/>
  <c r="A10" i="305" s="1"/>
  <c r="A11" i="305" s="1"/>
  <c r="A12" i="305" s="1"/>
  <c r="A13" i="305" s="1"/>
  <c r="A14" i="305" s="1"/>
  <c r="A15" i="305" s="1"/>
  <c r="A16" i="305" s="1"/>
  <c r="A17" i="305" s="1"/>
  <c r="AC5" i="305"/>
  <c r="AB5" i="305"/>
  <c r="R5" i="305"/>
  <c r="Q5" i="305"/>
  <c r="Q17" i="305" s="1"/>
  <c r="N5" i="305"/>
  <c r="J5" i="305"/>
  <c r="I5" i="305"/>
  <c r="I17" i="305" s="1"/>
  <c r="H5" i="305"/>
  <c r="H17" i="305" s="1"/>
  <c r="G5" i="305"/>
  <c r="G17" i="305" s="1"/>
  <c r="E5" i="305"/>
  <c r="E17" i="305" s="1"/>
  <c r="D5" i="305"/>
  <c r="D17" i="305" s="1"/>
  <c r="C5" i="305"/>
  <c r="B5" i="305"/>
  <c r="AA17" i="280"/>
  <c r="Z17" i="280"/>
  <c r="Y17" i="280"/>
  <c r="X17" i="280"/>
  <c r="W17" i="280"/>
  <c r="R17" i="280"/>
  <c r="Q17" i="280"/>
  <c r="J17" i="280"/>
  <c r="I17" i="280"/>
  <c r="H17" i="280"/>
  <c r="G17" i="280"/>
  <c r="E17" i="280"/>
  <c r="D17" i="280"/>
  <c r="S16" i="280"/>
  <c r="S16" i="305" s="1"/>
  <c r="K16" i="280"/>
  <c r="F16" i="280"/>
  <c r="S15" i="280"/>
  <c r="S15" i="305" s="1"/>
  <c r="L15" i="280"/>
  <c r="K15" i="280"/>
  <c r="K15" i="305" s="1"/>
  <c r="F15" i="280"/>
  <c r="F15" i="305" s="1"/>
  <c r="S14" i="280"/>
  <c r="S14" i="305" s="1"/>
  <c r="L14" i="280"/>
  <c r="L14" i="305" s="1"/>
  <c r="K14" i="280"/>
  <c r="K14" i="305" s="1"/>
  <c r="F14" i="280"/>
  <c r="F14" i="305" s="1"/>
  <c r="S13" i="280"/>
  <c r="S13" i="305" s="1"/>
  <c r="K13" i="280"/>
  <c r="K13" i="305" s="1"/>
  <c r="F13" i="280"/>
  <c r="F13" i="305" s="1"/>
  <c r="S12" i="280"/>
  <c r="S12" i="305" s="1"/>
  <c r="L12" i="280"/>
  <c r="L12" i="305" s="1"/>
  <c r="K12" i="280"/>
  <c r="K12" i="305" s="1"/>
  <c r="F12" i="280"/>
  <c r="F12" i="305" s="1"/>
  <c r="S11" i="280"/>
  <c r="S11" i="305" s="1"/>
  <c r="N11" i="280"/>
  <c r="N17" i="280" s="1"/>
  <c r="L11" i="280"/>
  <c r="L11" i="305" s="1"/>
  <c r="K11" i="280"/>
  <c r="K11" i="305" s="1"/>
  <c r="F11" i="280"/>
  <c r="F11" i="305" s="1"/>
  <c r="S10" i="280"/>
  <c r="S10" i="305" s="1"/>
  <c r="K10" i="280"/>
  <c r="K10" i="305" s="1"/>
  <c r="F10" i="280"/>
  <c r="S9" i="280"/>
  <c r="S9" i="305" s="1"/>
  <c r="L9" i="280"/>
  <c r="P9" i="280" s="1"/>
  <c r="K9" i="280"/>
  <c r="K9" i="305" s="1"/>
  <c r="F9" i="280"/>
  <c r="F9" i="305" s="1"/>
  <c r="S8" i="280"/>
  <c r="S8" i="305" s="1"/>
  <c r="K8" i="280"/>
  <c r="K8" i="305" s="1"/>
  <c r="F8" i="280"/>
  <c r="F8" i="305" s="1"/>
  <c r="S7" i="280"/>
  <c r="S7" i="305" s="1"/>
  <c r="L7" i="280"/>
  <c r="L7" i="305" s="1"/>
  <c r="K7" i="280"/>
  <c r="K7" i="305" s="1"/>
  <c r="F7" i="280"/>
  <c r="F7" i="305" s="1"/>
  <c r="S6" i="280"/>
  <c r="S6" i="305" s="1"/>
  <c r="K6" i="280"/>
  <c r="L6" i="280" s="1"/>
  <c r="F6" i="280"/>
  <c r="A6" i="280"/>
  <c r="A7" i="280" s="1"/>
  <c r="A8" i="280" s="1"/>
  <c r="A9" i="280" s="1"/>
  <c r="A10" i="280" s="1"/>
  <c r="A11" i="280" s="1"/>
  <c r="A12" i="280" s="1"/>
  <c r="A13" i="280" s="1"/>
  <c r="A14" i="280" s="1"/>
  <c r="A15" i="280" s="1"/>
  <c r="A16" i="280" s="1"/>
  <c r="A17" i="280" s="1"/>
  <c r="S5" i="280"/>
  <c r="S17" i="280" s="1"/>
  <c r="L5" i="280"/>
  <c r="L5" i="305" s="1"/>
  <c r="K5" i="280"/>
  <c r="F5" i="280"/>
  <c r="F17" i="280" s="1"/>
  <c r="AL18" i="304"/>
  <c r="AK18" i="304"/>
  <c r="AJ18" i="304"/>
  <c r="AC16" i="304"/>
  <c r="AB16" i="304"/>
  <c r="AA16" i="304"/>
  <c r="Z16" i="304"/>
  <c r="Y16" i="304"/>
  <c r="X16" i="304"/>
  <c r="V16" i="304"/>
  <c r="R16" i="304"/>
  <c r="Q16" i="304"/>
  <c r="Q17" i="304" s="1"/>
  <c r="N16" i="304"/>
  <c r="J16" i="304"/>
  <c r="I16" i="304"/>
  <c r="H16" i="304"/>
  <c r="G16" i="304"/>
  <c r="E16" i="304"/>
  <c r="D16" i="304"/>
  <c r="C16" i="304"/>
  <c r="B16" i="304"/>
  <c r="AC15" i="304"/>
  <c r="AB15" i="304"/>
  <c r="AA15" i="304"/>
  <c r="Z15" i="304"/>
  <c r="Y15" i="304"/>
  <c r="X15" i="304"/>
  <c r="V15" i="304"/>
  <c r="R15" i="304"/>
  <c r="Q15" i="304"/>
  <c r="N15" i="304"/>
  <c r="J15" i="304"/>
  <c r="I15" i="304"/>
  <c r="H15" i="304"/>
  <c r="G15" i="304"/>
  <c r="E15" i="304"/>
  <c r="D15" i="304"/>
  <c r="C15" i="304"/>
  <c r="B15" i="304"/>
  <c r="AC14" i="304"/>
  <c r="AB14" i="304"/>
  <c r="AA14" i="304"/>
  <c r="AA17" i="304" s="1"/>
  <c r="Z14" i="304"/>
  <c r="Z17" i="304" s="1"/>
  <c r="Y14" i="304"/>
  <c r="Y17" i="304" s="1"/>
  <c r="X14" i="304"/>
  <c r="V14" i="304"/>
  <c r="V17" i="304" s="1"/>
  <c r="R14" i="304"/>
  <c r="R17" i="304" s="1"/>
  <c r="Q14" i="304"/>
  <c r="J14" i="304"/>
  <c r="J17" i="304" s="1"/>
  <c r="I14" i="304"/>
  <c r="I17" i="304" s="1"/>
  <c r="H14" i="304"/>
  <c r="H17" i="304" s="1"/>
  <c r="G14" i="304"/>
  <c r="G17" i="304" s="1"/>
  <c r="E14" i="304"/>
  <c r="E17" i="304" s="1"/>
  <c r="C14" i="304"/>
  <c r="B14" i="304"/>
  <c r="J13" i="304"/>
  <c r="AC12" i="304"/>
  <c r="AB12" i="304"/>
  <c r="AA12" i="304"/>
  <c r="Z12" i="304"/>
  <c r="Y12" i="304"/>
  <c r="X12" i="304"/>
  <c r="V12" i="304"/>
  <c r="R12" i="304"/>
  <c r="Q12" i="304"/>
  <c r="J12" i="304"/>
  <c r="I12" i="304"/>
  <c r="H12" i="304"/>
  <c r="G12" i="304"/>
  <c r="E12" i="304"/>
  <c r="C12" i="304"/>
  <c r="B12" i="304"/>
  <c r="AC11" i="304"/>
  <c r="AB11" i="304"/>
  <c r="AA11" i="304"/>
  <c r="Z11" i="304"/>
  <c r="Y11" i="304"/>
  <c r="X11" i="304"/>
  <c r="V11" i="304"/>
  <c r="R11" i="304"/>
  <c r="Q11" i="304"/>
  <c r="J11" i="304"/>
  <c r="I11" i="304"/>
  <c r="H11" i="304"/>
  <c r="G11" i="304"/>
  <c r="E11" i="304"/>
  <c r="C11" i="304"/>
  <c r="B11" i="304"/>
  <c r="AC10" i="304"/>
  <c r="AB10" i="304"/>
  <c r="AA10" i="304"/>
  <c r="Z10" i="304"/>
  <c r="Z13" i="304" s="1"/>
  <c r="Y10" i="304"/>
  <c r="X10" i="304"/>
  <c r="V10" i="304"/>
  <c r="R10" i="304"/>
  <c r="Q10" i="304"/>
  <c r="N10" i="304"/>
  <c r="J10" i="304"/>
  <c r="I10" i="304"/>
  <c r="H10" i="304"/>
  <c r="G10" i="304"/>
  <c r="E10" i="304"/>
  <c r="D10" i="304"/>
  <c r="C10" i="304"/>
  <c r="B10" i="304"/>
  <c r="A10" i="304"/>
  <c r="A11" i="304" s="1"/>
  <c r="A12" i="304" s="1"/>
  <c r="AL9" i="304"/>
  <c r="AC9" i="304"/>
  <c r="AB9" i="304"/>
  <c r="AA9" i="304"/>
  <c r="AA13" i="304" s="1"/>
  <c r="Z9" i="304"/>
  <c r="Y9" i="304"/>
  <c r="Y13" i="304" s="1"/>
  <c r="X9" i="304"/>
  <c r="V9" i="304"/>
  <c r="V13" i="304" s="1"/>
  <c r="R9" i="304"/>
  <c r="R13" i="304" s="1"/>
  <c r="Q9" i="304"/>
  <c r="N9" i="304"/>
  <c r="J9" i="304"/>
  <c r="I9" i="304"/>
  <c r="I13" i="304" s="1"/>
  <c r="H9" i="304"/>
  <c r="G9" i="304"/>
  <c r="E9" i="304"/>
  <c r="E13" i="304" s="1"/>
  <c r="D9" i="304"/>
  <c r="C9" i="304"/>
  <c r="B9" i="304"/>
  <c r="Z8" i="304"/>
  <c r="H8" i="304"/>
  <c r="G8" i="304"/>
  <c r="AL7" i="304"/>
  <c r="AC7" i="304"/>
  <c r="AB7" i="304"/>
  <c r="AA7" i="304"/>
  <c r="AA8" i="304" s="1"/>
  <c r="Z7" i="304"/>
  <c r="Y7" i="304"/>
  <c r="Y8" i="304" s="1"/>
  <c r="X7" i="304"/>
  <c r="X8" i="304" s="1"/>
  <c r="V7" i="304"/>
  <c r="V8" i="304" s="1"/>
  <c r="R7" i="304"/>
  <c r="R8" i="304" s="1"/>
  <c r="Q7" i="304"/>
  <c r="Q8" i="304" s="1"/>
  <c r="N7" i="304"/>
  <c r="N8" i="304" s="1"/>
  <c r="J7" i="304"/>
  <c r="J8" i="304" s="1"/>
  <c r="I7" i="304"/>
  <c r="I8" i="304" s="1"/>
  <c r="H7" i="304"/>
  <c r="G7" i="304"/>
  <c r="E7" i="304"/>
  <c r="E8" i="304" s="1"/>
  <c r="D7" i="304"/>
  <c r="D8" i="304" s="1"/>
  <c r="C7" i="304"/>
  <c r="B7" i="304"/>
  <c r="X6" i="304"/>
  <c r="H6" i="304"/>
  <c r="AC5" i="304"/>
  <c r="AB5" i="304"/>
  <c r="AA5" i="304"/>
  <c r="AA6" i="304" s="1"/>
  <c r="Z5" i="304"/>
  <c r="Z6" i="304" s="1"/>
  <c r="Y5" i="304"/>
  <c r="Y6" i="304" s="1"/>
  <c r="X5" i="304"/>
  <c r="V5" i="304"/>
  <c r="V6" i="304" s="1"/>
  <c r="R5" i="304"/>
  <c r="R6" i="304" s="1"/>
  <c r="Q5" i="304"/>
  <c r="Q6" i="304" s="1"/>
  <c r="J5" i="304"/>
  <c r="J6" i="304" s="1"/>
  <c r="I5" i="304"/>
  <c r="I6" i="304" s="1"/>
  <c r="H5" i="304"/>
  <c r="G5" i="304"/>
  <c r="G6" i="304" s="1"/>
  <c r="E5" i="304"/>
  <c r="E6" i="304" s="1"/>
  <c r="C5" i="304"/>
  <c r="B5" i="304"/>
  <c r="AA14" i="279"/>
  <c r="Z14" i="279"/>
  <c r="Y14" i="279"/>
  <c r="X14" i="279"/>
  <c r="V14" i="279"/>
  <c r="E15" i="78" s="1"/>
  <c r="R14" i="279"/>
  <c r="Q14" i="279"/>
  <c r="J14" i="279"/>
  <c r="I14" i="279"/>
  <c r="H14" i="279"/>
  <c r="G14" i="279"/>
  <c r="E13" i="12" s="1"/>
  <c r="E14" i="279"/>
  <c r="A14" i="279"/>
  <c r="S13" i="279"/>
  <c r="S16" i="304" s="1"/>
  <c r="K13" i="279"/>
  <c r="L13" i="279" s="1"/>
  <c r="F13" i="279"/>
  <c r="F16" i="304" s="1"/>
  <c r="S11" i="279"/>
  <c r="S12" i="304" s="1"/>
  <c r="N11" i="279"/>
  <c r="N12" i="304" s="1"/>
  <c r="K11" i="279"/>
  <c r="K12" i="304" s="1"/>
  <c r="D11" i="279"/>
  <c r="D12" i="304" s="1"/>
  <c r="S5" i="279"/>
  <c r="K5" i="279"/>
  <c r="F5" i="279"/>
  <c r="F9" i="304" s="1"/>
  <c r="S7" i="279"/>
  <c r="S10" i="304" s="1"/>
  <c r="K7" i="279"/>
  <c r="L7" i="279" s="1"/>
  <c r="F7" i="279"/>
  <c r="F10" i="304" s="1"/>
  <c r="S12" i="279"/>
  <c r="S15" i="304" s="1"/>
  <c r="K12" i="279"/>
  <c r="K15" i="304" s="1"/>
  <c r="F12" i="279"/>
  <c r="F15" i="304" s="1"/>
  <c r="S6" i="279"/>
  <c r="S7" i="304" s="1"/>
  <c r="S8" i="304" s="1"/>
  <c r="N6" i="279"/>
  <c r="N14" i="279" s="1"/>
  <c r="K6" i="279"/>
  <c r="L6" i="279" s="1"/>
  <c r="F6" i="279"/>
  <c r="F7" i="304" s="1"/>
  <c r="F8" i="304" s="1"/>
  <c r="S10" i="279"/>
  <c r="S14" i="304" s="1"/>
  <c r="N10" i="279"/>
  <c r="N14" i="304" s="1"/>
  <c r="N17" i="304" s="1"/>
  <c r="K10" i="279"/>
  <c r="L10" i="279" s="1"/>
  <c r="D10" i="279"/>
  <c r="F10" i="279" s="1"/>
  <c r="F14" i="304" s="1"/>
  <c r="F17" i="304" s="1"/>
  <c r="S9" i="279"/>
  <c r="S11" i="304" s="1"/>
  <c r="N9" i="279"/>
  <c r="N11" i="304" s="1"/>
  <c r="K9" i="279"/>
  <c r="K11" i="304" s="1"/>
  <c r="D9" i="279"/>
  <c r="D11" i="304" s="1"/>
  <c r="S8" i="279"/>
  <c r="S5" i="304" s="1"/>
  <c r="S6" i="304" s="1"/>
  <c r="N8" i="279"/>
  <c r="N5" i="304" s="1"/>
  <c r="N6" i="304" s="1"/>
  <c r="K8" i="279"/>
  <c r="L8" i="279" s="1"/>
  <c r="F8" i="279"/>
  <c r="F5" i="304" s="1"/>
  <c r="F6" i="304" s="1"/>
  <c r="D8" i="279"/>
  <c r="D5" i="304" s="1"/>
  <c r="D6" i="304" s="1"/>
  <c r="E17" i="78"/>
  <c r="F9" i="78"/>
  <c r="AC9" i="303"/>
  <c r="AB9" i="303"/>
  <c r="Z9" i="303"/>
  <c r="Y9" i="303"/>
  <c r="X9" i="303"/>
  <c r="W9" i="303"/>
  <c r="R9" i="303"/>
  <c r="Q9" i="303"/>
  <c r="N9" i="303"/>
  <c r="J9" i="303"/>
  <c r="I9" i="303"/>
  <c r="H9" i="303"/>
  <c r="G9" i="303"/>
  <c r="E9" i="303"/>
  <c r="D9" i="303"/>
  <c r="C9" i="303"/>
  <c r="B9" i="303"/>
  <c r="AC8" i="303"/>
  <c r="AB8" i="303"/>
  <c r="Z8" i="303"/>
  <c r="Y8" i="303"/>
  <c r="X8" i="303"/>
  <c r="W8" i="303"/>
  <c r="R8" i="303"/>
  <c r="Q8" i="303"/>
  <c r="N8" i="303"/>
  <c r="J8" i="303"/>
  <c r="I8" i="303"/>
  <c r="H8" i="303"/>
  <c r="G8" i="303"/>
  <c r="E8" i="303"/>
  <c r="D8" i="303"/>
  <c r="C8" i="303"/>
  <c r="B8" i="303"/>
  <c r="AC7" i="303"/>
  <c r="AB7" i="303"/>
  <c r="Z7" i="303"/>
  <c r="Y7" i="303"/>
  <c r="X7" i="303"/>
  <c r="W7" i="303"/>
  <c r="R7" i="303"/>
  <c r="Q7" i="303"/>
  <c r="N7" i="303"/>
  <c r="J7" i="303"/>
  <c r="I7" i="303"/>
  <c r="H7" i="303"/>
  <c r="G7" i="303"/>
  <c r="E7" i="303"/>
  <c r="D7" i="303"/>
  <c r="C7" i="303"/>
  <c r="B7" i="303"/>
  <c r="A7" i="303"/>
  <c r="A8" i="303" s="1"/>
  <c r="A9" i="303" s="1"/>
  <c r="A10" i="303" s="1"/>
  <c r="AC6" i="303"/>
  <c r="AB6" i="303"/>
  <c r="Z6" i="303"/>
  <c r="Y6" i="303"/>
  <c r="X6" i="303"/>
  <c r="W6" i="303"/>
  <c r="R6" i="303"/>
  <c r="Q6" i="303"/>
  <c r="N6" i="303"/>
  <c r="J6" i="303"/>
  <c r="I6" i="303"/>
  <c r="H6" i="303"/>
  <c r="G6" i="303"/>
  <c r="E6" i="303"/>
  <c r="D6" i="303"/>
  <c r="C6" i="303"/>
  <c r="B6" i="303"/>
  <c r="A6" i="303"/>
  <c r="AC5" i="303"/>
  <c r="AB5" i="303"/>
  <c r="Z5" i="303"/>
  <c r="Z10" i="303" s="1"/>
  <c r="Y5" i="303"/>
  <c r="Y10" i="303" s="1"/>
  <c r="X5" i="303"/>
  <c r="X10" i="303" s="1"/>
  <c r="W5" i="303"/>
  <c r="W10" i="303" s="1"/>
  <c r="S5" i="303"/>
  <c r="R5" i="303"/>
  <c r="R10" i="303" s="1"/>
  <c r="Q5" i="303"/>
  <c r="Q10" i="303" s="1"/>
  <c r="N5" i="303"/>
  <c r="N10" i="303" s="1"/>
  <c r="J5" i="303"/>
  <c r="J10" i="303" s="1"/>
  <c r="I5" i="303"/>
  <c r="I10" i="303" s="1"/>
  <c r="H5" i="303"/>
  <c r="H10" i="303" s="1"/>
  <c r="G5" i="303"/>
  <c r="G10" i="303" s="1"/>
  <c r="E5" i="303"/>
  <c r="E10" i="303" s="1"/>
  <c r="D5" i="303"/>
  <c r="D10" i="303" s="1"/>
  <c r="C5" i="303"/>
  <c r="B5" i="303"/>
  <c r="AA10" i="278"/>
  <c r="Z10" i="278"/>
  <c r="Y10" i="278"/>
  <c r="X10" i="278"/>
  <c r="W10" i="278"/>
  <c r="S10" i="278"/>
  <c r="R10" i="278"/>
  <c r="Q10" i="278"/>
  <c r="N10" i="278"/>
  <c r="J10" i="278"/>
  <c r="I10" i="278"/>
  <c r="H10" i="278"/>
  <c r="G10" i="278"/>
  <c r="E10" i="278"/>
  <c r="D10" i="278"/>
  <c r="AA9" i="278"/>
  <c r="AA9" i="303" s="1"/>
  <c r="S9" i="278"/>
  <c r="S9" i="303" s="1"/>
  <c r="K9" i="278"/>
  <c r="K9" i="303" s="1"/>
  <c r="F9" i="278"/>
  <c r="F9" i="303" s="1"/>
  <c r="AA8" i="278"/>
  <c r="AA8" i="303" s="1"/>
  <c r="S8" i="278"/>
  <c r="S8" i="303" s="1"/>
  <c r="K8" i="278"/>
  <c r="F8" i="278"/>
  <c r="F8" i="303" s="1"/>
  <c r="AA7" i="278"/>
  <c r="AA7" i="303" s="1"/>
  <c r="S7" i="278"/>
  <c r="S7" i="303" s="1"/>
  <c r="K7" i="278"/>
  <c r="F7" i="278"/>
  <c r="F7" i="303" s="1"/>
  <c r="AA6" i="278"/>
  <c r="AA6" i="303" s="1"/>
  <c r="S6" i="278"/>
  <c r="S6" i="303" s="1"/>
  <c r="K6" i="278"/>
  <c r="F6" i="278"/>
  <c r="F6" i="303" s="1"/>
  <c r="A6" i="278"/>
  <c r="A7" i="278" s="1"/>
  <c r="A8" i="278" s="1"/>
  <c r="A9" i="278" s="1"/>
  <c r="A10" i="278" s="1"/>
  <c r="F9" i="77" s="1"/>
  <c r="AA5" i="278"/>
  <c r="AA5" i="303" s="1"/>
  <c r="AA10" i="303" s="1"/>
  <c r="S5" i="278"/>
  <c r="K5" i="278"/>
  <c r="F5" i="278"/>
  <c r="F5" i="303" s="1"/>
  <c r="E16" i="77"/>
  <c r="A17" i="302"/>
  <c r="Y16" i="302"/>
  <c r="X16" i="302"/>
  <c r="Q16" i="302"/>
  <c r="I16" i="302"/>
  <c r="H16" i="302"/>
  <c r="E16" i="302"/>
  <c r="D16" i="302"/>
  <c r="AC15" i="302"/>
  <c r="AB15" i="302"/>
  <c r="AA15" i="302"/>
  <c r="AA16" i="302" s="1"/>
  <c r="Z15" i="302"/>
  <c r="Z16" i="302" s="1"/>
  <c r="Y15" i="302"/>
  <c r="X15" i="302"/>
  <c r="V15" i="302"/>
  <c r="V16" i="302" s="1"/>
  <c r="R15" i="302"/>
  <c r="R16" i="302" s="1"/>
  <c r="Q15" i="302"/>
  <c r="J15" i="302"/>
  <c r="J16" i="302" s="1"/>
  <c r="I15" i="302"/>
  <c r="H15" i="302"/>
  <c r="E15" i="302"/>
  <c r="D15" i="302"/>
  <c r="C15" i="302"/>
  <c r="B15" i="302"/>
  <c r="AC13" i="302"/>
  <c r="AB13" i="302"/>
  <c r="AA13" i="302"/>
  <c r="Z13" i="302"/>
  <c r="Y13" i="302"/>
  <c r="X13" i="302"/>
  <c r="W13" i="302"/>
  <c r="R13" i="302"/>
  <c r="Q13" i="302"/>
  <c r="N13" i="302"/>
  <c r="J13" i="302"/>
  <c r="I13" i="302"/>
  <c r="H13" i="302"/>
  <c r="G13" i="302"/>
  <c r="E13" i="302"/>
  <c r="D13" i="302"/>
  <c r="C13" i="302"/>
  <c r="B13" i="302"/>
  <c r="AC12" i="302"/>
  <c r="AB12" i="302"/>
  <c r="AA12" i="302"/>
  <c r="Z12" i="302"/>
  <c r="Y12" i="302"/>
  <c r="X12" i="302"/>
  <c r="V12" i="302"/>
  <c r="R12" i="302"/>
  <c r="Q12" i="302"/>
  <c r="N12" i="302"/>
  <c r="J12" i="302"/>
  <c r="I12" i="302"/>
  <c r="H12" i="302"/>
  <c r="G12" i="302"/>
  <c r="E12" i="302"/>
  <c r="C12" i="302"/>
  <c r="B12" i="302"/>
  <c r="AC11" i="302"/>
  <c r="AB11" i="302"/>
  <c r="AA11" i="302"/>
  <c r="Z11" i="302"/>
  <c r="Y11" i="302"/>
  <c r="X11" i="302"/>
  <c r="V11" i="302"/>
  <c r="R11" i="302"/>
  <c r="Q11" i="302"/>
  <c r="N11" i="302"/>
  <c r="J11" i="302"/>
  <c r="I11" i="302"/>
  <c r="H11" i="302"/>
  <c r="G11" i="302"/>
  <c r="E11" i="302"/>
  <c r="D11" i="302"/>
  <c r="C11" i="302"/>
  <c r="B11" i="302"/>
  <c r="AC10" i="302"/>
  <c r="AB10" i="302"/>
  <c r="AA10" i="302"/>
  <c r="Z10" i="302"/>
  <c r="Y10" i="302"/>
  <c r="X10" i="302"/>
  <c r="V10" i="302"/>
  <c r="R10" i="302"/>
  <c r="Q10" i="302"/>
  <c r="N10" i="302"/>
  <c r="J10" i="302"/>
  <c r="I10" i="302"/>
  <c r="H10" i="302"/>
  <c r="G10" i="302"/>
  <c r="E10" i="302"/>
  <c r="C10" i="302"/>
  <c r="B10" i="302"/>
  <c r="AC9" i="302"/>
  <c r="AB9" i="302"/>
  <c r="AA9" i="302"/>
  <c r="Z9" i="302"/>
  <c r="Y9" i="302"/>
  <c r="X9" i="302"/>
  <c r="V9" i="302"/>
  <c r="R9" i="302"/>
  <c r="Q9" i="302"/>
  <c r="N9" i="302"/>
  <c r="J9" i="302"/>
  <c r="I9" i="302"/>
  <c r="H9" i="302"/>
  <c r="G9" i="302"/>
  <c r="E9" i="302"/>
  <c r="C9" i="302"/>
  <c r="B9" i="302"/>
  <c r="AC8" i="302"/>
  <c r="AB8" i="302"/>
  <c r="AA8" i="302"/>
  <c r="Z8" i="302"/>
  <c r="Y8" i="302"/>
  <c r="X8" i="302"/>
  <c r="V8" i="302"/>
  <c r="R8" i="302"/>
  <c r="Q8" i="302"/>
  <c r="N8" i="302"/>
  <c r="J8" i="302"/>
  <c r="I8" i="302"/>
  <c r="H8" i="302"/>
  <c r="G8" i="302"/>
  <c r="E8" i="302"/>
  <c r="C8" i="302"/>
  <c r="B8" i="302"/>
  <c r="AC7" i="302"/>
  <c r="AB7" i="302"/>
  <c r="AA7" i="302"/>
  <c r="Z7" i="302"/>
  <c r="Y7" i="302"/>
  <c r="X7" i="302"/>
  <c r="V7" i="302"/>
  <c r="R7" i="302"/>
  <c r="Q7" i="302"/>
  <c r="J7" i="302"/>
  <c r="I7" i="302"/>
  <c r="H7" i="302"/>
  <c r="G7" i="302"/>
  <c r="E7" i="302"/>
  <c r="D7" i="302"/>
  <c r="C7" i="302"/>
  <c r="B7" i="302"/>
  <c r="AC6" i="302"/>
  <c r="AB6" i="302"/>
  <c r="AA6" i="302"/>
  <c r="Z6" i="302"/>
  <c r="Y6" i="302"/>
  <c r="X6" i="302"/>
  <c r="V6" i="302"/>
  <c r="R6" i="302"/>
  <c r="Q6" i="302"/>
  <c r="N6" i="302"/>
  <c r="J6" i="302"/>
  <c r="I6" i="302"/>
  <c r="H6" i="302"/>
  <c r="G6" i="302"/>
  <c r="E6" i="302"/>
  <c r="C6" i="302"/>
  <c r="B6" i="302"/>
  <c r="A6" i="302"/>
  <c r="A7" i="302" s="1"/>
  <c r="A8" i="302" s="1"/>
  <c r="A9" i="302" s="1"/>
  <c r="A10" i="302" s="1"/>
  <c r="A11" i="302" s="1"/>
  <c r="A12" i="302" s="1"/>
  <c r="A13" i="302" s="1"/>
  <c r="AC5" i="302"/>
  <c r="AB5" i="302"/>
  <c r="AA5" i="302"/>
  <c r="AA14" i="302" s="1"/>
  <c r="Z5" i="302"/>
  <c r="Z14" i="302" s="1"/>
  <c r="Y5" i="302"/>
  <c r="Y14" i="302" s="1"/>
  <c r="X5" i="302"/>
  <c r="X14" i="302" s="1"/>
  <c r="V5" i="302"/>
  <c r="R5" i="302"/>
  <c r="R14" i="302" s="1"/>
  <c r="Q5" i="302"/>
  <c r="Q14" i="302" s="1"/>
  <c r="N5" i="302"/>
  <c r="J5" i="302"/>
  <c r="J14" i="302" s="1"/>
  <c r="I5" i="302"/>
  <c r="I14" i="302" s="1"/>
  <c r="H5" i="302"/>
  <c r="H14" i="302" s="1"/>
  <c r="G5" i="302"/>
  <c r="G14" i="302" s="1"/>
  <c r="F5" i="302"/>
  <c r="E5" i="302"/>
  <c r="E14" i="302" s="1"/>
  <c r="D5" i="302"/>
  <c r="C5" i="302"/>
  <c r="B5" i="302"/>
  <c r="AA15" i="277"/>
  <c r="Z15" i="277"/>
  <c r="Y15" i="277"/>
  <c r="X15" i="277"/>
  <c r="R15" i="277"/>
  <c r="Q15" i="277"/>
  <c r="J15" i="277"/>
  <c r="I15" i="277"/>
  <c r="H15" i="277"/>
  <c r="E15" i="277"/>
  <c r="S14" i="277"/>
  <c r="S13" i="302" s="1"/>
  <c r="K14" i="277"/>
  <c r="K13" i="302" s="1"/>
  <c r="F14" i="277"/>
  <c r="F13" i="302" s="1"/>
  <c r="S13" i="277"/>
  <c r="S12" i="302" s="1"/>
  <c r="L13" i="277"/>
  <c r="L12" i="302" s="1"/>
  <c r="K13" i="277"/>
  <c r="K12" i="302" s="1"/>
  <c r="D13" i="277"/>
  <c r="D12" i="302" s="1"/>
  <c r="S12" i="277"/>
  <c r="S11" i="302" s="1"/>
  <c r="L12" i="277"/>
  <c r="L11" i="302" s="1"/>
  <c r="K12" i="277"/>
  <c r="K11" i="302" s="1"/>
  <c r="F12" i="277"/>
  <c r="F11" i="302" s="1"/>
  <c r="S11" i="277"/>
  <c r="S6" i="302" s="1"/>
  <c r="L11" i="277"/>
  <c r="L6" i="302" s="1"/>
  <c r="K11" i="277"/>
  <c r="K6" i="302" s="1"/>
  <c r="D11" i="277"/>
  <c r="D6" i="302" s="1"/>
  <c r="S10" i="277"/>
  <c r="S10" i="302" s="1"/>
  <c r="L10" i="277"/>
  <c r="L10" i="302" s="1"/>
  <c r="K10" i="277"/>
  <c r="K10" i="302" s="1"/>
  <c r="D10" i="277"/>
  <c r="D10" i="302" s="1"/>
  <c r="S9" i="277"/>
  <c r="S5" i="302" s="1"/>
  <c r="L9" i="277"/>
  <c r="P9" i="277" s="1"/>
  <c r="K9" i="277"/>
  <c r="K5" i="302" s="1"/>
  <c r="F9" i="277"/>
  <c r="S8" i="277"/>
  <c r="S9" i="302" s="1"/>
  <c r="K8" i="277"/>
  <c r="K9" i="302" s="1"/>
  <c r="F8" i="277"/>
  <c r="F9" i="302" s="1"/>
  <c r="D8" i="277"/>
  <c r="D9" i="302" s="1"/>
  <c r="S7" i="277"/>
  <c r="S8" i="302" s="1"/>
  <c r="K7" i="277"/>
  <c r="L7" i="277" s="1"/>
  <c r="F7" i="277"/>
  <c r="F8" i="302" s="1"/>
  <c r="D7" i="277"/>
  <c r="D8" i="302" s="1"/>
  <c r="S6" i="277"/>
  <c r="S7" i="302" s="1"/>
  <c r="N6" i="277"/>
  <c r="N7" i="302" s="1"/>
  <c r="L6" i="277"/>
  <c r="L7" i="302" s="1"/>
  <c r="K6" i="277"/>
  <c r="K7" i="302" s="1"/>
  <c r="F6" i="277"/>
  <c r="F7" i="302" s="1"/>
  <c r="A6" i="277"/>
  <c r="A7" i="277" s="1"/>
  <c r="A8" i="277" s="1"/>
  <c r="A9" i="277" s="1"/>
  <c r="A10" i="277" s="1"/>
  <c r="A11" i="277" s="1"/>
  <c r="A12" i="277" s="1"/>
  <c r="A13" i="277" s="1"/>
  <c r="A14" i="277" s="1"/>
  <c r="A15" i="277" s="1"/>
  <c r="F7" i="74" s="1"/>
  <c r="S5" i="277"/>
  <c r="S15" i="302" s="1"/>
  <c r="S16" i="302" s="1"/>
  <c r="N5" i="277"/>
  <c r="N15" i="277" s="1"/>
  <c r="L5" i="277"/>
  <c r="P5" i="277" s="1"/>
  <c r="K5" i="277"/>
  <c r="K15" i="302" s="1"/>
  <c r="K16" i="302" s="1"/>
  <c r="G5" i="277"/>
  <c r="G15" i="302" s="1"/>
  <c r="G16" i="302" s="1"/>
  <c r="G17" i="302" s="1"/>
  <c r="F5" i="277"/>
  <c r="AK28" i="301"/>
  <c r="AI28" i="301"/>
  <c r="AH28" i="301"/>
  <c r="AG28" i="301"/>
  <c r="AC27" i="301"/>
  <c r="AB27" i="301"/>
  <c r="AA27" i="301"/>
  <c r="Z27" i="301"/>
  <c r="Y27" i="301"/>
  <c r="X27" i="301"/>
  <c r="V27" i="301"/>
  <c r="R27" i="301"/>
  <c r="Q27" i="301"/>
  <c r="N27" i="301"/>
  <c r="J27" i="301"/>
  <c r="I27" i="301"/>
  <c r="H27" i="301"/>
  <c r="G27" i="301"/>
  <c r="E27" i="301"/>
  <c r="D27" i="301"/>
  <c r="C27" i="301"/>
  <c r="B27" i="301"/>
  <c r="AC26" i="301"/>
  <c r="AB26" i="301"/>
  <c r="AA26" i="301"/>
  <c r="Z26" i="301"/>
  <c r="Y26" i="301"/>
  <c r="X26" i="301"/>
  <c r="V26" i="301"/>
  <c r="R26" i="301"/>
  <c r="Q26" i="301"/>
  <c r="N26" i="301"/>
  <c r="J26" i="301"/>
  <c r="I26" i="301"/>
  <c r="H26" i="301"/>
  <c r="G26" i="301"/>
  <c r="E26" i="301"/>
  <c r="D26" i="301"/>
  <c r="C26" i="301"/>
  <c r="B26" i="301"/>
  <c r="AC25" i="301"/>
  <c r="AB25" i="301"/>
  <c r="AA25" i="301"/>
  <c r="Z25" i="301"/>
  <c r="Y25" i="301"/>
  <c r="X25" i="301"/>
  <c r="V25" i="301"/>
  <c r="R25" i="301"/>
  <c r="Q25" i="301"/>
  <c r="N25" i="301"/>
  <c r="J25" i="301"/>
  <c r="I25" i="301"/>
  <c r="H25" i="301"/>
  <c r="G25" i="301"/>
  <c r="E25" i="301"/>
  <c r="D25" i="301"/>
  <c r="C25" i="301"/>
  <c r="B25" i="301"/>
  <c r="AC24" i="301"/>
  <c r="AB24" i="301"/>
  <c r="AA24" i="301"/>
  <c r="Z24" i="301"/>
  <c r="Y24" i="301"/>
  <c r="X24" i="301"/>
  <c r="V24" i="301"/>
  <c r="R24" i="301"/>
  <c r="Q24" i="301"/>
  <c r="N24" i="301"/>
  <c r="J24" i="301"/>
  <c r="I24" i="301"/>
  <c r="H24" i="301"/>
  <c r="G24" i="301"/>
  <c r="E24" i="301"/>
  <c r="D24" i="301"/>
  <c r="C24" i="301"/>
  <c r="B24" i="301"/>
  <c r="AC23" i="301"/>
  <c r="AB23" i="301"/>
  <c r="AA23" i="301"/>
  <c r="Z23" i="301"/>
  <c r="Y23" i="301"/>
  <c r="X23" i="301"/>
  <c r="V23" i="301"/>
  <c r="R23" i="301"/>
  <c r="Q23" i="301"/>
  <c r="N23" i="301"/>
  <c r="J23" i="301"/>
  <c r="I23" i="301"/>
  <c r="H23" i="301"/>
  <c r="G23" i="301"/>
  <c r="E23" i="301"/>
  <c r="D23" i="301"/>
  <c r="C23" i="301"/>
  <c r="B23" i="301"/>
  <c r="AC22" i="301"/>
  <c r="AB22" i="301"/>
  <c r="AA22" i="301"/>
  <c r="Z22" i="301"/>
  <c r="Y22" i="301"/>
  <c r="X22" i="301"/>
  <c r="V22" i="301"/>
  <c r="R22" i="301"/>
  <c r="Q22" i="301"/>
  <c r="N22" i="301"/>
  <c r="J22" i="301"/>
  <c r="I22" i="301"/>
  <c r="H22" i="301"/>
  <c r="G22" i="301"/>
  <c r="E22" i="301"/>
  <c r="D22" i="301"/>
  <c r="C22" i="301"/>
  <c r="B22" i="301"/>
  <c r="AC21" i="301"/>
  <c r="AB21" i="301"/>
  <c r="AA21" i="301"/>
  <c r="Z21" i="301"/>
  <c r="Y21" i="301"/>
  <c r="X21" i="301"/>
  <c r="V21" i="301"/>
  <c r="R21" i="301"/>
  <c r="Q21" i="301"/>
  <c r="J21" i="301"/>
  <c r="I21" i="301"/>
  <c r="H21" i="301"/>
  <c r="G21" i="301"/>
  <c r="E21" i="301"/>
  <c r="D21" i="301"/>
  <c r="C21" i="301"/>
  <c r="B21" i="301"/>
  <c r="AC20" i="301"/>
  <c r="AB20" i="301"/>
  <c r="AA20" i="301"/>
  <c r="Z20" i="301"/>
  <c r="Y20" i="301"/>
  <c r="X20" i="301"/>
  <c r="V20" i="301"/>
  <c r="R20" i="301"/>
  <c r="Q20" i="301"/>
  <c r="N20" i="301"/>
  <c r="J20" i="301"/>
  <c r="I20" i="301"/>
  <c r="H20" i="301"/>
  <c r="G20" i="301"/>
  <c r="E20" i="301"/>
  <c r="C20" i="301"/>
  <c r="B20" i="301"/>
  <c r="AC19" i="301"/>
  <c r="AB19" i="301"/>
  <c r="AA19" i="301"/>
  <c r="Z19" i="301"/>
  <c r="Y19" i="301"/>
  <c r="X19" i="301"/>
  <c r="V19" i="301"/>
  <c r="R19" i="301"/>
  <c r="Q19" i="301"/>
  <c r="N19" i="301"/>
  <c r="J19" i="301"/>
  <c r="I19" i="301"/>
  <c r="H19" i="301"/>
  <c r="G19" i="301"/>
  <c r="E19" i="301"/>
  <c r="D19" i="301"/>
  <c r="C19" i="301"/>
  <c r="B19" i="301"/>
  <c r="AC18" i="301"/>
  <c r="AB18" i="301"/>
  <c r="AA18" i="301"/>
  <c r="Z18" i="301"/>
  <c r="Y18" i="301"/>
  <c r="X18" i="301"/>
  <c r="V18" i="301"/>
  <c r="R18" i="301"/>
  <c r="Q18" i="301"/>
  <c r="N18" i="301"/>
  <c r="J18" i="301"/>
  <c r="I18" i="301"/>
  <c r="H18" i="301"/>
  <c r="G18" i="301"/>
  <c r="E18" i="301"/>
  <c r="C18" i="301"/>
  <c r="B18" i="301"/>
  <c r="AC17" i="301"/>
  <c r="AB17" i="301"/>
  <c r="AA17" i="301"/>
  <c r="Z17" i="301"/>
  <c r="Y17" i="301"/>
  <c r="X17" i="301"/>
  <c r="V17" i="301"/>
  <c r="R17" i="301"/>
  <c r="Q17" i="301"/>
  <c r="N17" i="301"/>
  <c r="J17" i="301"/>
  <c r="I17" i="301"/>
  <c r="H17" i="301"/>
  <c r="G17" i="301"/>
  <c r="E17" i="301"/>
  <c r="D17" i="301"/>
  <c r="C17" i="301"/>
  <c r="B17" i="301"/>
  <c r="AC16" i="301"/>
  <c r="AB16" i="301"/>
  <c r="AA16" i="301"/>
  <c r="Z16" i="301"/>
  <c r="Y16" i="301"/>
  <c r="X16" i="301"/>
  <c r="V16" i="301"/>
  <c r="R16" i="301"/>
  <c r="Q16" i="301"/>
  <c r="N16" i="301"/>
  <c r="J16" i="301"/>
  <c r="I16" i="301"/>
  <c r="H16" i="301"/>
  <c r="G16" i="301"/>
  <c r="E16" i="301"/>
  <c r="D16" i="301"/>
  <c r="C16" i="301"/>
  <c r="B16" i="301"/>
  <c r="AC15" i="301"/>
  <c r="AB15" i="301"/>
  <c r="AA15" i="301"/>
  <c r="Z15" i="301"/>
  <c r="Y15" i="301"/>
  <c r="X15" i="301"/>
  <c r="V15" i="301"/>
  <c r="R15" i="301"/>
  <c r="Q15" i="301"/>
  <c r="J15" i="301"/>
  <c r="I15" i="301"/>
  <c r="H15" i="301"/>
  <c r="G15" i="301"/>
  <c r="E15" i="301"/>
  <c r="D15" i="301"/>
  <c r="C15" i="301"/>
  <c r="B15" i="301"/>
  <c r="AC14" i="301"/>
  <c r="AB14" i="301"/>
  <c r="AA14" i="301"/>
  <c r="Z14" i="301"/>
  <c r="Y14" i="301"/>
  <c r="X14" i="301"/>
  <c r="V14" i="301"/>
  <c r="R14" i="301"/>
  <c r="Q14" i="301"/>
  <c r="N14" i="301"/>
  <c r="J14" i="301"/>
  <c r="I14" i="301"/>
  <c r="H14" i="301"/>
  <c r="G14" i="301"/>
  <c r="E14" i="301"/>
  <c r="D14" i="301"/>
  <c r="C14" i="301"/>
  <c r="B14" i="301"/>
  <c r="AC13" i="301"/>
  <c r="AB13" i="301"/>
  <c r="AA13" i="301"/>
  <c r="Z13" i="301"/>
  <c r="Y13" i="301"/>
  <c r="X13" i="301"/>
  <c r="V13" i="301"/>
  <c r="R13" i="301"/>
  <c r="Q13" i="301"/>
  <c r="J13" i="301"/>
  <c r="I13" i="301"/>
  <c r="H13" i="301"/>
  <c r="G13" i="301"/>
  <c r="E13" i="301"/>
  <c r="C13" i="301"/>
  <c r="B13" i="301"/>
  <c r="AC12" i="301"/>
  <c r="AB12" i="301"/>
  <c r="AA12" i="301"/>
  <c r="Z12" i="301"/>
  <c r="Y12" i="301"/>
  <c r="X12" i="301"/>
  <c r="V12" i="301"/>
  <c r="R12" i="301"/>
  <c r="Q12" i="301"/>
  <c r="N12" i="301"/>
  <c r="J12" i="301"/>
  <c r="I12" i="301"/>
  <c r="H12" i="301"/>
  <c r="G12" i="301"/>
  <c r="E12" i="301"/>
  <c r="D12" i="301"/>
  <c r="C12" i="301"/>
  <c r="B12" i="301"/>
  <c r="AC11" i="301"/>
  <c r="AB11" i="301"/>
  <c r="AA11" i="301"/>
  <c r="Z11" i="301"/>
  <c r="Y11" i="301"/>
  <c r="X11" i="301"/>
  <c r="V11" i="301"/>
  <c r="R11" i="301"/>
  <c r="Q11" i="301"/>
  <c r="N11" i="301"/>
  <c r="J11" i="301"/>
  <c r="I11" i="301"/>
  <c r="H11" i="301"/>
  <c r="G11" i="301"/>
  <c r="E11" i="301"/>
  <c r="D11" i="301"/>
  <c r="C11" i="301"/>
  <c r="B11" i="301"/>
  <c r="AC10" i="301"/>
  <c r="AB10" i="301"/>
  <c r="AA10" i="301"/>
  <c r="Z10" i="301"/>
  <c r="Y10" i="301"/>
  <c r="X10" i="301"/>
  <c r="V10" i="301"/>
  <c r="R10" i="301"/>
  <c r="Q10" i="301"/>
  <c r="N10" i="301"/>
  <c r="J10" i="301"/>
  <c r="I10" i="301"/>
  <c r="H10" i="301"/>
  <c r="G10" i="301"/>
  <c r="E10" i="301"/>
  <c r="C10" i="301"/>
  <c r="B10" i="301"/>
  <c r="AC9" i="301"/>
  <c r="AB9" i="301"/>
  <c r="AA9" i="301"/>
  <c r="Z9" i="301"/>
  <c r="Y9" i="301"/>
  <c r="X9" i="301"/>
  <c r="V9" i="301"/>
  <c r="R9" i="301"/>
  <c r="Q9" i="301"/>
  <c r="N9" i="301"/>
  <c r="J9" i="301"/>
  <c r="I9" i="301"/>
  <c r="H9" i="301"/>
  <c r="G9" i="301"/>
  <c r="E9" i="301"/>
  <c r="C9" i="301"/>
  <c r="B9" i="301"/>
  <c r="AC8" i="301"/>
  <c r="AB8" i="301"/>
  <c r="AA8" i="301"/>
  <c r="Z8" i="301"/>
  <c r="Y8" i="301"/>
  <c r="X8" i="301"/>
  <c r="V8" i="301"/>
  <c r="R8" i="301"/>
  <c r="Q8" i="301"/>
  <c r="N8" i="301"/>
  <c r="J8" i="301"/>
  <c r="I8" i="301"/>
  <c r="H8" i="301"/>
  <c r="G8" i="301"/>
  <c r="E8" i="301"/>
  <c r="D8" i="301"/>
  <c r="C8" i="301"/>
  <c r="B8" i="301"/>
  <c r="AC7" i="301"/>
  <c r="AB7" i="301"/>
  <c r="AA7" i="301"/>
  <c r="Z7" i="301"/>
  <c r="Y7" i="301"/>
  <c r="X7" i="301"/>
  <c r="V7" i="301"/>
  <c r="R7" i="301"/>
  <c r="Q7" i="301"/>
  <c r="N7" i="301"/>
  <c r="J7" i="301"/>
  <c r="I7" i="301"/>
  <c r="H7" i="301"/>
  <c r="G7" i="301"/>
  <c r="E7" i="301"/>
  <c r="D7" i="301"/>
  <c r="C7" i="301"/>
  <c r="B7" i="301"/>
  <c r="AC6" i="301"/>
  <c r="AB6" i="301"/>
  <c r="AA6" i="301"/>
  <c r="Z6" i="301"/>
  <c r="Y6" i="301"/>
  <c r="X6" i="301"/>
  <c r="V6" i="301"/>
  <c r="R6" i="301"/>
  <c r="Q6" i="301"/>
  <c r="J6" i="301"/>
  <c r="I6" i="301"/>
  <c r="H6" i="301"/>
  <c r="E6" i="301"/>
  <c r="C6" i="301"/>
  <c r="B6" i="301"/>
  <c r="A6" i="301"/>
  <c r="A7" i="301" s="1"/>
  <c r="A8" i="301" s="1"/>
  <c r="A9" i="301" s="1"/>
  <c r="A10" i="301" s="1"/>
  <c r="A11" i="301" s="1"/>
  <c r="A12" i="301" s="1"/>
  <c r="A13" i="301" s="1"/>
  <c r="A14" i="301" s="1"/>
  <c r="A15" i="301" s="1"/>
  <c r="A16" i="301" s="1"/>
  <c r="A17" i="301" s="1"/>
  <c r="A18" i="301" s="1"/>
  <c r="A19" i="301" s="1"/>
  <c r="A20" i="301" s="1"/>
  <c r="A21" i="301" s="1"/>
  <c r="A22" i="301" s="1"/>
  <c r="A23" i="301" s="1"/>
  <c r="A24" i="301" s="1"/>
  <c r="A25" i="301" s="1"/>
  <c r="A26" i="301" s="1"/>
  <c r="A27" i="301" s="1"/>
  <c r="A28" i="301" s="1"/>
  <c r="AC5" i="301"/>
  <c r="AB5" i="301"/>
  <c r="AA5" i="301"/>
  <c r="AA28" i="301" s="1"/>
  <c r="Z5" i="301"/>
  <c r="Z28" i="301" s="1"/>
  <c r="Y5" i="301"/>
  <c r="Y28" i="301" s="1"/>
  <c r="X5" i="301"/>
  <c r="X28" i="301" s="1"/>
  <c r="V5" i="301"/>
  <c r="V28" i="301" s="1"/>
  <c r="R5" i="301"/>
  <c r="R28" i="301" s="1"/>
  <c r="Q5" i="301"/>
  <c r="Q28" i="301" s="1"/>
  <c r="J5" i="301"/>
  <c r="J28" i="301" s="1"/>
  <c r="I5" i="301"/>
  <c r="I28" i="301" s="1"/>
  <c r="H5" i="301"/>
  <c r="H28" i="301" s="1"/>
  <c r="G5" i="301"/>
  <c r="E5" i="301"/>
  <c r="E28" i="301" s="1"/>
  <c r="C5" i="301"/>
  <c r="B5" i="301"/>
  <c r="AA28" i="276"/>
  <c r="Z28" i="276"/>
  <c r="Y28" i="276"/>
  <c r="X28" i="276"/>
  <c r="V28" i="276"/>
  <c r="R28" i="276"/>
  <c r="Q28" i="276"/>
  <c r="J28" i="276"/>
  <c r="I28" i="276"/>
  <c r="H28" i="276"/>
  <c r="E28" i="276"/>
  <c r="S27" i="276"/>
  <c r="S27" i="301" s="1"/>
  <c r="L27" i="276"/>
  <c r="K27" i="276"/>
  <c r="K27" i="301" s="1"/>
  <c r="F27" i="276"/>
  <c r="F27" i="301" s="1"/>
  <c r="S26" i="276"/>
  <c r="S26" i="301" s="1"/>
  <c r="K26" i="276"/>
  <c r="K26" i="301" s="1"/>
  <c r="F26" i="276"/>
  <c r="F26" i="301" s="1"/>
  <c r="S25" i="276"/>
  <c r="S25" i="301" s="1"/>
  <c r="K25" i="276"/>
  <c r="L25" i="276" s="1"/>
  <c r="F25" i="276"/>
  <c r="F25" i="301" s="1"/>
  <c r="S24" i="276"/>
  <c r="S24" i="301" s="1"/>
  <c r="K24" i="276"/>
  <c r="K24" i="301" s="1"/>
  <c r="F24" i="276"/>
  <c r="F24" i="301" s="1"/>
  <c r="S23" i="276"/>
  <c r="S23" i="301" s="1"/>
  <c r="L23" i="276"/>
  <c r="L23" i="301" s="1"/>
  <c r="K23" i="276"/>
  <c r="K23" i="301" s="1"/>
  <c r="F23" i="276"/>
  <c r="F23" i="301" s="1"/>
  <c r="S22" i="276"/>
  <c r="S22" i="301" s="1"/>
  <c r="K22" i="276"/>
  <c r="K22" i="301" s="1"/>
  <c r="F22" i="276"/>
  <c r="F22" i="301" s="1"/>
  <c r="S21" i="276"/>
  <c r="S21" i="301" s="1"/>
  <c r="N21" i="276"/>
  <c r="N21" i="301" s="1"/>
  <c r="K21" i="276"/>
  <c r="K21" i="301" s="1"/>
  <c r="F21" i="276"/>
  <c r="F21" i="301" s="1"/>
  <c r="S20" i="276"/>
  <c r="S20" i="301" s="1"/>
  <c r="L20" i="276"/>
  <c r="L20" i="301" s="1"/>
  <c r="K20" i="276"/>
  <c r="K20" i="301" s="1"/>
  <c r="F20" i="276"/>
  <c r="F20" i="301" s="1"/>
  <c r="D20" i="276"/>
  <c r="D20" i="301" s="1"/>
  <c r="S19" i="276"/>
  <c r="S19" i="301" s="1"/>
  <c r="L19" i="276"/>
  <c r="P19" i="276" s="1"/>
  <c r="K19" i="276"/>
  <c r="K19" i="301" s="1"/>
  <c r="F19" i="276"/>
  <c r="F19" i="301" s="1"/>
  <c r="S18" i="276"/>
  <c r="S18" i="301" s="1"/>
  <c r="K18" i="276"/>
  <c r="K18" i="301" s="1"/>
  <c r="D18" i="276"/>
  <c r="S17" i="276"/>
  <c r="S17" i="301" s="1"/>
  <c r="K17" i="276"/>
  <c r="K17" i="301" s="1"/>
  <c r="F17" i="276"/>
  <c r="F17" i="301" s="1"/>
  <c r="S16" i="276"/>
  <c r="S16" i="301" s="1"/>
  <c r="L16" i="276"/>
  <c r="L16" i="301" s="1"/>
  <c r="K16" i="276"/>
  <c r="K16" i="301" s="1"/>
  <c r="F16" i="276"/>
  <c r="F16" i="301" s="1"/>
  <c r="S15" i="276"/>
  <c r="S15" i="301" s="1"/>
  <c r="N15" i="276"/>
  <c r="N15" i="301" s="1"/>
  <c r="AJ15" i="301" s="1"/>
  <c r="AJ28" i="301" s="1"/>
  <c r="L15" i="276"/>
  <c r="P15" i="276" s="1"/>
  <c r="K15" i="276"/>
  <c r="K15" i="301" s="1"/>
  <c r="F15" i="276"/>
  <c r="F15" i="301" s="1"/>
  <c r="S14" i="276"/>
  <c r="S14" i="301" s="1"/>
  <c r="K14" i="276"/>
  <c r="K14" i="301" s="1"/>
  <c r="F14" i="276"/>
  <c r="F14" i="301" s="1"/>
  <c r="S13" i="276"/>
  <c r="S13" i="301" s="1"/>
  <c r="N13" i="276"/>
  <c r="N13" i="301" s="1"/>
  <c r="K13" i="276"/>
  <c r="L13" i="276" s="1"/>
  <c r="D13" i="276"/>
  <c r="D13" i="301" s="1"/>
  <c r="S12" i="276"/>
  <c r="S12" i="301" s="1"/>
  <c r="K12" i="276"/>
  <c r="L12" i="276" s="1"/>
  <c r="F12" i="276"/>
  <c r="F12" i="301" s="1"/>
  <c r="S11" i="276"/>
  <c r="S11" i="301" s="1"/>
  <c r="L11" i="276"/>
  <c r="P11" i="276" s="1"/>
  <c r="K11" i="276"/>
  <c r="K11" i="301" s="1"/>
  <c r="F11" i="276"/>
  <c r="F11" i="301" s="1"/>
  <c r="S10" i="276"/>
  <c r="S10" i="301" s="1"/>
  <c r="K10" i="276"/>
  <c r="K10" i="301" s="1"/>
  <c r="D10" i="276"/>
  <c r="D10" i="301" s="1"/>
  <c r="S9" i="276"/>
  <c r="S9" i="301" s="1"/>
  <c r="K9" i="276"/>
  <c r="K9" i="301" s="1"/>
  <c r="D9" i="276"/>
  <c r="D9" i="301" s="1"/>
  <c r="S8" i="276"/>
  <c r="S8" i="301" s="1"/>
  <c r="K8" i="276"/>
  <c r="K8" i="301" s="1"/>
  <c r="F8" i="276"/>
  <c r="F8" i="301" s="1"/>
  <c r="S7" i="276"/>
  <c r="S7" i="301" s="1"/>
  <c r="L7" i="276"/>
  <c r="L7" i="301" s="1"/>
  <c r="K7" i="276"/>
  <c r="K7" i="301" s="1"/>
  <c r="F7" i="276"/>
  <c r="F7" i="301" s="1"/>
  <c r="S6" i="276"/>
  <c r="S6" i="301" s="1"/>
  <c r="N6" i="276"/>
  <c r="N6" i="301" s="1"/>
  <c r="L6" i="276"/>
  <c r="L6" i="301" s="1"/>
  <c r="K6" i="276"/>
  <c r="K6" i="301" s="1"/>
  <c r="G6" i="276"/>
  <c r="G6" i="301" s="1"/>
  <c r="D6" i="276"/>
  <c r="D6" i="301" s="1"/>
  <c r="A6" i="276"/>
  <c r="A7" i="276" s="1"/>
  <c r="A8" i="276" s="1"/>
  <c r="A9" i="276" s="1"/>
  <c r="A10" i="276" s="1"/>
  <c r="A11" i="276" s="1"/>
  <c r="A12" i="276" s="1"/>
  <c r="A13" i="276" s="1"/>
  <c r="A14" i="276" s="1"/>
  <c r="A15" i="276" s="1"/>
  <c r="A16" i="276" s="1"/>
  <c r="A17" i="276" s="1"/>
  <c r="A18" i="276" s="1"/>
  <c r="A19" i="276" s="1"/>
  <c r="A20" i="276" s="1"/>
  <c r="A21" i="276" s="1"/>
  <c r="A22" i="276" s="1"/>
  <c r="A23" i="276" s="1"/>
  <c r="A24" i="276" s="1"/>
  <c r="A25" i="276" s="1"/>
  <c r="A26" i="276" s="1"/>
  <c r="A27" i="276" s="1"/>
  <c r="A28" i="276" s="1"/>
  <c r="F7" i="72" s="1"/>
  <c r="S5" i="276"/>
  <c r="S5" i="301" s="1"/>
  <c r="N5" i="276"/>
  <c r="L5" i="276"/>
  <c r="P5" i="276" s="1"/>
  <c r="K5" i="276"/>
  <c r="K5" i="301" s="1"/>
  <c r="F5" i="276"/>
  <c r="F5" i="301" s="1"/>
  <c r="D5" i="276"/>
  <c r="D5" i="301" s="1"/>
  <c r="E13" i="72"/>
  <c r="AT141" i="300"/>
  <c r="AR141" i="300"/>
  <c r="AQ141" i="300"/>
  <c r="AP141" i="300"/>
  <c r="AC139" i="300"/>
  <c r="AB139" i="300"/>
  <c r="AA139" i="300"/>
  <c r="Z139" i="300"/>
  <c r="Y139" i="300"/>
  <c r="X139" i="300"/>
  <c r="V139" i="300"/>
  <c r="R139" i="300"/>
  <c r="Q139" i="300"/>
  <c r="N139" i="300"/>
  <c r="J139" i="300"/>
  <c r="I139" i="300"/>
  <c r="H139" i="300"/>
  <c r="G139" i="300"/>
  <c r="E139" i="300"/>
  <c r="D139" i="300"/>
  <c r="C139" i="300"/>
  <c r="B139" i="300"/>
  <c r="AC138" i="300"/>
  <c r="AB138" i="300"/>
  <c r="AA138" i="300"/>
  <c r="Z138" i="300"/>
  <c r="Y138" i="300"/>
  <c r="X138" i="300"/>
  <c r="V138" i="300"/>
  <c r="R138" i="300"/>
  <c r="Q138" i="300"/>
  <c r="N138" i="300"/>
  <c r="J138" i="300"/>
  <c r="I138" i="300"/>
  <c r="H138" i="300"/>
  <c r="G138" i="300"/>
  <c r="E138" i="300"/>
  <c r="D138" i="300"/>
  <c r="C138" i="300"/>
  <c r="B138" i="300"/>
  <c r="AC137" i="300"/>
  <c r="AB137" i="300"/>
  <c r="AA137" i="300"/>
  <c r="Z137" i="300"/>
  <c r="Y137" i="300"/>
  <c r="X137" i="300"/>
  <c r="V137" i="300"/>
  <c r="R137" i="300"/>
  <c r="Q137" i="300"/>
  <c r="J137" i="300"/>
  <c r="I137" i="300"/>
  <c r="H137" i="300"/>
  <c r="G137" i="300"/>
  <c r="E137" i="300"/>
  <c r="C137" i="300"/>
  <c r="B137" i="300"/>
  <c r="AC136" i="300"/>
  <c r="AB136" i="300"/>
  <c r="AA136" i="300"/>
  <c r="Z136" i="300"/>
  <c r="Y136" i="300"/>
  <c r="X136" i="300"/>
  <c r="V136" i="300"/>
  <c r="R136" i="300"/>
  <c r="Q136" i="300"/>
  <c r="J136" i="300"/>
  <c r="I136" i="300"/>
  <c r="H136" i="300"/>
  <c r="G136" i="300"/>
  <c r="E136" i="300"/>
  <c r="C136" i="300"/>
  <c r="B136" i="300"/>
  <c r="AC135" i="300"/>
  <c r="AB135" i="300"/>
  <c r="AA135" i="300"/>
  <c r="Z135" i="300"/>
  <c r="Y135" i="300"/>
  <c r="X135" i="300"/>
  <c r="V135" i="300"/>
  <c r="R135" i="300"/>
  <c r="Q135" i="300"/>
  <c r="N135" i="300"/>
  <c r="J135" i="300"/>
  <c r="I135" i="300"/>
  <c r="H135" i="300"/>
  <c r="G135" i="300"/>
  <c r="E135" i="300"/>
  <c r="D135" i="300"/>
  <c r="C135" i="300"/>
  <c r="B135" i="300"/>
  <c r="AC134" i="300"/>
  <c r="AB134" i="300"/>
  <c r="AA134" i="300"/>
  <c r="Z134" i="300"/>
  <c r="Y134" i="300"/>
  <c r="X134" i="300"/>
  <c r="V134" i="300"/>
  <c r="R134" i="300"/>
  <c r="Q134" i="300"/>
  <c r="N134" i="300"/>
  <c r="J134" i="300"/>
  <c r="I134" i="300"/>
  <c r="H134" i="300"/>
  <c r="G134" i="300"/>
  <c r="E134" i="300"/>
  <c r="C134" i="300"/>
  <c r="B134" i="300"/>
  <c r="AC133" i="300"/>
  <c r="AB133" i="300"/>
  <c r="AA133" i="300"/>
  <c r="Z133" i="300"/>
  <c r="Y133" i="300"/>
  <c r="X133" i="300"/>
  <c r="V133" i="300"/>
  <c r="R133" i="300"/>
  <c r="Q133" i="300"/>
  <c r="N133" i="300"/>
  <c r="J133" i="300"/>
  <c r="I133" i="300"/>
  <c r="H133" i="300"/>
  <c r="G133" i="300"/>
  <c r="E133" i="300"/>
  <c r="D133" i="300"/>
  <c r="C133" i="300"/>
  <c r="B133" i="300"/>
  <c r="AC132" i="300"/>
  <c r="AB132" i="300"/>
  <c r="AA132" i="300"/>
  <c r="AA140" i="300" s="1"/>
  <c r="Z132" i="300"/>
  <c r="Z140" i="300" s="1"/>
  <c r="Y132" i="300"/>
  <c r="Y140" i="300" s="1"/>
  <c r="X132" i="300"/>
  <c r="X140" i="300" s="1"/>
  <c r="V132" i="300"/>
  <c r="V140" i="300" s="1"/>
  <c r="R132" i="300"/>
  <c r="R140" i="300" s="1"/>
  <c r="Q132" i="300"/>
  <c r="Q140" i="300" s="1"/>
  <c r="N132" i="300"/>
  <c r="J132" i="300"/>
  <c r="J140" i="300" s="1"/>
  <c r="I132" i="300"/>
  <c r="I140" i="300" s="1"/>
  <c r="H132" i="300"/>
  <c r="H140" i="300" s="1"/>
  <c r="E132" i="300"/>
  <c r="E140" i="300" s="1"/>
  <c r="C132" i="300"/>
  <c r="B132" i="300"/>
  <c r="A132" i="300"/>
  <c r="A133" i="300" s="1"/>
  <c r="A134" i="300" s="1"/>
  <c r="A135" i="300" s="1"/>
  <c r="A136" i="300" s="1"/>
  <c r="A137" i="300" s="1"/>
  <c r="A138" i="300" s="1"/>
  <c r="A139" i="300" s="1"/>
  <c r="A141" i="300" s="1"/>
  <c r="AC130" i="300"/>
  <c r="AB130" i="300"/>
  <c r="AA130" i="300"/>
  <c r="Z130" i="300"/>
  <c r="Y130" i="300"/>
  <c r="X130" i="300"/>
  <c r="V130" i="300"/>
  <c r="R130" i="300"/>
  <c r="Q130" i="300"/>
  <c r="N130" i="300"/>
  <c r="L130" i="300"/>
  <c r="K130" i="300"/>
  <c r="J130" i="300"/>
  <c r="I130" i="300"/>
  <c r="H130" i="300"/>
  <c r="G130" i="300"/>
  <c r="E130" i="300"/>
  <c r="D130" i="300"/>
  <c r="C130" i="300"/>
  <c r="B130" i="300"/>
  <c r="AC129" i="300"/>
  <c r="AB129" i="300"/>
  <c r="AA129" i="300"/>
  <c r="Z129" i="300"/>
  <c r="Y129" i="300"/>
  <c r="X129" i="300"/>
  <c r="V129" i="300"/>
  <c r="R129" i="300"/>
  <c r="Q129" i="300"/>
  <c r="J129" i="300"/>
  <c r="I129" i="300"/>
  <c r="H129" i="300"/>
  <c r="G129" i="300"/>
  <c r="E129" i="300"/>
  <c r="D129" i="300"/>
  <c r="C129" i="300"/>
  <c r="B129" i="300"/>
  <c r="AC128" i="300"/>
  <c r="AB128" i="300"/>
  <c r="AA128" i="300"/>
  <c r="Z128" i="300"/>
  <c r="Y128" i="300"/>
  <c r="X128" i="300"/>
  <c r="V128" i="300"/>
  <c r="R128" i="300"/>
  <c r="Q128" i="300"/>
  <c r="J128" i="300"/>
  <c r="I128" i="300"/>
  <c r="H128" i="300"/>
  <c r="G128" i="300"/>
  <c r="E128" i="300"/>
  <c r="D128" i="300"/>
  <c r="C128" i="300"/>
  <c r="B128" i="300"/>
  <c r="AC127" i="300"/>
  <c r="AB127" i="300"/>
  <c r="AA127" i="300"/>
  <c r="Z127" i="300"/>
  <c r="Y127" i="300"/>
  <c r="X127" i="300"/>
  <c r="V127" i="300"/>
  <c r="R127" i="300"/>
  <c r="Q127" i="300"/>
  <c r="J127" i="300"/>
  <c r="I127" i="300"/>
  <c r="H127" i="300"/>
  <c r="G127" i="300"/>
  <c r="E127" i="300"/>
  <c r="D127" i="300"/>
  <c r="C127" i="300"/>
  <c r="B127" i="300"/>
  <c r="AC126" i="300"/>
  <c r="AB126" i="300"/>
  <c r="AA126" i="300"/>
  <c r="Z126" i="300"/>
  <c r="Y126" i="300"/>
  <c r="X126" i="300"/>
  <c r="V126" i="300"/>
  <c r="R126" i="300"/>
  <c r="Q126" i="300"/>
  <c r="N126" i="300"/>
  <c r="J126" i="300"/>
  <c r="I126" i="300"/>
  <c r="H126" i="300"/>
  <c r="G126" i="300"/>
  <c r="E126" i="300"/>
  <c r="D126" i="300"/>
  <c r="C126" i="300"/>
  <c r="B126" i="300"/>
  <c r="AC125" i="300"/>
  <c r="AB125" i="300"/>
  <c r="AA125" i="300"/>
  <c r="Z125" i="300"/>
  <c r="Y125" i="300"/>
  <c r="X125" i="300"/>
  <c r="V125" i="300"/>
  <c r="R125" i="300"/>
  <c r="Q125" i="300"/>
  <c r="N125" i="300"/>
  <c r="J125" i="300"/>
  <c r="I125" i="300"/>
  <c r="H125" i="300"/>
  <c r="G125" i="300"/>
  <c r="E125" i="300"/>
  <c r="D125" i="300"/>
  <c r="C125" i="300"/>
  <c r="B125" i="300"/>
  <c r="AC124" i="300"/>
  <c r="AB124" i="300"/>
  <c r="AA124" i="300"/>
  <c r="Z124" i="300"/>
  <c r="Y124" i="300"/>
  <c r="X124" i="300"/>
  <c r="V124" i="300"/>
  <c r="R124" i="300"/>
  <c r="Q124" i="300"/>
  <c r="J124" i="300"/>
  <c r="I124" i="300"/>
  <c r="H124" i="300"/>
  <c r="G124" i="300"/>
  <c r="E124" i="300"/>
  <c r="C124" i="300"/>
  <c r="B124" i="300"/>
  <c r="AC123" i="300"/>
  <c r="AB123" i="300"/>
  <c r="AA123" i="300"/>
  <c r="Z123" i="300"/>
  <c r="Y123" i="300"/>
  <c r="X123" i="300"/>
  <c r="V123" i="300"/>
  <c r="R123" i="300"/>
  <c r="Q123" i="300"/>
  <c r="J123" i="300"/>
  <c r="I123" i="300"/>
  <c r="H123" i="300"/>
  <c r="G123" i="300"/>
  <c r="E123" i="300"/>
  <c r="C123" i="300"/>
  <c r="B123" i="300"/>
  <c r="AC122" i="300"/>
  <c r="AB122" i="300"/>
  <c r="AA122" i="300"/>
  <c r="Z122" i="300"/>
  <c r="Y122" i="300"/>
  <c r="X122" i="300"/>
  <c r="V122" i="300"/>
  <c r="R122" i="300"/>
  <c r="Q122" i="300"/>
  <c r="N122" i="300"/>
  <c r="J122" i="300"/>
  <c r="I122" i="300"/>
  <c r="H122" i="300"/>
  <c r="G122" i="300"/>
  <c r="E122" i="300"/>
  <c r="C122" i="300"/>
  <c r="B122" i="300"/>
  <c r="AC121" i="300"/>
  <c r="AB121" i="300"/>
  <c r="AA121" i="300"/>
  <c r="Z121" i="300"/>
  <c r="Y121" i="300"/>
  <c r="X121" i="300"/>
  <c r="V121" i="300"/>
  <c r="J121" i="300"/>
  <c r="I121" i="300"/>
  <c r="H121" i="300"/>
  <c r="G121" i="300"/>
  <c r="E121" i="300"/>
  <c r="C121" i="300"/>
  <c r="B121" i="300"/>
  <c r="AC120" i="300"/>
  <c r="AB120" i="300"/>
  <c r="AA120" i="300"/>
  <c r="AA131" i="300" s="1"/>
  <c r="Z120" i="300"/>
  <c r="Z131" i="300" s="1"/>
  <c r="Y120" i="300"/>
  <c r="Y131" i="300" s="1"/>
  <c r="X120" i="300"/>
  <c r="X131" i="300" s="1"/>
  <c r="V120" i="300"/>
  <c r="V131" i="300" s="1"/>
  <c r="R120" i="300"/>
  <c r="Q120" i="300"/>
  <c r="N120" i="300"/>
  <c r="J120" i="300"/>
  <c r="J131" i="300" s="1"/>
  <c r="I120" i="300"/>
  <c r="I131" i="300" s="1"/>
  <c r="H120" i="300"/>
  <c r="H131" i="300" s="1"/>
  <c r="G120" i="300"/>
  <c r="G131" i="300" s="1"/>
  <c r="E120" i="300"/>
  <c r="E131" i="300" s="1"/>
  <c r="D120" i="300"/>
  <c r="C120" i="300"/>
  <c r="B120" i="300"/>
  <c r="AC118" i="300"/>
  <c r="AB118" i="300"/>
  <c r="AA118" i="300"/>
  <c r="Z118" i="300"/>
  <c r="Y118" i="300"/>
  <c r="X118" i="300"/>
  <c r="V118" i="300"/>
  <c r="R118" i="300"/>
  <c r="Q118" i="300"/>
  <c r="N118" i="300"/>
  <c r="J118" i="300"/>
  <c r="I118" i="300"/>
  <c r="H118" i="300"/>
  <c r="G118" i="300"/>
  <c r="E118" i="300"/>
  <c r="D118" i="300"/>
  <c r="C118" i="300"/>
  <c r="B118" i="300"/>
  <c r="AC117" i="300"/>
  <c r="AB117" i="300"/>
  <c r="AA117" i="300"/>
  <c r="Z117" i="300"/>
  <c r="Y117" i="300"/>
  <c r="X117" i="300"/>
  <c r="V117" i="300"/>
  <c r="R117" i="300"/>
  <c r="Q117" i="300"/>
  <c r="N117" i="300"/>
  <c r="J117" i="300"/>
  <c r="I117" i="300"/>
  <c r="H117" i="300"/>
  <c r="G117" i="300"/>
  <c r="E117" i="300"/>
  <c r="D117" i="300"/>
  <c r="C117" i="300"/>
  <c r="B117" i="300"/>
  <c r="AC116" i="300"/>
  <c r="AB116" i="300"/>
  <c r="AA116" i="300"/>
  <c r="AA119" i="300" s="1"/>
  <c r="Z116" i="300"/>
  <c r="Z119" i="300" s="1"/>
  <c r="Y116" i="300"/>
  <c r="Y119" i="300" s="1"/>
  <c r="X116" i="300"/>
  <c r="X119" i="300" s="1"/>
  <c r="V116" i="300"/>
  <c r="V119" i="300" s="1"/>
  <c r="R116" i="300"/>
  <c r="R119" i="300" s="1"/>
  <c r="Q116" i="300"/>
  <c r="Q119" i="300" s="1"/>
  <c r="N116" i="300"/>
  <c r="N119" i="300" s="1"/>
  <c r="J116" i="300"/>
  <c r="J119" i="300" s="1"/>
  <c r="I116" i="300"/>
  <c r="I119" i="300" s="1"/>
  <c r="H116" i="300"/>
  <c r="H119" i="300" s="1"/>
  <c r="G116" i="300"/>
  <c r="G119" i="300" s="1"/>
  <c r="E116" i="300"/>
  <c r="E119" i="300" s="1"/>
  <c r="D116" i="300"/>
  <c r="D119" i="300" s="1"/>
  <c r="C116" i="300"/>
  <c r="B116" i="300"/>
  <c r="AC114" i="300"/>
  <c r="AB114" i="300"/>
  <c r="AA114" i="300"/>
  <c r="Z114" i="300"/>
  <c r="Y114" i="300"/>
  <c r="X114" i="300"/>
  <c r="V114" i="300"/>
  <c r="R114" i="300"/>
  <c r="Q114" i="300"/>
  <c r="N114" i="300"/>
  <c r="J114" i="300"/>
  <c r="I114" i="300"/>
  <c r="H114" i="300"/>
  <c r="G114" i="300"/>
  <c r="E114" i="300"/>
  <c r="D114" i="300"/>
  <c r="C114" i="300"/>
  <c r="B114" i="300"/>
  <c r="AC113" i="300"/>
  <c r="AB113" i="300"/>
  <c r="AA113" i="300"/>
  <c r="Z113" i="300"/>
  <c r="Y113" i="300"/>
  <c r="X113" i="300"/>
  <c r="V113" i="300"/>
  <c r="R113" i="300"/>
  <c r="Q113" i="300"/>
  <c r="N113" i="300"/>
  <c r="J113" i="300"/>
  <c r="I113" i="300"/>
  <c r="H113" i="300"/>
  <c r="G113" i="300"/>
  <c r="E113" i="300"/>
  <c r="C113" i="300"/>
  <c r="B113" i="300"/>
  <c r="AC112" i="300"/>
  <c r="AB112" i="300"/>
  <c r="AA112" i="300"/>
  <c r="AA115" i="300" s="1"/>
  <c r="Z112" i="300"/>
  <c r="Z115" i="300" s="1"/>
  <c r="Y112" i="300"/>
  <c r="Y115" i="300" s="1"/>
  <c r="X112" i="300"/>
  <c r="X115" i="300" s="1"/>
  <c r="V112" i="300"/>
  <c r="V115" i="300" s="1"/>
  <c r="R112" i="300"/>
  <c r="R115" i="300" s="1"/>
  <c r="Q112" i="300"/>
  <c r="Q115" i="300" s="1"/>
  <c r="L112" i="300"/>
  <c r="K112" i="300"/>
  <c r="J112" i="300"/>
  <c r="J115" i="300" s="1"/>
  <c r="I112" i="300"/>
  <c r="I115" i="300" s="1"/>
  <c r="H112" i="300"/>
  <c r="H115" i="300" s="1"/>
  <c r="G112" i="300"/>
  <c r="G115" i="300" s="1"/>
  <c r="E112" i="300"/>
  <c r="E115" i="300" s="1"/>
  <c r="D112" i="300"/>
  <c r="C112" i="300"/>
  <c r="B112" i="300"/>
  <c r="AC110" i="300"/>
  <c r="AB110" i="300"/>
  <c r="AA110" i="300"/>
  <c r="Z110" i="300"/>
  <c r="Y110" i="300"/>
  <c r="X110" i="300"/>
  <c r="V110" i="300"/>
  <c r="R110" i="300"/>
  <c r="Q110" i="300"/>
  <c r="L110" i="300"/>
  <c r="K110" i="300"/>
  <c r="J110" i="300"/>
  <c r="I110" i="300"/>
  <c r="H110" i="300"/>
  <c r="G110" i="300"/>
  <c r="E110" i="300"/>
  <c r="D110" i="300"/>
  <c r="C110" i="300"/>
  <c r="B110" i="300"/>
  <c r="AC109" i="300"/>
  <c r="AB109" i="300"/>
  <c r="AA109" i="300"/>
  <c r="AA111" i="300" s="1"/>
  <c r="Z109" i="300"/>
  <c r="Z111" i="300" s="1"/>
  <c r="Y109" i="300"/>
  <c r="Y111" i="300" s="1"/>
  <c r="X109" i="300"/>
  <c r="X111" i="300" s="1"/>
  <c r="W109" i="300"/>
  <c r="R109" i="300"/>
  <c r="R111" i="300" s="1"/>
  <c r="Q109" i="300"/>
  <c r="Q111" i="300" s="1"/>
  <c r="N109" i="300"/>
  <c r="J109" i="300"/>
  <c r="J111" i="300" s="1"/>
  <c r="I109" i="300"/>
  <c r="I111" i="300" s="1"/>
  <c r="H109" i="300"/>
  <c r="H111" i="300" s="1"/>
  <c r="G109" i="300"/>
  <c r="G111" i="300" s="1"/>
  <c r="E109" i="300"/>
  <c r="E111" i="300" s="1"/>
  <c r="D109" i="300"/>
  <c r="D111" i="300" s="1"/>
  <c r="C109" i="300"/>
  <c r="B109" i="300"/>
  <c r="AC107" i="300"/>
  <c r="AB107" i="300"/>
  <c r="AA107" i="300"/>
  <c r="Z107" i="300"/>
  <c r="Y107" i="300"/>
  <c r="X107" i="300"/>
  <c r="V107" i="300"/>
  <c r="T107" i="300"/>
  <c r="S107" i="300"/>
  <c r="R107" i="300"/>
  <c r="Q107" i="300"/>
  <c r="P107" i="300"/>
  <c r="N107" i="300"/>
  <c r="M107" i="300"/>
  <c r="L107" i="300"/>
  <c r="K107" i="300"/>
  <c r="J107" i="300"/>
  <c r="I107" i="300"/>
  <c r="H107" i="300"/>
  <c r="G107" i="300"/>
  <c r="E107" i="300"/>
  <c r="D107" i="300"/>
  <c r="C107" i="300"/>
  <c r="B107" i="300"/>
  <c r="AC106" i="300"/>
  <c r="AB106" i="300"/>
  <c r="AA106" i="300"/>
  <c r="Z106" i="300"/>
  <c r="Y106" i="300"/>
  <c r="X106" i="300"/>
  <c r="W106" i="300"/>
  <c r="R106" i="300"/>
  <c r="Q106" i="300"/>
  <c r="N106" i="300"/>
  <c r="L106" i="300"/>
  <c r="K106" i="300"/>
  <c r="J106" i="300"/>
  <c r="I106" i="300"/>
  <c r="H106" i="300"/>
  <c r="G106" i="300"/>
  <c r="E106" i="300"/>
  <c r="D106" i="300"/>
  <c r="C106" i="300"/>
  <c r="B106" i="300"/>
  <c r="AC105" i="300"/>
  <c r="AB105" i="300"/>
  <c r="AA105" i="300"/>
  <c r="Z105" i="300"/>
  <c r="Y105" i="300"/>
  <c r="X105" i="300"/>
  <c r="W105" i="300"/>
  <c r="R105" i="300"/>
  <c r="Q105" i="300"/>
  <c r="L105" i="300"/>
  <c r="K105" i="300"/>
  <c r="J105" i="300"/>
  <c r="I105" i="300"/>
  <c r="H105" i="300"/>
  <c r="G105" i="300"/>
  <c r="E105" i="300"/>
  <c r="D105" i="300"/>
  <c r="C105" i="300"/>
  <c r="B105" i="300"/>
  <c r="AC104" i="300"/>
  <c r="AB104" i="300"/>
  <c r="AA104" i="300"/>
  <c r="Z104" i="300"/>
  <c r="Y104" i="300"/>
  <c r="X104" i="300"/>
  <c r="W104" i="300"/>
  <c r="R104" i="300"/>
  <c r="Q104" i="300"/>
  <c r="N104" i="300"/>
  <c r="J104" i="300"/>
  <c r="I104" i="300"/>
  <c r="H104" i="300"/>
  <c r="E104" i="300"/>
  <c r="D104" i="300"/>
  <c r="C104" i="300"/>
  <c r="B104" i="300"/>
  <c r="AC103" i="300"/>
  <c r="AB103" i="300"/>
  <c r="AA103" i="300"/>
  <c r="Z103" i="300"/>
  <c r="Y103" i="300"/>
  <c r="X103" i="300"/>
  <c r="V103" i="300"/>
  <c r="R103" i="300"/>
  <c r="Q103" i="300"/>
  <c r="J103" i="300"/>
  <c r="I103" i="300"/>
  <c r="H103" i="300"/>
  <c r="G103" i="300"/>
  <c r="E103" i="300"/>
  <c r="C103" i="300"/>
  <c r="B103" i="300"/>
  <c r="AC102" i="300"/>
  <c r="AB102" i="300"/>
  <c r="AA102" i="300"/>
  <c r="Z102" i="300"/>
  <c r="Y102" i="300"/>
  <c r="X102" i="300"/>
  <c r="V102" i="300"/>
  <c r="T102" i="300"/>
  <c r="S102" i="300"/>
  <c r="R102" i="300"/>
  <c r="Q102" i="300"/>
  <c r="P102" i="300"/>
  <c r="M102" i="300"/>
  <c r="L102" i="300"/>
  <c r="K102" i="300"/>
  <c r="J102" i="300"/>
  <c r="I102" i="300"/>
  <c r="H102" i="300"/>
  <c r="G102" i="300"/>
  <c r="E102" i="300"/>
  <c r="D102" i="300"/>
  <c r="C102" i="300"/>
  <c r="B102" i="300"/>
  <c r="AC101" i="300"/>
  <c r="AB101" i="300"/>
  <c r="AA101" i="300"/>
  <c r="Z101" i="300"/>
  <c r="Y101" i="300"/>
  <c r="X101" i="300"/>
  <c r="V101" i="300"/>
  <c r="T101" i="300"/>
  <c r="S101" i="300"/>
  <c r="R101" i="300"/>
  <c r="Q101" i="300"/>
  <c r="P101" i="300"/>
  <c r="N101" i="300"/>
  <c r="M101" i="300"/>
  <c r="L101" i="300"/>
  <c r="K101" i="300"/>
  <c r="J101" i="300"/>
  <c r="I101" i="300"/>
  <c r="H101" i="300"/>
  <c r="G101" i="300"/>
  <c r="E101" i="300"/>
  <c r="D101" i="300"/>
  <c r="C101" i="300"/>
  <c r="B101" i="300"/>
  <c r="AC100" i="300"/>
  <c r="AB100" i="300"/>
  <c r="AA100" i="300"/>
  <c r="AA108" i="300" s="1"/>
  <c r="Z100" i="300"/>
  <c r="Z108" i="300" s="1"/>
  <c r="Y100" i="300"/>
  <c r="Y108" i="300" s="1"/>
  <c r="X100" i="300"/>
  <c r="X108" i="300" s="1"/>
  <c r="V100" i="300"/>
  <c r="T100" i="300"/>
  <c r="S100" i="300"/>
  <c r="R100" i="300"/>
  <c r="R108" i="300" s="1"/>
  <c r="Q100" i="300"/>
  <c r="Q108" i="300" s="1"/>
  <c r="P100" i="300"/>
  <c r="M100" i="300"/>
  <c r="L100" i="300"/>
  <c r="K100" i="300"/>
  <c r="J100" i="300"/>
  <c r="J108" i="300" s="1"/>
  <c r="I100" i="300"/>
  <c r="I108" i="300" s="1"/>
  <c r="H100" i="300"/>
  <c r="H108" i="300" s="1"/>
  <c r="G100" i="300"/>
  <c r="E100" i="300"/>
  <c r="E108" i="300" s="1"/>
  <c r="D100" i="300"/>
  <c r="C100" i="300"/>
  <c r="B100" i="300"/>
  <c r="AC98" i="300"/>
  <c r="AB98" i="300"/>
  <c r="AA98" i="300"/>
  <c r="Z98" i="300"/>
  <c r="Y98" i="300"/>
  <c r="X98" i="300"/>
  <c r="V98" i="300"/>
  <c r="T98" i="300"/>
  <c r="S98" i="300"/>
  <c r="R98" i="300"/>
  <c r="Q98" i="300"/>
  <c r="P98" i="300"/>
  <c r="M98" i="300"/>
  <c r="L98" i="300"/>
  <c r="K98" i="300"/>
  <c r="J98" i="300"/>
  <c r="I98" i="300"/>
  <c r="H98" i="300"/>
  <c r="G98" i="300"/>
  <c r="E98" i="300"/>
  <c r="D98" i="300"/>
  <c r="C98" i="300"/>
  <c r="B98" i="300"/>
  <c r="AC97" i="300"/>
  <c r="AB97" i="300"/>
  <c r="AA97" i="300"/>
  <c r="Z97" i="300"/>
  <c r="Y97" i="300"/>
  <c r="X97" i="300"/>
  <c r="W97" i="300"/>
  <c r="R97" i="300"/>
  <c r="Q97" i="300"/>
  <c r="M97" i="300"/>
  <c r="L97" i="300"/>
  <c r="K97" i="300"/>
  <c r="J97" i="300"/>
  <c r="I97" i="300"/>
  <c r="H97" i="300"/>
  <c r="G97" i="300"/>
  <c r="E97" i="300"/>
  <c r="C97" i="300"/>
  <c r="B97" i="300"/>
  <c r="AC96" i="300"/>
  <c r="AB96" i="300"/>
  <c r="AA96" i="300"/>
  <c r="Z96" i="300"/>
  <c r="Y96" i="300"/>
  <c r="X96" i="300"/>
  <c r="W96" i="300"/>
  <c r="R96" i="300"/>
  <c r="Q96" i="300"/>
  <c r="J96" i="300"/>
  <c r="I96" i="300"/>
  <c r="H96" i="300"/>
  <c r="G96" i="300"/>
  <c r="E96" i="300"/>
  <c r="C96" i="300"/>
  <c r="B96" i="300"/>
  <c r="AC95" i="300"/>
  <c r="AB95" i="300"/>
  <c r="AA95" i="300"/>
  <c r="Z95" i="300"/>
  <c r="Y95" i="300"/>
  <c r="X95" i="300"/>
  <c r="V95" i="300"/>
  <c r="R95" i="300"/>
  <c r="Q95" i="300"/>
  <c r="N95" i="300"/>
  <c r="L95" i="300"/>
  <c r="K95" i="300"/>
  <c r="J95" i="300"/>
  <c r="I95" i="300"/>
  <c r="H95" i="300"/>
  <c r="G95" i="300"/>
  <c r="E95" i="300"/>
  <c r="C95" i="300"/>
  <c r="B95" i="300"/>
  <c r="AC94" i="300"/>
  <c r="AB94" i="300"/>
  <c r="AA94" i="300"/>
  <c r="Z94" i="300"/>
  <c r="Y94" i="300"/>
  <c r="X94" i="300"/>
  <c r="W94" i="300"/>
  <c r="T94" i="300"/>
  <c r="S94" i="300"/>
  <c r="R94" i="300"/>
  <c r="Q94" i="300"/>
  <c r="N94" i="300"/>
  <c r="J94" i="300"/>
  <c r="I94" i="300"/>
  <c r="H94" i="300"/>
  <c r="G94" i="300"/>
  <c r="E94" i="300"/>
  <c r="C94" i="300"/>
  <c r="B94" i="300"/>
  <c r="AC93" i="300"/>
  <c r="AB93" i="300"/>
  <c r="AA93" i="300"/>
  <c r="Z93" i="300"/>
  <c r="Y93" i="300"/>
  <c r="X93" i="300"/>
  <c r="W93" i="300"/>
  <c r="R93" i="300"/>
  <c r="Q93" i="300"/>
  <c r="N93" i="300"/>
  <c r="J93" i="300"/>
  <c r="I93" i="300"/>
  <c r="H93" i="300"/>
  <c r="E93" i="300"/>
  <c r="D93" i="300"/>
  <c r="C93" i="300"/>
  <c r="B93" i="300"/>
  <c r="AC92" i="300"/>
  <c r="AB92" i="300"/>
  <c r="AA92" i="300"/>
  <c r="Z92" i="300"/>
  <c r="Y92" i="300"/>
  <c r="X92" i="300"/>
  <c r="W92" i="300"/>
  <c r="R92" i="300"/>
  <c r="Q92" i="300"/>
  <c r="N92" i="300"/>
  <c r="J92" i="300"/>
  <c r="I92" i="300"/>
  <c r="H92" i="300"/>
  <c r="G92" i="300"/>
  <c r="E92" i="300"/>
  <c r="D92" i="300"/>
  <c r="C92" i="300"/>
  <c r="B92" i="300"/>
  <c r="AC91" i="300"/>
  <c r="AB91" i="300"/>
  <c r="AA91" i="300"/>
  <c r="Z91" i="300"/>
  <c r="Y91" i="300"/>
  <c r="X91" i="300"/>
  <c r="W91" i="300"/>
  <c r="R91" i="300"/>
  <c r="Q91" i="300"/>
  <c r="J91" i="300"/>
  <c r="I91" i="300"/>
  <c r="H91" i="300"/>
  <c r="G91" i="300"/>
  <c r="E91" i="300"/>
  <c r="D91" i="300"/>
  <c r="C91" i="300"/>
  <c r="B91" i="300"/>
  <c r="AC90" i="300"/>
  <c r="AB90" i="300"/>
  <c r="AA90" i="300"/>
  <c r="Z90" i="300"/>
  <c r="Y90" i="300"/>
  <c r="X90" i="300"/>
  <c r="V90" i="300"/>
  <c r="R90" i="300"/>
  <c r="Q90" i="300"/>
  <c r="N90" i="300"/>
  <c r="J90" i="300"/>
  <c r="I90" i="300"/>
  <c r="H90" i="300"/>
  <c r="G90" i="300"/>
  <c r="E90" i="300"/>
  <c r="D90" i="300"/>
  <c r="C90" i="300"/>
  <c r="B90" i="300"/>
  <c r="AC89" i="300"/>
  <c r="AB89" i="300"/>
  <c r="AA89" i="300"/>
  <c r="Z89" i="300"/>
  <c r="Y89" i="300"/>
  <c r="X89" i="300"/>
  <c r="V89" i="300"/>
  <c r="R89" i="300"/>
  <c r="Q89" i="300"/>
  <c r="J89" i="300"/>
  <c r="I89" i="300"/>
  <c r="H89" i="300"/>
  <c r="G89" i="300"/>
  <c r="E89" i="300"/>
  <c r="D89" i="300"/>
  <c r="C89" i="300"/>
  <c r="B89" i="300"/>
  <c r="AC88" i="300"/>
  <c r="AB88" i="300"/>
  <c r="AA88" i="300"/>
  <c r="Z88" i="300"/>
  <c r="Y88" i="300"/>
  <c r="X88" i="300"/>
  <c r="V88" i="300"/>
  <c r="R88" i="300"/>
  <c r="Q88" i="300"/>
  <c r="N88" i="300"/>
  <c r="J88" i="300"/>
  <c r="I88" i="300"/>
  <c r="H88" i="300"/>
  <c r="G88" i="300"/>
  <c r="E88" i="300"/>
  <c r="D88" i="300"/>
  <c r="C88" i="300"/>
  <c r="B88" i="300"/>
  <c r="AC87" i="300"/>
  <c r="AB87" i="300"/>
  <c r="AA87" i="300"/>
  <c r="Z87" i="300"/>
  <c r="Y87" i="300"/>
  <c r="X87" i="300"/>
  <c r="V87" i="300"/>
  <c r="R87" i="300"/>
  <c r="Q87" i="300"/>
  <c r="J87" i="300"/>
  <c r="I87" i="300"/>
  <c r="H87" i="300"/>
  <c r="G87" i="300"/>
  <c r="E87" i="300"/>
  <c r="C87" i="300"/>
  <c r="B87" i="300"/>
  <c r="AC86" i="300"/>
  <c r="AB86" i="300"/>
  <c r="AA86" i="300"/>
  <c r="Z86" i="300"/>
  <c r="Y86" i="300"/>
  <c r="X86" i="300"/>
  <c r="V86" i="300"/>
  <c r="R86" i="300"/>
  <c r="Q86" i="300"/>
  <c r="N86" i="300"/>
  <c r="J86" i="300"/>
  <c r="I86" i="300"/>
  <c r="H86" i="300"/>
  <c r="G86" i="300"/>
  <c r="C86" i="300"/>
  <c r="B86" i="300"/>
  <c r="AC85" i="300"/>
  <c r="AB85" i="300"/>
  <c r="AA85" i="300"/>
  <c r="Z85" i="300"/>
  <c r="Y85" i="300"/>
  <c r="X85" i="300"/>
  <c r="V85" i="300"/>
  <c r="Q85" i="300"/>
  <c r="N85" i="300"/>
  <c r="J85" i="300"/>
  <c r="I85" i="300"/>
  <c r="H85" i="300"/>
  <c r="D85" i="300"/>
  <c r="C85" i="300"/>
  <c r="B85" i="300"/>
  <c r="AC84" i="300"/>
  <c r="AB84" i="300"/>
  <c r="AA84" i="300"/>
  <c r="Z84" i="300"/>
  <c r="Y84" i="300"/>
  <c r="X84" i="300"/>
  <c r="V84" i="300"/>
  <c r="R84" i="300"/>
  <c r="Q84" i="300"/>
  <c r="J84" i="300"/>
  <c r="I84" i="300"/>
  <c r="H84" i="300"/>
  <c r="G84" i="300"/>
  <c r="E84" i="300"/>
  <c r="D84" i="300"/>
  <c r="C84" i="300"/>
  <c r="B84" i="300"/>
  <c r="AC83" i="300"/>
  <c r="AB83" i="300"/>
  <c r="AA83" i="300"/>
  <c r="Z83" i="300"/>
  <c r="Y83" i="300"/>
  <c r="X83" i="300"/>
  <c r="V83" i="300"/>
  <c r="R83" i="300"/>
  <c r="Q83" i="300"/>
  <c r="N83" i="300"/>
  <c r="J83" i="300"/>
  <c r="I83" i="300"/>
  <c r="H83" i="300"/>
  <c r="G83" i="300"/>
  <c r="E83" i="300"/>
  <c r="D83" i="300"/>
  <c r="C83" i="300"/>
  <c r="B83" i="300"/>
  <c r="AC82" i="300"/>
  <c r="AB82" i="300"/>
  <c r="AA82" i="300"/>
  <c r="Z82" i="300"/>
  <c r="Y82" i="300"/>
  <c r="X82" i="300"/>
  <c r="V82" i="300"/>
  <c r="R82" i="300"/>
  <c r="Q82" i="300"/>
  <c r="N82" i="300"/>
  <c r="J82" i="300"/>
  <c r="I82" i="300"/>
  <c r="H82" i="300"/>
  <c r="G82" i="300"/>
  <c r="E82" i="300"/>
  <c r="D82" i="300"/>
  <c r="C82" i="300"/>
  <c r="B82" i="300"/>
  <c r="AC81" i="300"/>
  <c r="AB81" i="300"/>
  <c r="AA81" i="300"/>
  <c r="Z81" i="300"/>
  <c r="Y81" i="300"/>
  <c r="X81" i="300"/>
  <c r="V81" i="300"/>
  <c r="R81" i="300"/>
  <c r="Q81" i="300"/>
  <c r="N81" i="300"/>
  <c r="J81" i="300"/>
  <c r="I81" i="300"/>
  <c r="H81" i="300"/>
  <c r="G81" i="300"/>
  <c r="E81" i="300"/>
  <c r="D81" i="300"/>
  <c r="C81" i="300"/>
  <c r="B81" i="300"/>
  <c r="AC80" i="300"/>
  <c r="AB80" i="300"/>
  <c r="AA80" i="300"/>
  <c r="Z80" i="300"/>
  <c r="Y80" i="300"/>
  <c r="X80" i="300"/>
  <c r="V80" i="300"/>
  <c r="R80" i="300"/>
  <c r="Q80" i="300"/>
  <c r="J80" i="300"/>
  <c r="I80" i="300"/>
  <c r="H80" i="300"/>
  <c r="G80" i="300"/>
  <c r="E80" i="300"/>
  <c r="D80" i="300"/>
  <c r="C80" i="300"/>
  <c r="B80" i="300"/>
  <c r="AC79" i="300"/>
  <c r="AB79" i="300"/>
  <c r="AA79" i="300"/>
  <c r="Z79" i="300"/>
  <c r="Y79" i="300"/>
  <c r="X79" i="300"/>
  <c r="V79" i="300"/>
  <c r="J79" i="300"/>
  <c r="I79" i="300"/>
  <c r="H79" i="300"/>
  <c r="E79" i="300"/>
  <c r="D79" i="300"/>
  <c r="C79" i="300"/>
  <c r="B79" i="300"/>
  <c r="AC78" i="300"/>
  <c r="AB78" i="300"/>
  <c r="AA78" i="300"/>
  <c r="Z78" i="300"/>
  <c r="Y78" i="300"/>
  <c r="X78" i="300"/>
  <c r="V78" i="300"/>
  <c r="R78" i="300"/>
  <c r="Q78" i="300"/>
  <c r="N78" i="300"/>
  <c r="J78" i="300"/>
  <c r="I78" i="300"/>
  <c r="H78" i="300"/>
  <c r="G78" i="300"/>
  <c r="E78" i="300"/>
  <c r="D78" i="300"/>
  <c r="C78" i="300"/>
  <c r="B78" i="300"/>
  <c r="AC77" i="300"/>
  <c r="AB77" i="300"/>
  <c r="AA77" i="300"/>
  <c r="Z77" i="300"/>
  <c r="Y77" i="300"/>
  <c r="X77" i="300"/>
  <c r="W77" i="300"/>
  <c r="R77" i="300"/>
  <c r="Q77" i="300"/>
  <c r="N77" i="300"/>
  <c r="J77" i="300"/>
  <c r="I77" i="300"/>
  <c r="H77" i="300"/>
  <c r="G77" i="300"/>
  <c r="E77" i="300"/>
  <c r="D77" i="300"/>
  <c r="C77" i="300"/>
  <c r="B77" i="300"/>
  <c r="AC76" i="300"/>
  <c r="AB76" i="300"/>
  <c r="AA76" i="300"/>
  <c r="Z76" i="300"/>
  <c r="Y76" i="300"/>
  <c r="X76" i="300"/>
  <c r="V76" i="300"/>
  <c r="R76" i="300"/>
  <c r="Q76" i="300"/>
  <c r="N76" i="300"/>
  <c r="J76" i="300"/>
  <c r="I76" i="300"/>
  <c r="H76" i="300"/>
  <c r="G76" i="300"/>
  <c r="E76" i="300"/>
  <c r="D76" i="300"/>
  <c r="C76" i="300"/>
  <c r="B76" i="300"/>
  <c r="AC75" i="300"/>
  <c r="AB75" i="300"/>
  <c r="AA75" i="300"/>
  <c r="Z75" i="300"/>
  <c r="Y75" i="300"/>
  <c r="X75" i="300"/>
  <c r="V75" i="300"/>
  <c r="R75" i="300"/>
  <c r="Q75" i="300"/>
  <c r="N75" i="300"/>
  <c r="J75" i="300"/>
  <c r="I75" i="300"/>
  <c r="H75" i="300"/>
  <c r="G75" i="300"/>
  <c r="E75" i="300"/>
  <c r="D75" i="300"/>
  <c r="C75" i="300"/>
  <c r="B75" i="300"/>
  <c r="AC74" i="300"/>
  <c r="AB74" i="300"/>
  <c r="AA74" i="300"/>
  <c r="Z74" i="300"/>
  <c r="Y74" i="300"/>
  <c r="X74" i="300"/>
  <c r="V74" i="300"/>
  <c r="R74" i="300"/>
  <c r="Q74" i="300"/>
  <c r="N74" i="300"/>
  <c r="J74" i="300"/>
  <c r="I74" i="300"/>
  <c r="H74" i="300"/>
  <c r="G74" i="300"/>
  <c r="E74" i="300"/>
  <c r="D74" i="300"/>
  <c r="C74" i="300"/>
  <c r="B74" i="300"/>
  <c r="AC73" i="300"/>
  <c r="AB73" i="300"/>
  <c r="AA73" i="300"/>
  <c r="Z73" i="300"/>
  <c r="Y73" i="300"/>
  <c r="X73" i="300"/>
  <c r="V73" i="300"/>
  <c r="R73" i="300"/>
  <c r="Q73" i="300"/>
  <c r="J73" i="300"/>
  <c r="I73" i="300"/>
  <c r="H73" i="300"/>
  <c r="G73" i="300"/>
  <c r="E73" i="300"/>
  <c r="D73" i="300"/>
  <c r="C73" i="300"/>
  <c r="B73" i="300"/>
  <c r="AC72" i="300"/>
  <c r="AB72" i="300"/>
  <c r="AA72" i="300"/>
  <c r="Z72" i="300"/>
  <c r="Y72" i="300"/>
  <c r="X72" i="300"/>
  <c r="V72" i="300"/>
  <c r="R72" i="300"/>
  <c r="Q72" i="300"/>
  <c r="J72" i="300"/>
  <c r="I72" i="300"/>
  <c r="H72" i="300"/>
  <c r="G72" i="300"/>
  <c r="E72" i="300"/>
  <c r="D72" i="300"/>
  <c r="C72" i="300"/>
  <c r="B72" i="300"/>
  <c r="AC71" i="300"/>
  <c r="AB71" i="300"/>
  <c r="AA71" i="300"/>
  <c r="Z71" i="300"/>
  <c r="Y71" i="300"/>
  <c r="X71" i="300"/>
  <c r="V71" i="300"/>
  <c r="R71" i="300"/>
  <c r="Q71" i="300"/>
  <c r="N71" i="300"/>
  <c r="J71" i="300"/>
  <c r="I71" i="300"/>
  <c r="H71" i="300"/>
  <c r="G71" i="300"/>
  <c r="E71" i="300"/>
  <c r="D71" i="300"/>
  <c r="C71" i="300"/>
  <c r="B71" i="300"/>
  <c r="AC70" i="300"/>
  <c r="AB70" i="300"/>
  <c r="AA70" i="300"/>
  <c r="Z70" i="300"/>
  <c r="Y70" i="300"/>
  <c r="X70" i="300"/>
  <c r="V70" i="300"/>
  <c r="R70" i="300"/>
  <c r="Q70" i="300"/>
  <c r="N70" i="300"/>
  <c r="J70" i="300"/>
  <c r="I70" i="300"/>
  <c r="H70" i="300"/>
  <c r="G70" i="300"/>
  <c r="E70" i="300"/>
  <c r="D70" i="300"/>
  <c r="C70" i="300"/>
  <c r="B70" i="300"/>
  <c r="AC69" i="300"/>
  <c r="AB69" i="300"/>
  <c r="AA69" i="300"/>
  <c r="Z69" i="300"/>
  <c r="Y69" i="300"/>
  <c r="X69" i="300"/>
  <c r="R69" i="300"/>
  <c r="Q69" i="300"/>
  <c r="N69" i="300"/>
  <c r="J69" i="300"/>
  <c r="I69" i="300"/>
  <c r="H69" i="300"/>
  <c r="G69" i="300"/>
  <c r="E69" i="300"/>
  <c r="D69" i="300"/>
  <c r="C69" i="300"/>
  <c r="B69" i="300"/>
  <c r="AC68" i="300"/>
  <c r="AB68" i="300"/>
  <c r="AA68" i="300"/>
  <c r="Z68" i="300"/>
  <c r="Y68" i="300"/>
  <c r="X68" i="300"/>
  <c r="V68" i="300"/>
  <c r="R68" i="300"/>
  <c r="Q68" i="300"/>
  <c r="J68" i="300"/>
  <c r="I68" i="300"/>
  <c r="H68" i="300"/>
  <c r="G68" i="300"/>
  <c r="E68" i="300"/>
  <c r="D68" i="300"/>
  <c r="C68" i="300"/>
  <c r="B68" i="300"/>
  <c r="W67" i="300"/>
  <c r="G67" i="300"/>
  <c r="AC66" i="300"/>
  <c r="AB66" i="300"/>
  <c r="Z66" i="300"/>
  <c r="Y66" i="300"/>
  <c r="X66" i="300"/>
  <c r="W66" i="300"/>
  <c r="V66" i="300"/>
  <c r="T66" i="300"/>
  <c r="S66" i="300"/>
  <c r="R66" i="300"/>
  <c r="Q66" i="300"/>
  <c r="P66" i="300"/>
  <c r="M66" i="300"/>
  <c r="L66" i="300"/>
  <c r="K66" i="300"/>
  <c r="J66" i="300"/>
  <c r="I66" i="300"/>
  <c r="H66" i="300"/>
  <c r="G66" i="300"/>
  <c r="E66" i="300"/>
  <c r="D66" i="300"/>
  <c r="C66" i="300"/>
  <c r="B66" i="300"/>
  <c r="AC65" i="300"/>
  <c r="AB65" i="300"/>
  <c r="Z65" i="300"/>
  <c r="Z67" i="300" s="1"/>
  <c r="Y65" i="300"/>
  <c r="X65" i="300"/>
  <c r="X67" i="300" s="1"/>
  <c r="W65" i="300"/>
  <c r="V65" i="300"/>
  <c r="V67" i="300" s="1"/>
  <c r="R65" i="300"/>
  <c r="R67" i="300" s="1"/>
  <c r="Q65" i="300"/>
  <c r="Q67" i="300" s="1"/>
  <c r="J65" i="300"/>
  <c r="J67" i="300" s="1"/>
  <c r="I65" i="300"/>
  <c r="H65" i="300"/>
  <c r="H67" i="300" s="1"/>
  <c r="G65" i="300"/>
  <c r="E65" i="300"/>
  <c r="E67" i="300" s="1"/>
  <c r="C65" i="300"/>
  <c r="B65" i="300"/>
  <c r="Y64" i="300"/>
  <c r="Q64" i="300"/>
  <c r="I64" i="300"/>
  <c r="E64" i="300"/>
  <c r="AC63" i="300"/>
  <c r="AB63" i="300"/>
  <c r="AA63" i="300"/>
  <c r="AA64" i="300" s="1"/>
  <c r="Z63" i="300"/>
  <c r="Z64" i="300" s="1"/>
  <c r="Y63" i="300"/>
  <c r="X63" i="300"/>
  <c r="X64" i="300" s="1"/>
  <c r="V63" i="300"/>
  <c r="V64" i="300" s="1"/>
  <c r="R63" i="300"/>
  <c r="R64" i="300" s="1"/>
  <c r="Q63" i="300"/>
  <c r="N63" i="300"/>
  <c r="N64" i="300" s="1"/>
  <c r="J63" i="300"/>
  <c r="J64" i="300" s="1"/>
  <c r="I63" i="300"/>
  <c r="H63" i="300"/>
  <c r="H64" i="300" s="1"/>
  <c r="G63" i="300"/>
  <c r="G64" i="300" s="1"/>
  <c r="E63" i="300"/>
  <c r="D63" i="300"/>
  <c r="D64" i="300" s="1"/>
  <c r="C63" i="300"/>
  <c r="B63" i="300"/>
  <c r="AC61" i="300"/>
  <c r="AB61" i="300"/>
  <c r="AA61" i="300"/>
  <c r="Z61" i="300"/>
  <c r="Y61" i="300"/>
  <c r="X61" i="300"/>
  <c r="V61" i="300"/>
  <c r="R61" i="300"/>
  <c r="Q61" i="300"/>
  <c r="N61" i="300"/>
  <c r="J61" i="300"/>
  <c r="I61" i="300"/>
  <c r="H61" i="300"/>
  <c r="G61" i="300"/>
  <c r="E61" i="300"/>
  <c r="D61" i="300"/>
  <c r="C61" i="300"/>
  <c r="B61" i="300"/>
  <c r="AC60" i="300"/>
  <c r="AB60" i="300"/>
  <c r="AA60" i="300"/>
  <c r="Z60" i="300"/>
  <c r="Y60" i="300"/>
  <c r="X60" i="300"/>
  <c r="V60" i="300"/>
  <c r="R60" i="300"/>
  <c r="Q60" i="300"/>
  <c r="N60" i="300"/>
  <c r="L60" i="300"/>
  <c r="K60" i="300"/>
  <c r="J60" i="300"/>
  <c r="I60" i="300"/>
  <c r="H60" i="300"/>
  <c r="G60" i="300"/>
  <c r="E60" i="300"/>
  <c r="D60" i="300"/>
  <c r="C60" i="300"/>
  <c r="B60" i="300"/>
  <c r="AC59" i="300"/>
  <c r="AB59" i="300"/>
  <c r="AA59" i="300"/>
  <c r="Z59" i="300"/>
  <c r="Y59" i="300"/>
  <c r="X59" i="300"/>
  <c r="V59" i="300"/>
  <c r="R59" i="300"/>
  <c r="Q59" i="300"/>
  <c r="N59" i="300"/>
  <c r="L59" i="300"/>
  <c r="K59" i="300"/>
  <c r="J59" i="300"/>
  <c r="I59" i="300"/>
  <c r="H59" i="300"/>
  <c r="G59" i="300"/>
  <c r="E59" i="300"/>
  <c r="D59" i="300"/>
  <c r="C59" i="300"/>
  <c r="B59" i="300"/>
  <c r="AC58" i="300"/>
  <c r="AB58" i="300"/>
  <c r="Z58" i="300"/>
  <c r="Y58" i="300"/>
  <c r="X58" i="300"/>
  <c r="V58" i="300"/>
  <c r="R58" i="300"/>
  <c r="Q58" i="300"/>
  <c r="L58" i="300"/>
  <c r="K58" i="300"/>
  <c r="J58" i="300"/>
  <c r="I58" i="300"/>
  <c r="H58" i="300"/>
  <c r="G58" i="300"/>
  <c r="E58" i="300"/>
  <c r="C58" i="300"/>
  <c r="B58" i="300"/>
  <c r="AC57" i="300"/>
  <c r="AB57" i="300"/>
  <c r="AA57" i="300"/>
  <c r="Z57" i="300"/>
  <c r="Y57" i="300"/>
  <c r="X57" i="300"/>
  <c r="V57" i="300"/>
  <c r="R57" i="300"/>
  <c r="Q57" i="300"/>
  <c r="N57" i="300"/>
  <c r="L57" i="300"/>
  <c r="K57" i="300"/>
  <c r="J57" i="300"/>
  <c r="I57" i="300"/>
  <c r="H57" i="300"/>
  <c r="G57" i="300"/>
  <c r="E57" i="300"/>
  <c r="D57" i="300"/>
  <c r="C57" i="300"/>
  <c r="B57" i="300"/>
  <c r="AC56" i="300"/>
  <c r="AB56" i="300"/>
  <c r="AA56" i="300"/>
  <c r="Z56" i="300"/>
  <c r="Y56" i="300"/>
  <c r="X56" i="300"/>
  <c r="V56" i="300"/>
  <c r="R56" i="300"/>
  <c r="Q56" i="300"/>
  <c r="N56" i="300"/>
  <c r="L56" i="300"/>
  <c r="K56" i="300"/>
  <c r="J56" i="300"/>
  <c r="I56" i="300"/>
  <c r="H56" i="300"/>
  <c r="G56" i="300"/>
  <c r="E56" i="300"/>
  <c r="D56" i="300"/>
  <c r="C56" i="300"/>
  <c r="B56" i="300"/>
  <c r="AC55" i="300"/>
  <c r="AB55" i="300"/>
  <c r="AA55" i="300"/>
  <c r="Z55" i="300"/>
  <c r="Y55" i="300"/>
  <c r="X55" i="300"/>
  <c r="W55" i="300"/>
  <c r="T55" i="300"/>
  <c r="S55" i="300"/>
  <c r="R55" i="300"/>
  <c r="Q55" i="300"/>
  <c r="N55" i="300"/>
  <c r="J55" i="300"/>
  <c r="I55" i="300"/>
  <c r="H55" i="300"/>
  <c r="G55" i="300"/>
  <c r="E55" i="300"/>
  <c r="C55" i="300"/>
  <c r="B55" i="300"/>
  <c r="AC54" i="300"/>
  <c r="AB54" i="300"/>
  <c r="AA54" i="300"/>
  <c r="Z54" i="300"/>
  <c r="Y54" i="300"/>
  <c r="X54" i="300"/>
  <c r="V54" i="300"/>
  <c r="R54" i="300"/>
  <c r="Q54" i="300"/>
  <c r="N54" i="300"/>
  <c r="J54" i="300"/>
  <c r="I54" i="300"/>
  <c r="H54" i="300"/>
  <c r="G54" i="300"/>
  <c r="E54" i="300"/>
  <c r="D54" i="300"/>
  <c r="C54" i="300"/>
  <c r="B54" i="300"/>
  <c r="AC53" i="300"/>
  <c r="AB53" i="300"/>
  <c r="AA53" i="300"/>
  <c r="Z53" i="300"/>
  <c r="Y53" i="300"/>
  <c r="X53" i="300"/>
  <c r="V53" i="300"/>
  <c r="R53" i="300"/>
  <c r="Q53" i="300"/>
  <c r="N53" i="300"/>
  <c r="J53" i="300"/>
  <c r="I53" i="300"/>
  <c r="H53" i="300"/>
  <c r="G53" i="300"/>
  <c r="E53" i="300"/>
  <c r="D53" i="300"/>
  <c r="C53" i="300"/>
  <c r="B53" i="300"/>
  <c r="AC52" i="300"/>
  <c r="AB52" i="300"/>
  <c r="AA52" i="300"/>
  <c r="Z52" i="300"/>
  <c r="Y52" i="300"/>
  <c r="X52" i="300"/>
  <c r="V52" i="300"/>
  <c r="R52" i="300"/>
  <c r="Q52" i="300"/>
  <c r="N52" i="300"/>
  <c r="J52" i="300"/>
  <c r="I52" i="300"/>
  <c r="H52" i="300"/>
  <c r="G52" i="300"/>
  <c r="E52" i="300"/>
  <c r="D52" i="300"/>
  <c r="C52" i="300"/>
  <c r="B52" i="300"/>
  <c r="AC51" i="300"/>
  <c r="AB51" i="300"/>
  <c r="AA51" i="300"/>
  <c r="Z51" i="300"/>
  <c r="Y51" i="300"/>
  <c r="X51" i="300"/>
  <c r="V51" i="300"/>
  <c r="R51" i="300"/>
  <c r="Q51" i="300"/>
  <c r="N51" i="300"/>
  <c r="J51" i="300"/>
  <c r="I51" i="300"/>
  <c r="H51" i="300"/>
  <c r="G51" i="300"/>
  <c r="E51" i="300"/>
  <c r="D51" i="300"/>
  <c r="C51" i="300"/>
  <c r="B51" i="300"/>
  <c r="AC50" i="300"/>
  <c r="AB50" i="300"/>
  <c r="AA50" i="300"/>
  <c r="Z50" i="300"/>
  <c r="Y50" i="300"/>
  <c r="X50" i="300"/>
  <c r="V50" i="300"/>
  <c r="R50" i="300"/>
  <c r="Q50" i="300"/>
  <c r="N50" i="300"/>
  <c r="J50" i="300"/>
  <c r="I50" i="300"/>
  <c r="H50" i="300"/>
  <c r="G50" i="300"/>
  <c r="E50" i="300"/>
  <c r="D50" i="300"/>
  <c r="C50" i="300"/>
  <c r="B50" i="300"/>
  <c r="AC49" i="300"/>
  <c r="AB49" i="300"/>
  <c r="AA49" i="300"/>
  <c r="Z49" i="300"/>
  <c r="Y49" i="300"/>
  <c r="X49" i="300"/>
  <c r="V49" i="300"/>
  <c r="R49" i="300"/>
  <c r="Q49" i="300"/>
  <c r="N49" i="300"/>
  <c r="J49" i="300"/>
  <c r="I49" i="300"/>
  <c r="H49" i="300"/>
  <c r="G49" i="300"/>
  <c r="E49" i="300"/>
  <c r="D49" i="300"/>
  <c r="C49" i="300"/>
  <c r="B49" i="300"/>
  <c r="AC48" i="300"/>
  <c r="AB48" i="300"/>
  <c r="AA48" i="300"/>
  <c r="Z48" i="300"/>
  <c r="Y48" i="300"/>
  <c r="X48" i="300"/>
  <c r="V48" i="300"/>
  <c r="R48" i="300"/>
  <c r="Q48" i="300"/>
  <c r="N48" i="300"/>
  <c r="J48" i="300"/>
  <c r="I48" i="300"/>
  <c r="H48" i="300"/>
  <c r="G48" i="300"/>
  <c r="E48" i="300"/>
  <c r="D48" i="300"/>
  <c r="C48" i="300"/>
  <c r="B48" i="300"/>
  <c r="AC47" i="300"/>
  <c r="AB47" i="300"/>
  <c r="AA47" i="300"/>
  <c r="Z47" i="300"/>
  <c r="Z62" i="300" s="1"/>
  <c r="Y47" i="300"/>
  <c r="X47" i="300"/>
  <c r="V47" i="300"/>
  <c r="R47" i="300"/>
  <c r="R62" i="300" s="1"/>
  <c r="Q47" i="300"/>
  <c r="N47" i="300"/>
  <c r="J47" i="300"/>
  <c r="I47" i="300"/>
  <c r="H47" i="300"/>
  <c r="G47" i="300"/>
  <c r="E47" i="300"/>
  <c r="D47" i="300"/>
  <c r="C47" i="300"/>
  <c r="B47" i="300"/>
  <c r="AC46" i="300"/>
  <c r="AB46" i="300"/>
  <c r="AA46" i="300"/>
  <c r="Z46" i="300"/>
  <c r="Y46" i="300"/>
  <c r="X46" i="300"/>
  <c r="V46" i="300"/>
  <c r="R46" i="300"/>
  <c r="Q46" i="300"/>
  <c r="N46" i="300"/>
  <c r="J46" i="300"/>
  <c r="I46" i="300"/>
  <c r="H46" i="300"/>
  <c r="G46" i="300"/>
  <c r="E46" i="300"/>
  <c r="D46" i="300"/>
  <c r="C46" i="300"/>
  <c r="B46" i="300"/>
  <c r="AC45" i="300"/>
  <c r="AB45" i="300"/>
  <c r="AA45" i="300"/>
  <c r="Z45" i="300"/>
  <c r="Y45" i="300"/>
  <c r="X45" i="300"/>
  <c r="V45" i="300"/>
  <c r="R45" i="300"/>
  <c r="Q45" i="300"/>
  <c r="N45" i="300"/>
  <c r="J45" i="300"/>
  <c r="I45" i="300"/>
  <c r="H45" i="300"/>
  <c r="G45" i="300"/>
  <c r="E45" i="300"/>
  <c r="D45" i="300"/>
  <c r="C45" i="300"/>
  <c r="B45" i="300"/>
  <c r="AC44" i="300"/>
  <c r="AB44" i="300"/>
  <c r="AA44" i="300"/>
  <c r="Z44" i="300"/>
  <c r="Y44" i="300"/>
  <c r="X44" i="300"/>
  <c r="V44" i="300"/>
  <c r="R44" i="300"/>
  <c r="Q44" i="300"/>
  <c r="J44" i="300"/>
  <c r="J62" i="300" s="1"/>
  <c r="I44" i="300"/>
  <c r="H44" i="300"/>
  <c r="G44" i="300"/>
  <c r="E44" i="300"/>
  <c r="C44" i="300"/>
  <c r="B44" i="300"/>
  <c r="AC43" i="300"/>
  <c r="AB43" i="300"/>
  <c r="AA43" i="300"/>
  <c r="Z43" i="300"/>
  <c r="Y43" i="300"/>
  <c r="X43" i="300"/>
  <c r="V43" i="300"/>
  <c r="R43" i="300"/>
  <c r="Q43" i="300"/>
  <c r="N43" i="300"/>
  <c r="J43" i="300"/>
  <c r="I43" i="300"/>
  <c r="H43" i="300"/>
  <c r="G43" i="300"/>
  <c r="E43" i="300"/>
  <c r="D43" i="300"/>
  <c r="C43" i="300"/>
  <c r="B43" i="300"/>
  <c r="AC42" i="300"/>
  <c r="AB42" i="300"/>
  <c r="AA42" i="300"/>
  <c r="Z42" i="300"/>
  <c r="Y42" i="300"/>
  <c r="X42" i="300"/>
  <c r="V42" i="300"/>
  <c r="R42" i="300"/>
  <c r="Q42" i="300"/>
  <c r="N42" i="300"/>
  <c r="J42" i="300"/>
  <c r="I42" i="300"/>
  <c r="I62" i="300" s="1"/>
  <c r="H42" i="300"/>
  <c r="G42" i="300"/>
  <c r="E42" i="300"/>
  <c r="D42" i="300"/>
  <c r="C42" i="300"/>
  <c r="B42" i="300"/>
  <c r="AF40" i="300"/>
  <c r="AC40" i="300"/>
  <c r="AB40" i="300"/>
  <c r="AA40" i="300"/>
  <c r="Z40" i="300"/>
  <c r="Y40" i="300"/>
  <c r="X40" i="300"/>
  <c r="V40" i="300"/>
  <c r="R40" i="300"/>
  <c r="Q40" i="300"/>
  <c r="J40" i="300"/>
  <c r="I40" i="300"/>
  <c r="H40" i="300"/>
  <c r="G40" i="300"/>
  <c r="E40" i="300"/>
  <c r="C40" i="300"/>
  <c r="B40" i="300"/>
  <c r="AC39" i="300"/>
  <c r="AB39" i="300"/>
  <c r="AA39" i="300"/>
  <c r="Z39" i="300"/>
  <c r="Y39" i="300"/>
  <c r="X39" i="300"/>
  <c r="V39" i="300"/>
  <c r="R39" i="300"/>
  <c r="Q39" i="300"/>
  <c r="N39" i="300"/>
  <c r="J39" i="300"/>
  <c r="I39" i="300"/>
  <c r="H39" i="300"/>
  <c r="G39" i="300"/>
  <c r="E39" i="300"/>
  <c r="D39" i="300"/>
  <c r="C39" i="300"/>
  <c r="B39" i="300"/>
  <c r="AC38" i="300"/>
  <c r="AB38" i="300"/>
  <c r="AA38" i="300"/>
  <c r="Z38" i="300"/>
  <c r="Y38" i="300"/>
  <c r="X38" i="300"/>
  <c r="V38" i="300"/>
  <c r="R38" i="300"/>
  <c r="Q38" i="300"/>
  <c r="J38" i="300"/>
  <c r="I38" i="300"/>
  <c r="H38" i="300"/>
  <c r="G38" i="300"/>
  <c r="E38" i="300"/>
  <c r="C38" i="300"/>
  <c r="B38" i="300"/>
  <c r="AC37" i="300"/>
  <c r="AB37" i="300"/>
  <c r="AA37" i="300"/>
  <c r="Z37" i="300"/>
  <c r="Y37" i="300"/>
  <c r="X37" i="300"/>
  <c r="V37" i="300"/>
  <c r="R37" i="300"/>
  <c r="Q37" i="300"/>
  <c r="J37" i="300"/>
  <c r="I37" i="300"/>
  <c r="H37" i="300"/>
  <c r="G37" i="300"/>
  <c r="E37" i="300"/>
  <c r="D37" i="300"/>
  <c r="C37" i="300"/>
  <c r="B37" i="300"/>
  <c r="AF36" i="300"/>
  <c r="AC36" i="300"/>
  <c r="AB36" i="300"/>
  <c r="AA36" i="300"/>
  <c r="Z36" i="300"/>
  <c r="Y36" i="300"/>
  <c r="X36" i="300"/>
  <c r="V36" i="300"/>
  <c r="R36" i="300"/>
  <c r="Q36" i="300"/>
  <c r="N36" i="300"/>
  <c r="J36" i="300"/>
  <c r="I36" i="300"/>
  <c r="H36" i="300"/>
  <c r="G36" i="300"/>
  <c r="E36" i="300"/>
  <c r="D36" i="300"/>
  <c r="C36" i="300"/>
  <c r="B36" i="300"/>
  <c r="AC35" i="300"/>
  <c r="AB35" i="300"/>
  <c r="AA35" i="300"/>
  <c r="Z35" i="300"/>
  <c r="Y35" i="300"/>
  <c r="X35" i="300"/>
  <c r="V35" i="300"/>
  <c r="R35" i="300"/>
  <c r="Q35" i="300"/>
  <c r="N35" i="300"/>
  <c r="J35" i="300"/>
  <c r="I35" i="300"/>
  <c r="H35" i="300"/>
  <c r="G35" i="300"/>
  <c r="E35" i="300"/>
  <c r="D35" i="300"/>
  <c r="C35" i="300"/>
  <c r="B35" i="300"/>
  <c r="AC34" i="300"/>
  <c r="AB34" i="300"/>
  <c r="AA34" i="300"/>
  <c r="Z34" i="300"/>
  <c r="Y34" i="300"/>
  <c r="X34" i="300"/>
  <c r="V34" i="300"/>
  <c r="R34" i="300"/>
  <c r="Q34" i="300"/>
  <c r="J34" i="300"/>
  <c r="I34" i="300"/>
  <c r="H34" i="300"/>
  <c r="G34" i="300"/>
  <c r="E34" i="300"/>
  <c r="C34" i="300"/>
  <c r="B34" i="300"/>
  <c r="AC33" i="300"/>
  <c r="AB33" i="300"/>
  <c r="AA33" i="300"/>
  <c r="Z33" i="300"/>
  <c r="Y33" i="300"/>
  <c r="X33" i="300"/>
  <c r="V33" i="300"/>
  <c r="R33" i="300"/>
  <c r="Q33" i="300"/>
  <c r="J33" i="300"/>
  <c r="I33" i="300"/>
  <c r="H33" i="300"/>
  <c r="G33" i="300"/>
  <c r="E33" i="300"/>
  <c r="C33" i="300"/>
  <c r="B33" i="300"/>
  <c r="AC32" i="300"/>
  <c r="AB32" i="300"/>
  <c r="AA32" i="300"/>
  <c r="Z32" i="300"/>
  <c r="Y32" i="300"/>
  <c r="X32" i="300"/>
  <c r="V32" i="300"/>
  <c r="R32" i="300"/>
  <c r="Q32" i="300"/>
  <c r="N32" i="300"/>
  <c r="J32" i="300"/>
  <c r="I32" i="300"/>
  <c r="H32" i="300"/>
  <c r="G32" i="300"/>
  <c r="E32" i="300"/>
  <c r="D32" i="300"/>
  <c r="C32" i="300"/>
  <c r="B32" i="300"/>
  <c r="AC31" i="300"/>
  <c r="AB31" i="300"/>
  <c r="AA31" i="300"/>
  <c r="Z31" i="300"/>
  <c r="Y31" i="300"/>
  <c r="X31" i="300"/>
  <c r="V31" i="300"/>
  <c r="R31" i="300"/>
  <c r="Q31" i="300"/>
  <c r="J31" i="300"/>
  <c r="I31" i="300"/>
  <c r="H31" i="300"/>
  <c r="G31" i="300"/>
  <c r="E31" i="300"/>
  <c r="C31" i="300"/>
  <c r="B31" i="300"/>
  <c r="AC30" i="300"/>
  <c r="AB30" i="300"/>
  <c r="AA30" i="300"/>
  <c r="Z30" i="300"/>
  <c r="Y30" i="300"/>
  <c r="X30" i="300"/>
  <c r="V30" i="300"/>
  <c r="R30" i="300"/>
  <c r="Q30" i="300"/>
  <c r="N30" i="300"/>
  <c r="J30" i="300"/>
  <c r="I30" i="300"/>
  <c r="H30" i="300"/>
  <c r="G30" i="300"/>
  <c r="E30" i="300"/>
  <c r="C30" i="300"/>
  <c r="B30" i="300"/>
  <c r="AC29" i="300"/>
  <c r="AB29" i="300"/>
  <c r="AA29" i="300"/>
  <c r="Z29" i="300"/>
  <c r="Y29" i="300"/>
  <c r="X29" i="300"/>
  <c r="V29" i="300"/>
  <c r="R29" i="300"/>
  <c r="Q29" i="300"/>
  <c r="J29" i="300"/>
  <c r="I29" i="300"/>
  <c r="H29" i="300"/>
  <c r="G29" i="300"/>
  <c r="E29" i="300"/>
  <c r="C29" i="300"/>
  <c r="B29" i="300"/>
  <c r="AC28" i="300"/>
  <c r="AB28" i="300"/>
  <c r="AA28" i="300"/>
  <c r="Z28" i="300"/>
  <c r="Y28" i="300"/>
  <c r="X28" i="300"/>
  <c r="W28" i="300"/>
  <c r="R28" i="300"/>
  <c r="Q28" i="300"/>
  <c r="N28" i="300"/>
  <c r="J28" i="300"/>
  <c r="I28" i="300"/>
  <c r="H28" i="300"/>
  <c r="G28" i="300"/>
  <c r="E28" i="300"/>
  <c r="C28" i="300"/>
  <c r="B28" i="300"/>
  <c r="AC27" i="300"/>
  <c r="AB27" i="300"/>
  <c r="AA27" i="300"/>
  <c r="Z27" i="300"/>
  <c r="Y27" i="300"/>
  <c r="X27" i="300"/>
  <c r="V27" i="300"/>
  <c r="R27" i="300"/>
  <c r="Q27" i="300"/>
  <c r="J27" i="300"/>
  <c r="I27" i="300"/>
  <c r="H27" i="300"/>
  <c r="G27" i="300"/>
  <c r="E27" i="300"/>
  <c r="D27" i="300"/>
  <c r="C27" i="300"/>
  <c r="B27" i="300"/>
  <c r="AC26" i="300"/>
  <c r="AB26" i="300"/>
  <c r="AA26" i="300"/>
  <c r="Z26" i="300"/>
  <c r="Y26" i="300"/>
  <c r="X26" i="300"/>
  <c r="V26" i="300"/>
  <c r="R26" i="300"/>
  <c r="Q26" i="300"/>
  <c r="N26" i="300"/>
  <c r="J26" i="300"/>
  <c r="I26" i="300"/>
  <c r="H26" i="300"/>
  <c r="G26" i="300"/>
  <c r="E26" i="300"/>
  <c r="C26" i="300"/>
  <c r="B26" i="300"/>
  <c r="AC25" i="300"/>
  <c r="AB25" i="300"/>
  <c r="AA25" i="300"/>
  <c r="Z25" i="300"/>
  <c r="Y25" i="300"/>
  <c r="X25" i="300"/>
  <c r="W25" i="300"/>
  <c r="R25" i="300"/>
  <c r="Q25" i="300"/>
  <c r="L25" i="300"/>
  <c r="K25" i="300"/>
  <c r="J25" i="300"/>
  <c r="I25" i="300"/>
  <c r="H25" i="300"/>
  <c r="G25" i="300"/>
  <c r="E25" i="300"/>
  <c r="C25" i="300"/>
  <c r="B25" i="300"/>
  <c r="AC24" i="300"/>
  <c r="AB24" i="300"/>
  <c r="AA24" i="300"/>
  <c r="Z24" i="300"/>
  <c r="Y24" i="300"/>
  <c r="X24" i="300"/>
  <c r="W24" i="300"/>
  <c r="R24" i="300"/>
  <c r="Q24" i="300"/>
  <c r="J24" i="300"/>
  <c r="I24" i="300"/>
  <c r="H24" i="300"/>
  <c r="G24" i="300"/>
  <c r="E24" i="300"/>
  <c r="D24" i="300"/>
  <c r="C24" i="300"/>
  <c r="B24" i="300"/>
  <c r="AC23" i="300"/>
  <c r="AB23" i="300"/>
  <c r="AA23" i="300"/>
  <c r="Z23" i="300"/>
  <c r="Y23" i="300"/>
  <c r="X23" i="300"/>
  <c r="W23" i="300"/>
  <c r="T23" i="300"/>
  <c r="S23" i="300"/>
  <c r="Q23" i="300"/>
  <c r="N23" i="300"/>
  <c r="J23" i="300"/>
  <c r="I23" i="300"/>
  <c r="H23" i="300"/>
  <c r="G23" i="300"/>
  <c r="E23" i="300"/>
  <c r="D23" i="300"/>
  <c r="C23" i="300"/>
  <c r="B23" i="300"/>
  <c r="AC22" i="300"/>
  <c r="AB22" i="300"/>
  <c r="AA22" i="300"/>
  <c r="Z22" i="300"/>
  <c r="Y22" i="300"/>
  <c r="X22" i="300"/>
  <c r="W22" i="300"/>
  <c r="R22" i="300"/>
  <c r="Q22" i="300"/>
  <c r="N22" i="300"/>
  <c r="J22" i="300"/>
  <c r="I22" i="300"/>
  <c r="H22" i="300"/>
  <c r="G22" i="300"/>
  <c r="E22" i="300"/>
  <c r="D22" i="300"/>
  <c r="C22" i="300"/>
  <c r="B22" i="300"/>
  <c r="AF21" i="300"/>
  <c r="AC21" i="300"/>
  <c r="AB21" i="300"/>
  <c r="AA21" i="300"/>
  <c r="Z21" i="300"/>
  <c r="Y21" i="300"/>
  <c r="X21" i="300"/>
  <c r="V21" i="300"/>
  <c r="R21" i="300"/>
  <c r="Q21" i="300"/>
  <c r="N21" i="300"/>
  <c r="J21" i="300"/>
  <c r="I21" i="300"/>
  <c r="H21" i="300"/>
  <c r="G21" i="300"/>
  <c r="E21" i="300"/>
  <c r="D21" i="300"/>
  <c r="C21" i="300"/>
  <c r="B21" i="300"/>
  <c r="AC20" i="300"/>
  <c r="AB20" i="300"/>
  <c r="AA20" i="300"/>
  <c r="Z20" i="300"/>
  <c r="Y20" i="300"/>
  <c r="X20" i="300"/>
  <c r="V20" i="300"/>
  <c r="Q20" i="300"/>
  <c r="N20" i="300"/>
  <c r="J20" i="300"/>
  <c r="I20" i="300"/>
  <c r="H20" i="300"/>
  <c r="E20" i="300"/>
  <c r="D20" i="300"/>
  <c r="C20" i="300"/>
  <c r="B20" i="300"/>
  <c r="AC19" i="300"/>
  <c r="AB19" i="300"/>
  <c r="AA19" i="300"/>
  <c r="Z19" i="300"/>
  <c r="Y19" i="300"/>
  <c r="X19" i="300"/>
  <c r="V19" i="300"/>
  <c r="R19" i="300"/>
  <c r="Q19" i="300"/>
  <c r="J19" i="300"/>
  <c r="I19" i="300"/>
  <c r="H19" i="300"/>
  <c r="G19" i="300"/>
  <c r="E19" i="300"/>
  <c r="D19" i="300"/>
  <c r="C19" i="300"/>
  <c r="B19" i="300"/>
  <c r="AC18" i="300"/>
  <c r="AB18" i="300"/>
  <c r="AA18" i="300"/>
  <c r="AA41" i="300" s="1"/>
  <c r="Z18" i="300"/>
  <c r="Y18" i="300"/>
  <c r="X18" i="300"/>
  <c r="V18" i="300"/>
  <c r="R18" i="300"/>
  <c r="Q18" i="300"/>
  <c r="J18" i="300"/>
  <c r="I18" i="300"/>
  <c r="H18" i="300"/>
  <c r="G18" i="300"/>
  <c r="E18" i="300"/>
  <c r="C18" i="300"/>
  <c r="B18" i="300"/>
  <c r="AC17" i="300"/>
  <c r="AB17" i="300"/>
  <c r="AA17" i="300"/>
  <c r="Z17" i="300"/>
  <c r="Y17" i="300"/>
  <c r="X17" i="300"/>
  <c r="X41" i="300" s="1"/>
  <c r="V17" i="300"/>
  <c r="R17" i="300"/>
  <c r="Q17" i="300"/>
  <c r="Q41" i="300" s="1"/>
  <c r="N17" i="300"/>
  <c r="J17" i="300"/>
  <c r="J41" i="300" s="1"/>
  <c r="I17" i="300"/>
  <c r="H17" i="300"/>
  <c r="G17" i="300"/>
  <c r="E17" i="300"/>
  <c r="E41" i="300" s="1"/>
  <c r="C17" i="300"/>
  <c r="B17" i="300"/>
  <c r="AA16" i="300"/>
  <c r="AC15" i="300"/>
  <c r="AB15" i="300"/>
  <c r="AA15" i="300"/>
  <c r="Z15" i="300"/>
  <c r="Y15" i="300"/>
  <c r="X15" i="300"/>
  <c r="V15" i="300"/>
  <c r="R15" i="300"/>
  <c r="Q15" i="300"/>
  <c r="N15" i="300"/>
  <c r="J15" i="300"/>
  <c r="I15" i="300"/>
  <c r="H15" i="300"/>
  <c r="G15" i="300"/>
  <c r="E15" i="300"/>
  <c r="D15" i="300"/>
  <c r="C15" i="300"/>
  <c r="B15" i="300"/>
  <c r="AC14" i="300"/>
  <c r="AB14" i="300"/>
  <c r="AA14" i="300"/>
  <c r="Z14" i="300"/>
  <c r="Z16" i="300" s="1"/>
  <c r="Y14" i="300"/>
  <c r="X14" i="300"/>
  <c r="X16" i="300" s="1"/>
  <c r="V14" i="300"/>
  <c r="V16" i="300" s="1"/>
  <c r="R14" i="300"/>
  <c r="R16" i="300" s="1"/>
  <c r="Q14" i="300"/>
  <c r="J14" i="300"/>
  <c r="J16" i="300" s="1"/>
  <c r="I14" i="300"/>
  <c r="H14" i="300"/>
  <c r="H16" i="300" s="1"/>
  <c r="E14" i="300"/>
  <c r="E16" i="300" s="1"/>
  <c r="C14" i="300"/>
  <c r="B14" i="300"/>
  <c r="J13" i="300"/>
  <c r="AC12" i="300"/>
  <c r="AB12" i="300"/>
  <c r="AA12" i="300"/>
  <c r="Z12" i="300"/>
  <c r="Y12" i="300"/>
  <c r="X12" i="300"/>
  <c r="V12" i="300"/>
  <c r="R12" i="300"/>
  <c r="Q12" i="300"/>
  <c r="J12" i="300"/>
  <c r="I12" i="300"/>
  <c r="H12" i="300"/>
  <c r="G12" i="300"/>
  <c r="E12" i="300"/>
  <c r="D12" i="300"/>
  <c r="C12" i="300"/>
  <c r="B12" i="300"/>
  <c r="A12" i="300"/>
  <c r="A14" i="300" s="1"/>
  <c r="A15" i="300" s="1"/>
  <c r="A17" i="300" s="1"/>
  <c r="A18" i="300" s="1"/>
  <c r="A19" i="300" s="1"/>
  <c r="A20" i="300" s="1"/>
  <c r="A21" i="300" s="1"/>
  <c r="A22" i="300" s="1"/>
  <c r="A23" i="300" s="1"/>
  <c r="A24" i="300" s="1"/>
  <c r="A25" i="300" s="1"/>
  <c r="A26" i="300" s="1"/>
  <c r="A27" i="300" s="1"/>
  <c r="A28" i="300" s="1"/>
  <c r="A29" i="300" s="1"/>
  <c r="A30" i="300" s="1"/>
  <c r="A31" i="300" s="1"/>
  <c r="A32" i="300" s="1"/>
  <c r="A33" i="300" s="1"/>
  <c r="A34" i="300" s="1"/>
  <c r="A35" i="300" s="1"/>
  <c r="A36" i="300" s="1"/>
  <c r="A37" i="300" s="1"/>
  <c r="A38" i="300" s="1"/>
  <c r="A39" i="300" s="1"/>
  <c r="A40" i="300" s="1"/>
  <c r="A42" i="300" s="1"/>
  <c r="A43" i="300" s="1"/>
  <c r="A44" i="300" s="1"/>
  <c r="A45" i="300" s="1"/>
  <c r="A46" i="300" s="1"/>
  <c r="A47" i="300" s="1"/>
  <c r="A48" i="300" s="1"/>
  <c r="A49" i="300" s="1"/>
  <c r="A50" i="300" s="1"/>
  <c r="A51" i="300" s="1"/>
  <c r="A52" i="300" s="1"/>
  <c r="A53" i="300" s="1"/>
  <c r="A54" i="300" s="1"/>
  <c r="A55" i="300" s="1"/>
  <c r="A56" i="300" s="1"/>
  <c r="A57" i="300" s="1"/>
  <c r="A58" i="300" s="1"/>
  <c r="A59" i="300" s="1"/>
  <c r="A60" i="300" s="1"/>
  <c r="A61" i="300" s="1"/>
  <c r="A63" i="300" s="1"/>
  <c r="A65" i="300" s="1"/>
  <c r="A66" i="300" s="1"/>
  <c r="A68" i="300" s="1"/>
  <c r="A69" i="300" s="1"/>
  <c r="A70" i="300" s="1"/>
  <c r="A71" i="300" s="1"/>
  <c r="A72" i="300" s="1"/>
  <c r="A73" i="300" s="1"/>
  <c r="A74" i="300" s="1"/>
  <c r="A75" i="300" s="1"/>
  <c r="A76" i="300" s="1"/>
  <c r="A77" i="300" s="1"/>
  <c r="A78" i="300" s="1"/>
  <c r="A79" i="300" s="1"/>
  <c r="A80" i="300" s="1"/>
  <c r="A81" i="300" s="1"/>
  <c r="A82" i="300" s="1"/>
  <c r="A83" i="300" s="1"/>
  <c r="A84" i="300" s="1"/>
  <c r="A85" i="300" s="1"/>
  <c r="A86" i="300" s="1"/>
  <c r="A87" i="300" s="1"/>
  <c r="A88" i="300" s="1"/>
  <c r="A89" i="300" s="1"/>
  <c r="A90" i="300" s="1"/>
  <c r="A91" i="300" s="1"/>
  <c r="A92" i="300" s="1"/>
  <c r="A93" i="300" s="1"/>
  <c r="A94" i="300" s="1"/>
  <c r="A95" i="300" s="1"/>
  <c r="A96" i="300" s="1"/>
  <c r="A97" i="300" s="1"/>
  <c r="A98" i="300" s="1"/>
  <c r="A100" i="300" s="1"/>
  <c r="A101" i="300" s="1"/>
  <c r="A102" i="300" s="1"/>
  <c r="A103" i="300" s="1"/>
  <c r="A104" i="300" s="1"/>
  <c r="A105" i="300" s="1"/>
  <c r="A106" i="300" s="1"/>
  <c r="A107" i="300" s="1"/>
  <c r="A109" i="300" s="1"/>
  <c r="A110" i="300" s="1"/>
  <c r="A112" i="300" s="1"/>
  <c r="A113" i="300" s="1"/>
  <c r="A114" i="300" s="1"/>
  <c r="A116" i="300" s="1"/>
  <c r="A117" i="300" s="1"/>
  <c r="A118" i="300" s="1"/>
  <c r="A120" i="300" s="1"/>
  <c r="A121" i="300" s="1"/>
  <c r="A122" i="300" s="1"/>
  <c r="A123" i="300" s="1"/>
  <c r="A124" i="300" s="1"/>
  <c r="A125" i="300" s="1"/>
  <c r="A126" i="300" s="1"/>
  <c r="A127" i="300" s="1"/>
  <c r="A128" i="300" s="1"/>
  <c r="A129" i="300" s="1"/>
  <c r="A130" i="300" s="1"/>
  <c r="AC11" i="300"/>
  <c r="AB11" i="300"/>
  <c r="AA11" i="300"/>
  <c r="Z11" i="300"/>
  <c r="Y11" i="300"/>
  <c r="X11" i="300"/>
  <c r="V11" i="300"/>
  <c r="T11" i="300"/>
  <c r="S11" i="300"/>
  <c r="R11" i="300"/>
  <c r="Q11" i="300"/>
  <c r="P11" i="300"/>
  <c r="M11" i="300"/>
  <c r="L11" i="300"/>
  <c r="K11" i="300"/>
  <c r="J11" i="300"/>
  <c r="I11" i="300"/>
  <c r="H11" i="300"/>
  <c r="G11" i="300"/>
  <c r="E11" i="300"/>
  <c r="C11" i="300"/>
  <c r="B11" i="300"/>
  <c r="AC10" i="300"/>
  <c r="AB10" i="300"/>
  <c r="AA10" i="300"/>
  <c r="Z10" i="300"/>
  <c r="Z13" i="300" s="1"/>
  <c r="Y10" i="300"/>
  <c r="X10" i="300"/>
  <c r="V10" i="300"/>
  <c r="R10" i="300"/>
  <c r="R13" i="300" s="1"/>
  <c r="Q10" i="300"/>
  <c r="N10" i="300"/>
  <c r="L10" i="300"/>
  <c r="K10" i="300"/>
  <c r="J10" i="300"/>
  <c r="I10" i="300"/>
  <c r="H10" i="300"/>
  <c r="G10" i="300"/>
  <c r="E10" i="300"/>
  <c r="D10" i="300"/>
  <c r="C10" i="300"/>
  <c r="B10" i="300"/>
  <c r="AC9" i="300"/>
  <c r="AB9" i="300"/>
  <c r="AA9" i="300"/>
  <c r="Z9" i="300"/>
  <c r="Y9" i="300"/>
  <c r="X9" i="300"/>
  <c r="W9" i="300"/>
  <c r="R9" i="300"/>
  <c r="Q9" i="300"/>
  <c r="L9" i="300"/>
  <c r="K9" i="300"/>
  <c r="J9" i="300"/>
  <c r="I9" i="300"/>
  <c r="H9" i="300"/>
  <c r="G9" i="300"/>
  <c r="E9" i="300"/>
  <c r="D9" i="300"/>
  <c r="C9" i="300"/>
  <c r="B9" i="300"/>
  <c r="AC8" i="300"/>
  <c r="AB8" i="300"/>
  <c r="AA8" i="300"/>
  <c r="Z8" i="300"/>
  <c r="Y8" i="300"/>
  <c r="X8" i="300"/>
  <c r="V8" i="300"/>
  <c r="R8" i="300"/>
  <c r="Q8" i="300"/>
  <c r="J8" i="300"/>
  <c r="I8" i="300"/>
  <c r="H8" i="300"/>
  <c r="G8" i="300"/>
  <c r="E8" i="300"/>
  <c r="D8" i="300"/>
  <c r="C8" i="300"/>
  <c r="B8" i="300"/>
  <c r="AC7" i="300"/>
  <c r="AB7" i="300"/>
  <c r="AA7" i="300"/>
  <c r="Z7" i="300"/>
  <c r="Y7" i="300"/>
  <c r="Y13" i="300" s="1"/>
  <c r="X7" i="300"/>
  <c r="X13" i="300" s="1"/>
  <c r="V7" i="300"/>
  <c r="R7" i="300"/>
  <c r="Q7" i="300"/>
  <c r="Q13" i="300" s="1"/>
  <c r="J7" i="300"/>
  <c r="I7" i="300"/>
  <c r="I13" i="300" s="1"/>
  <c r="H7" i="300"/>
  <c r="H13" i="300" s="1"/>
  <c r="G7" i="300"/>
  <c r="E7" i="300"/>
  <c r="C7" i="300"/>
  <c r="B7" i="300"/>
  <c r="A7" i="300"/>
  <c r="A8" i="300" s="1"/>
  <c r="A9" i="300" s="1"/>
  <c r="A10" i="300" s="1"/>
  <c r="X6" i="300"/>
  <c r="H6" i="300"/>
  <c r="AC5" i="300"/>
  <c r="AB5" i="300"/>
  <c r="AA5" i="300"/>
  <c r="AA6" i="300" s="1"/>
  <c r="Z5" i="300"/>
  <c r="Z6" i="300" s="1"/>
  <c r="Y5" i="300"/>
  <c r="Y6" i="300" s="1"/>
  <c r="X5" i="300"/>
  <c r="V5" i="300"/>
  <c r="V6" i="300" s="1"/>
  <c r="R5" i="300"/>
  <c r="R6" i="300" s="1"/>
  <c r="Q5" i="300"/>
  <c r="Q6" i="300" s="1"/>
  <c r="J5" i="300"/>
  <c r="J6" i="300" s="1"/>
  <c r="I5" i="300"/>
  <c r="I6" i="300" s="1"/>
  <c r="H5" i="300"/>
  <c r="G5" i="300"/>
  <c r="G6" i="300" s="1"/>
  <c r="E5" i="300"/>
  <c r="E6" i="300" s="1"/>
  <c r="C5" i="300"/>
  <c r="B5" i="300"/>
  <c r="AB126" i="309"/>
  <c r="Z126" i="309"/>
  <c r="Y126" i="309"/>
  <c r="X126" i="309"/>
  <c r="W126" i="309"/>
  <c r="V126" i="309"/>
  <c r="T126" i="309"/>
  <c r="S126" i="309"/>
  <c r="R126" i="309"/>
  <c r="Q126" i="309"/>
  <c r="P126" i="309"/>
  <c r="M126" i="309"/>
  <c r="L126" i="309"/>
  <c r="K126" i="309"/>
  <c r="J126" i="309"/>
  <c r="I126" i="309"/>
  <c r="H126" i="309"/>
  <c r="G126" i="309"/>
  <c r="E126" i="309"/>
  <c r="D126" i="309"/>
  <c r="C126" i="309"/>
  <c r="B126" i="309"/>
  <c r="AB125" i="309"/>
  <c r="AA125" i="309"/>
  <c r="Z125" i="309"/>
  <c r="Y125" i="309"/>
  <c r="X125" i="309"/>
  <c r="V125" i="309"/>
  <c r="T125" i="309"/>
  <c r="S125" i="309"/>
  <c r="R125" i="309"/>
  <c r="Q125" i="309"/>
  <c r="P125" i="309"/>
  <c r="M125" i="309"/>
  <c r="L125" i="309"/>
  <c r="K125" i="309"/>
  <c r="J125" i="309"/>
  <c r="I125" i="309"/>
  <c r="H125" i="309"/>
  <c r="G125" i="309"/>
  <c r="E125" i="309"/>
  <c r="C125" i="309"/>
  <c r="B125" i="309"/>
  <c r="AB124" i="309"/>
  <c r="AA124" i="309"/>
  <c r="Z124" i="309"/>
  <c r="Y124" i="309"/>
  <c r="X124" i="309"/>
  <c r="V124" i="309"/>
  <c r="T124" i="309"/>
  <c r="S124" i="309"/>
  <c r="R124" i="309"/>
  <c r="Q124" i="309"/>
  <c r="P124" i="309"/>
  <c r="N124" i="309"/>
  <c r="M124" i="309"/>
  <c r="L124" i="309"/>
  <c r="K124" i="309"/>
  <c r="J124" i="309"/>
  <c r="I124" i="309"/>
  <c r="H124" i="309"/>
  <c r="G124" i="309"/>
  <c r="E124" i="309"/>
  <c r="D124" i="309"/>
  <c r="C124" i="309"/>
  <c r="B124" i="309"/>
  <c r="AB123" i="309"/>
  <c r="AA123" i="309"/>
  <c r="Z123" i="309"/>
  <c r="Y123" i="309"/>
  <c r="X123" i="309"/>
  <c r="V123" i="309"/>
  <c r="T123" i="309"/>
  <c r="S123" i="309"/>
  <c r="R123" i="309"/>
  <c r="Q123" i="309"/>
  <c r="P123" i="309"/>
  <c r="M123" i="309"/>
  <c r="L123" i="309"/>
  <c r="K123" i="309"/>
  <c r="J123" i="309"/>
  <c r="I123" i="309"/>
  <c r="H123" i="309"/>
  <c r="G123" i="309"/>
  <c r="E123" i="309"/>
  <c r="D123" i="309"/>
  <c r="C123" i="309"/>
  <c r="B123" i="309"/>
  <c r="AB122" i="309"/>
  <c r="AA122" i="309"/>
  <c r="Z122" i="309"/>
  <c r="Y122" i="309"/>
  <c r="X122" i="309"/>
  <c r="V122" i="309"/>
  <c r="T122" i="309"/>
  <c r="S122" i="309"/>
  <c r="R122" i="309"/>
  <c r="Q122" i="309"/>
  <c r="P122" i="309"/>
  <c r="M122" i="309"/>
  <c r="L122" i="309"/>
  <c r="K122" i="309"/>
  <c r="J122" i="309"/>
  <c r="I122" i="309"/>
  <c r="H122" i="309"/>
  <c r="G122" i="309"/>
  <c r="E122" i="309"/>
  <c r="D122" i="309"/>
  <c r="C122" i="309"/>
  <c r="B122" i="309"/>
  <c r="AB121" i="309"/>
  <c r="AA121" i="309"/>
  <c r="Z121" i="309"/>
  <c r="Y121" i="309"/>
  <c r="X121" i="309"/>
  <c r="V121" i="309"/>
  <c r="T121" i="309"/>
  <c r="S121" i="309"/>
  <c r="R121" i="309"/>
  <c r="Q121" i="309"/>
  <c r="P121" i="309"/>
  <c r="M121" i="309"/>
  <c r="L121" i="309"/>
  <c r="K121" i="309"/>
  <c r="J121" i="309"/>
  <c r="I121" i="309"/>
  <c r="H121" i="309"/>
  <c r="G121" i="309"/>
  <c r="E121" i="309"/>
  <c r="D121" i="309"/>
  <c r="C121" i="309"/>
  <c r="B121" i="309"/>
  <c r="AB120" i="309"/>
  <c r="AA120" i="309"/>
  <c r="Z120" i="309"/>
  <c r="Y120" i="309"/>
  <c r="X120" i="309"/>
  <c r="V120" i="309"/>
  <c r="T120" i="309"/>
  <c r="S120" i="309"/>
  <c r="R120" i="309"/>
  <c r="Q120" i="309"/>
  <c r="P120" i="309"/>
  <c r="N120" i="309"/>
  <c r="M120" i="309"/>
  <c r="L120" i="309"/>
  <c r="K120" i="309"/>
  <c r="J120" i="309"/>
  <c r="I120" i="309"/>
  <c r="H120" i="309"/>
  <c r="G120" i="309"/>
  <c r="E120" i="309"/>
  <c r="D120" i="309"/>
  <c r="C120" i="309"/>
  <c r="B120" i="309"/>
  <c r="AB119" i="309"/>
  <c r="AA119" i="309"/>
  <c r="Z119" i="309"/>
  <c r="Y119" i="309"/>
  <c r="X119" i="309"/>
  <c r="W119" i="309"/>
  <c r="R119" i="309"/>
  <c r="Q119" i="309"/>
  <c r="N119" i="309"/>
  <c r="L119" i="309"/>
  <c r="K119" i="309"/>
  <c r="J119" i="309"/>
  <c r="I119" i="309"/>
  <c r="H119" i="309"/>
  <c r="G119" i="309"/>
  <c r="E119" i="309"/>
  <c r="D119" i="309"/>
  <c r="C119" i="309"/>
  <c r="B119" i="309"/>
  <c r="AB118" i="309"/>
  <c r="AA118" i="309"/>
  <c r="Z118" i="309"/>
  <c r="Y118" i="309"/>
  <c r="X118" i="309"/>
  <c r="W118" i="309"/>
  <c r="R118" i="309"/>
  <c r="Q118" i="309"/>
  <c r="L118" i="309"/>
  <c r="K118" i="309"/>
  <c r="J118" i="309"/>
  <c r="I118" i="309"/>
  <c r="H118" i="309"/>
  <c r="G118" i="309"/>
  <c r="E118" i="309"/>
  <c r="D118" i="309"/>
  <c r="C118" i="309"/>
  <c r="B118" i="309"/>
  <c r="AB117" i="309"/>
  <c r="AA117" i="309"/>
  <c r="Z117" i="309"/>
  <c r="Y117" i="309"/>
  <c r="X117" i="309"/>
  <c r="W117" i="309"/>
  <c r="R117" i="309"/>
  <c r="Q117" i="309"/>
  <c r="M117" i="309"/>
  <c r="L117" i="309"/>
  <c r="K117" i="309"/>
  <c r="J117" i="309"/>
  <c r="I117" i="309"/>
  <c r="H117" i="309"/>
  <c r="G117" i="309"/>
  <c r="E117" i="309"/>
  <c r="C117" i="309"/>
  <c r="B117" i="309"/>
  <c r="AB116" i="309"/>
  <c r="AA116" i="309"/>
  <c r="Z116" i="309"/>
  <c r="Y116" i="309"/>
  <c r="X116" i="309"/>
  <c r="W116" i="309"/>
  <c r="R116" i="309"/>
  <c r="Q116" i="309"/>
  <c r="J116" i="309"/>
  <c r="I116" i="309"/>
  <c r="H116" i="309"/>
  <c r="G116" i="309"/>
  <c r="E116" i="309"/>
  <c r="C116" i="309"/>
  <c r="B116" i="309"/>
  <c r="AB115" i="309"/>
  <c r="AA115" i="309"/>
  <c r="Z115" i="309"/>
  <c r="Y115" i="309"/>
  <c r="X115" i="309"/>
  <c r="V115" i="309"/>
  <c r="R115" i="309"/>
  <c r="Q115" i="309"/>
  <c r="L115" i="309"/>
  <c r="K115" i="309"/>
  <c r="J115" i="309"/>
  <c r="I115" i="309"/>
  <c r="H115" i="309"/>
  <c r="G115" i="309"/>
  <c r="E115" i="309"/>
  <c r="D115" i="309"/>
  <c r="C115" i="309"/>
  <c r="B115" i="309"/>
  <c r="AB114" i="309"/>
  <c r="AA114" i="309"/>
  <c r="Z114" i="309"/>
  <c r="Y114" i="309"/>
  <c r="X114" i="309"/>
  <c r="V114" i="309"/>
  <c r="R114" i="309"/>
  <c r="Q114" i="309"/>
  <c r="N114" i="309"/>
  <c r="L114" i="309"/>
  <c r="K114" i="309"/>
  <c r="J114" i="309"/>
  <c r="I114" i="309"/>
  <c r="H114" i="309"/>
  <c r="G114" i="309"/>
  <c r="E114" i="309"/>
  <c r="C114" i="309"/>
  <c r="B114" i="309"/>
  <c r="AB113" i="309"/>
  <c r="AA113" i="309"/>
  <c r="Z113" i="309"/>
  <c r="Y113" i="309"/>
  <c r="X113" i="309"/>
  <c r="V113" i="309"/>
  <c r="R113" i="309"/>
  <c r="Q113" i="309"/>
  <c r="N113" i="309"/>
  <c r="J113" i="309"/>
  <c r="I113" i="309"/>
  <c r="H113" i="309"/>
  <c r="G113" i="309"/>
  <c r="E113" i="309"/>
  <c r="D113" i="309"/>
  <c r="C113" i="309"/>
  <c r="B113" i="309"/>
  <c r="AB112" i="309"/>
  <c r="AA112" i="309"/>
  <c r="Z112" i="309"/>
  <c r="Y112" i="309"/>
  <c r="X112" i="309"/>
  <c r="V112" i="309"/>
  <c r="R112" i="309"/>
  <c r="Q112" i="309"/>
  <c r="N112" i="309"/>
  <c r="L112" i="309"/>
  <c r="K112" i="309"/>
  <c r="J112" i="309"/>
  <c r="I112" i="309"/>
  <c r="H112" i="309"/>
  <c r="G112" i="309"/>
  <c r="E112" i="309"/>
  <c r="D112" i="309"/>
  <c r="C112" i="309"/>
  <c r="B112" i="309"/>
  <c r="AB111" i="309"/>
  <c r="AA111" i="309"/>
  <c r="Z111" i="309"/>
  <c r="Y111" i="309"/>
  <c r="X111" i="309"/>
  <c r="V111" i="309"/>
  <c r="R111" i="309"/>
  <c r="Q111" i="309"/>
  <c r="N111" i="309"/>
  <c r="L111" i="309"/>
  <c r="K111" i="309"/>
  <c r="J111" i="309"/>
  <c r="I111" i="309"/>
  <c r="H111" i="309"/>
  <c r="G111" i="309"/>
  <c r="E111" i="309"/>
  <c r="D111" i="309"/>
  <c r="C111" i="309"/>
  <c r="B111" i="309"/>
  <c r="AB110" i="309"/>
  <c r="Z110" i="309"/>
  <c r="Y110" i="309"/>
  <c r="X110" i="309"/>
  <c r="V110" i="309"/>
  <c r="R110" i="309"/>
  <c r="Q110" i="309"/>
  <c r="L110" i="309"/>
  <c r="K110" i="309"/>
  <c r="J110" i="309"/>
  <c r="I110" i="309"/>
  <c r="H110" i="309"/>
  <c r="G110" i="309"/>
  <c r="E110" i="309"/>
  <c r="C110" i="309"/>
  <c r="B110" i="309"/>
  <c r="AB109" i="309"/>
  <c r="AA109" i="309"/>
  <c r="Z109" i="309"/>
  <c r="Y109" i="309"/>
  <c r="X109" i="309"/>
  <c r="V109" i="309"/>
  <c r="R109" i="309"/>
  <c r="Q109" i="309"/>
  <c r="N109" i="309"/>
  <c r="L109" i="309"/>
  <c r="K109" i="309"/>
  <c r="J109" i="309"/>
  <c r="I109" i="309"/>
  <c r="H109" i="309"/>
  <c r="G109" i="309"/>
  <c r="E109" i="309"/>
  <c r="D109" i="309"/>
  <c r="C109" i="309"/>
  <c r="B109" i="309"/>
  <c r="AB108" i="309"/>
  <c r="AA108" i="309"/>
  <c r="Z108" i="309"/>
  <c r="Y108" i="309"/>
  <c r="X108" i="309"/>
  <c r="V108" i="309"/>
  <c r="R108" i="309"/>
  <c r="Q108" i="309"/>
  <c r="N108" i="309"/>
  <c r="L108" i="309"/>
  <c r="K108" i="309"/>
  <c r="J108" i="309"/>
  <c r="I108" i="309"/>
  <c r="H108" i="309"/>
  <c r="G108" i="309"/>
  <c r="E108" i="309"/>
  <c r="D108" i="309"/>
  <c r="C108" i="309"/>
  <c r="B108" i="309"/>
  <c r="AB107" i="309"/>
  <c r="AA107" i="309"/>
  <c r="Z107" i="309"/>
  <c r="Y107" i="309"/>
  <c r="X107" i="309"/>
  <c r="W107" i="309"/>
  <c r="R107" i="309"/>
  <c r="Q107" i="309"/>
  <c r="L107" i="309"/>
  <c r="K107" i="309"/>
  <c r="J107" i="309"/>
  <c r="I107" i="309"/>
  <c r="H107" i="309"/>
  <c r="G107" i="309"/>
  <c r="E107" i="309"/>
  <c r="C107" i="309"/>
  <c r="B107" i="309"/>
  <c r="AB106" i="309"/>
  <c r="AA106" i="309"/>
  <c r="Z106" i="309"/>
  <c r="Y106" i="309"/>
  <c r="X106" i="309"/>
  <c r="V106" i="309"/>
  <c r="R106" i="309"/>
  <c r="Q106" i="309"/>
  <c r="N106" i="309"/>
  <c r="L106" i="309"/>
  <c r="K106" i="309"/>
  <c r="J106" i="309"/>
  <c r="I106" i="309"/>
  <c r="H106" i="309"/>
  <c r="G106" i="309"/>
  <c r="E106" i="309"/>
  <c r="D106" i="309"/>
  <c r="C106" i="309"/>
  <c r="B106" i="309"/>
  <c r="AB105" i="309"/>
  <c r="AA105" i="309"/>
  <c r="Z105" i="309"/>
  <c r="Y105" i="309"/>
  <c r="X105" i="309"/>
  <c r="V105" i="309"/>
  <c r="R105" i="309"/>
  <c r="Q105" i="309"/>
  <c r="N105" i="309"/>
  <c r="L105" i="309"/>
  <c r="K105" i="309"/>
  <c r="J105" i="309"/>
  <c r="I105" i="309"/>
  <c r="H105" i="309"/>
  <c r="G105" i="309"/>
  <c r="E105" i="309"/>
  <c r="D105" i="309"/>
  <c r="C105" i="309"/>
  <c r="B105" i="309"/>
  <c r="AB104" i="309"/>
  <c r="AA104" i="309"/>
  <c r="Z104" i="309"/>
  <c r="Y104" i="309"/>
  <c r="X104" i="309"/>
  <c r="V104" i="309"/>
  <c r="R104" i="309"/>
  <c r="Q104" i="309"/>
  <c r="L104" i="309"/>
  <c r="K104" i="309"/>
  <c r="J104" i="309"/>
  <c r="I104" i="309"/>
  <c r="H104" i="309"/>
  <c r="G104" i="309"/>
  <c r="E104" i="309"/>
  <c r="D104" i="309"/>
  <c r="C104" i="309"/>
  <c r="B104" i="309"/>
  <c r="AB103" i="309"/>
  <c r="AA103" i="309"/>
  <c r="Z103" i="309"/>
  <c r="Y103" i="309"/>
  <c r="X103" i="309"/>
  <c r="W103" i="309"/>
  <c r="R103" i="309"/>
  <c r="Q103" i="309"/>
  <c r="L103" i="309"/>
  <c r="K103" i="309"/>
  <c r="J103" i="309"/>
  <c r="I103" i="309"/>
  <c r="H103" i="309"/>
  <c r="G103" i="309"/>
  <c r="E103" i="309"/>
  <c r="D103" i="309"/>
  <c r="C103" i="309"/>
  <c r="B103" i="309"/>
  <c r="AB102" i="309"/>
  <c r="AA102" i="309"/>
  <c r="Z102" i="309"/>
  <c r="Y102" i="309"/>
  <c r="X102" i="309"/>
  <c r="W102" i="309"/>
  <c r="R102" i="309"/>
  <c r="Q102" i="309"/>
  <c r="J102" i="309"/>
  <c r="I102" i="309"/>
  <c r="H102" i="309"/>
  <c r="G102" i="309"/>
  <c r="E102" i="309"/>
  <c r="D102" i="309"/>
  <c r="C102" i="309"/>
  <c r="B102" i="309"/>
  <c r="AB101" i="309"/>
  <c r="AA101" i="309"/>
  <c r="Z101" i="309"/>
  <c r="Y101" i="309"/>
  <c r="X101" i="309"/>
  <c r="W101" i="309"/>
  <c r="T101" i="309"/>
  <c r="S101" i="309"/>
  <c r="R101" i="309"/>
  <c r="Q101" i="309"/>
  <c r="N101" i="309"/>
  <c r="J101" i="309"/>
  <c r="I101" i="309"/>
  <c r="H101" i="309"/>
  <c r="G101" i="309"/>
  <c r="E101" i="309"/>
  <c r="C101" i="309"/>
  <c r="B101" i="309"/>
  <c r="AB100" i="309"/>
  <c r="AA100" i="309"/>
  <c r="Z100" i="309"/>
  <c r="Y100" i="309"/>
  <c r="X100" i="309"/>
  <c r="W100" i="309"/>
  <c r="T100" i="309"/>
  <c r="S100" i="309"/>
  <c r="Q100" i="309"/>
  <c r="N100" i="309"/>
  <c r="J100" i="309"/>
  <c r="I100" i="309"/>
  <c r="H100" i="309"/>
  <c r="G100" i="309"/>
  <c r="E100" i="309"/>
  <c r="D100" i="309"/>
  <c r="C100" i="309"/>
  <c r="B100" i="309"/>
  <c r="AB99" i="309"/>
  <c r="AA99" i="309"/>
  <c r="Z99" i="309"/>
  <c r="Y99" i="309"/>
  <c r="X99" i="309"/>
  <c r="W99" i="309"/>
  <c r="T99" i="309"/>
  <c r="S99" i="309"/>
  <c r="R99" i="309"/>
  <c r="Q99" i="309"/>
  <c r="N99" i="309"/>
  <c r="J99" i="309"/>
  <c r="I99" i="309"/>
  <c r="H99" i="309"/>
  <c r="G99" i="309"/>
  <c r="E99" i="309"/>
  <c r="C99" i="309"/>
  <c r="B99" i="309"/>
  <c r="AB98" i="309"/>
  <c r="AA98" i="309"/>
  <c r="Z98" i="309"/>
  <c r="Y98" i="309"/>
  <c r="X98" i="309"/>
  <c r="W98" i="309"/>
  <c r="R98" i="309"/>
  <c r="Q98" i="309"/>
  <c r="N98" i="309"/>
  <c r="J98" i="309"/>
  <c r="I98" i="309"/>
  <c r="H98" i="309"/>
  <c r="E98" i="309"/>
  <c r="D98" i="309"/>
  <c r="C98" i="309"/>
  <c r="B98" i="309"/>
  <c r="AB97" i="309"/>
  <c r="AA97" i="309"/>
  <c r="Z97" i="309"/>
  <c r="Y97" i="309"/>
  <c r="X97" i="309"/>
  <c r="W97" i="309"/>
  <c r="R97" i="309"/>
  <c r="Q97" i="309"/>
  <c r="N97" i="309"/>
  <c r="J97" i="309"/>
  <c r="I97" i="309"/>
  <c r="H97" i="309"/>
  <c r="E97" i="309"/>
  <c r="D97" i="309"/>
  <c r="C97" i="309"/>
  <c r="B97" i="309"/>
  <c r="AB96" i="309"/>
  <c r="AA96" i="309"/>
  <c r="Z96" i="309"/>
  <c r="Y96" i="309"/>
  <c r="X96" i="309"/>
  <c r="W96" i="309"/>
  <c r="R96" i="309"/>
  <c r="Q96" i="309"/>
  <c r="N96" i="309"/>
  <c r="J96" i="309"/>
  <c r="I96" i="309"/>
  <c r="H96" i="309"/>
  <c r="G96" i="309"/>
  <c r="E96" i="309"/>
  <c r="D96" i="309"/>
  <c r="C96" i="309"/>
  <c r="B96" i="309"/>
  <c r="AB95" i="309"/>
  <c r="AA95" i="309"/>
  <c r="Z95" i="309"/>
  <c r="Y95" i="309"/>
  <c r="X95" i="309"/>
  <c r="V95" i="309"/>
  <c r="R95" i="309"/>
  <c r="Q95" i="309"/>
  <c r="N95" i="309"/>
  <c r="J95" i="309"/>
  <c r="I95" i="309"/>
  <c r="H95" i="309"/>
  <c r="G95" i="309"/>
  <c r="E95" i="309"/>
  <c r="D95" i="309"/>
  <c r="C95" i="309"/>
  <c r="B95" i="309"/>
  <c r="AB94" i="309"/>
  <c r="AA94" i="309"/>
  <c r="Z94" i="309"/>
  <c r="Y94" i="309"/>
  <c r="X94" i="309"/>
  <c r="W94" i="309"/>
  <c r="R94" i="309"/>
  <c r="Q94" i="309"/>
  <c r="N94" i="309"/>
  <c r="J94" i="309"/>
  <c r="I94" i="309"/>
  <c r="H94" i="309"/>
  <c r="G94" i="309"/>
  <c r="E94" i="309"/>
  <c r="D94" i="309"/>
  <c r="C94" i="309"/>
  <c r="B94" i="309"/>
  <c r="AB93" i="309"/>
  <c r="AA93" i="309"/>
  <c r="Z93" i="309"/>
  <c r="Y93" i="309"/>
  <c r="X93" i="309"/>
  <c r="V93" i="309"/>
  <c r="R93" i="309"/>
  <c r="Q93" i="309"/>
  <c r="N93" i="309"/>
  <c r="J93" i="309"/>
  <c r="I93" i="309"/>
  <c r="H93" i="309"/>
  <c r="G93" i="309"/>
  <c r="E93" i="309"/>
  <c r="D93" i="309"/>
  <c r="C93" i="309"/>
  <c r="B93" i="309"/>
  <c r="AB92" i="309"/>
  <c r="AA92" i="309"/>
  <c r="Z92" i="309"/>
  <c r="Y92" i="309"/>
  <c r="X92" i="309"/>
  <c r="W92" i="309"/>
  <c r="R92" i="309"/>
  <c r="Q92" i="309"/>
  <c r="N92" i="309"/>
  <c r="J92" i="309"/>
  <c r="I92" i="309"/>
  <c r="H92" i="309"/>
  <c r="G92" i="309"/>
  <c r="E92" i="309"/>
  <c r="D92" i="309"/>
  <c r="C92" i="309"/>
  <c r="B92" i="309"/>
  <c r="AB91" i="309"/>
  <c r="AA91" i="309"/>
  <c r="Z91" i="309"/>
  <c r="Y91" i="309"/>
  <c r="X91" i="309"/>
  <c r="V91" i="309"/>
  <c r="R91" i="309"/>
  <c r="Q91" i="309"/>
  <c r="N91" i="309"/>
  <c r="J91" i="309"/>
  <c r="I91" i="309"/>
  <c r="H91" i="309"/>
  <c r="G91" i="309"/>
  <c r="E91" i="309"/>
  <c r="D91" i="309"/>
  <c r="C91" i="309"/>
  <c r="B91" i="309"/>
  <c r="AB90" i="309"/>
  <c r="AA90" i="309"/>
  <c r="Z90" i="309"/>
  <c r="Y90" i="309"/>
  <c r="X90" i="309"/>
  <c r="W90" i="309"/>
  <c r="R90" i="309"/>
  <c r="Q90" i="309"/>
  <c r="J90" i="309"/>
  <c r="I90" i="309"/>
  <c r="H90" i="309"/>
  <c r="G90" i="309"/>
  <c r="E90" i="309"/>
  <c r="D90" i="309"/>
  <c r="C90" i="309"/>
  <c r="B90" i="309"/>
  <c r="AB89" i="309"/>
  <c r="AA89" i="309"/>
  <c r="Z89" i="309"/>
  <c r="Y89" i="309"/>
  <c r="X89" i="309"/>
  <c r="V89" i="309"/>
  <c r="R89" i="309"/>
  <c r="Q89" i="309"/>
  <c r="N89" i="309"/>
  <c r="J89" i="309"/>
  <c r="I89" i="309"/>
  <c r="H89" i="309"/>
  <c r="G89" i="309"/>
  <c r="E89" i="309"/>
  <c r="D89" i="309"/>
  <c r="C89" i="309"/>
  <c r="B89" i="309"/>
  <c r="AB88" i="309"/>
  <c r="AA88" i="309"/>
  <c r="Z88" i="309"/>
  <c r="Y88" i="309"/>
  <c r="X88" i="309"/>
  <c r="V88" i="309"/>
  <c r="R88" i="309"/>
  <c r="Q88" i="309"/>
  <c r="N88" i="309"/>
  <c r="J88" i="309"/>
  <c r="I88" i="309"/>
  <c r="H88" i="309"/>
  <c r="G88" i="309"/>
  <c r="E88" i="309"/>
  <c r="D88" i="309"/>
  <c r="C88" i="309"/>
  <c r="B88" i="309"/>
  <c r="AB87" i="309"/>
  <c r="AA87" i="309"/>
  <c r="Z87" i="309"/>
  <c r="Y87" i="309"/>
  <c r="X87" i="309"/>
  <c r="V87" i="309"/>
  <c r="R87" i="309"/>
  <c r="Q87" i="309"/>
  <c r="J87" i="309"/>
  <c r="I87" i="309"/>
  <c r="H87" i="309"/>
  <c r="G87" i="309"/>
  <c r="E87" i="309"/>
  <c r="D87" i="309"/>
  <c r="C87" i="309"/>
  <c r="B87" i="309"/>
  <c r="AB86" i="309"/>
  <c r="AA86" i="309"/>
  <c r="Z86" i="309"/>
  <c r="Y86" i="309"/>
  <c r="X86" i="309"/>
  <c r="V86" i="309"/>
  <c r="R86" i="309"/>
  <c r="Q86" i="309"/>
  <c r="N86" i="309"/>
  <c r="J86" i="309"/>
  <c r="I86" i="309"/>
  <c r="H86" i="309"/>
  <c r="G86" i="309"/>
  <c r="E86" i="309"/>
  <c r="D86" i="309"/>
  <c r="C86" i="309"/>
  <c r="B86" i="309"/>
  <c r="AB85" i="309"/>
  <c r="AA85" i="309"/>
  <c r="Z85" i="309"/>
  <c r="Y85" i="309"/>
  <c r="X85" i="309"/>
  <c r="V85" i="309"/>
  <c r="R85" i="309"/>
  <c r="Q85" i="309"/>
  <c r="J85" i="309"/>
  <c r="I85" i="309"/>
  <c r="H85" i="309"/>
  <c r="G85" i="309"/>
  <c r="E85" i="309"/>
  <c r="C85" i="309"/>
  <c r="B85" i="309"/>
  <c r="AB84" i="309"/>
  <c r="AA84" i="309"/>
  <c r="Z84" i="309"/>
  <c r="Y84" i="309"/>
  <c r="X84" i="309"/>
  <c r="V84" i="309"/>
  <c r="R84" i="309"/>
  <c r="Q84" i="309"/>
  <c r="J84" i="309"/>
  <c r="I84" i="309"/>
  <c r="H84" i="309"/>
  <c r="G84" i="309"/>
  <c r="E84" i="309"/>
  <c r="C84" i="309"/>
  <c r="B84" i="309"/>
  <c r="AB83" i="309"/>
  <c r="AA83" i="309"/>
  <c r="Z83" i="309"/>
  <c r="Y83" i="309"/>
  <c r="X83" i="309"/>
  <c r="V83" i="309"/>
  <c r="R83" i="309"/>
  <c r="Q83" i="309"/>
  <c r="N83" i="309"/>
  <c r="J83" i="309"/>
  <c r="I83" i="309"/>
  <c r="H83" i="309"/>
  <c r="G83" i="309"/>
  <c r="E83" i="309"/>
  <c r="D83" i="309"/>
  <c r="C83" i="309"/>
  <c r="B83" i="309"/>
  <c r="AB82" i="309"/>
  <c r="AA82" i="309"/>
  <c r="Z82" i="309"/>
  <c r="Y82" i="309"/>
  <c r="X82" i="309"/>
  <c r="V82" i="309"/>
  <c r="R82" i="309"/>
  <c r="Q82" i="309"/>
  <c r="N82" i="309"/>
  <c r="J82" i="309"/>
  <c r="I82" i="309"/>
  <c r="H82" i="309"/>
  <c r="G82" i="309"/>
  <c r="C82" i="309"/>
  <c r="B82" i="309"/>
  <c r="AB81" i="309"/>
  <c r="AA81" i="309"/>
  <c r="Z81" i="309"/>
  <c r="Y81" i="309"/>
  <c r="X81" i="309"/>
  <c r="V81" i="309"/>
  <c r="Q81" i="309"/>
  <c r="N81" i="309"/>
  <c r="J81" i="309"/>
  <c r="I81" i="309"/>
  <c r="H81" i="309"/>
  <c r="D81" i="309"/>
  <c r="C81" i="309"/>
  <c r="B81" i="309"/>
  <c r="AB80" i="309"/>
  <c r="AA80" i="309"/>
  <c r="Z80" i="309"/>
  <c r="Y80" i="309"/>
  <c r="X80" i="309"/>
  <c r="V80" i="309"/>
  <c r="R80" i="309"/>
  <c r="Q80" i="309"/>
  <c r="J80" i="309"/>
  <c r="I80" i="309"/>
  <c r="H80" i="309"/>
  <c r="G80" i="309"/>
  <c r="E80" i="309"/>
  <c r="C80" i="309"/>
  <c r="B80" i="309"/>
  <c r="AB79" i="309"/>
  <c r="AA79" i="309"/>
  <c r="Z79" i="309"/>
  <c r="Y79" i="309"/>
  <c r="X79" i="309"/>
  <c r="V79" i="309"/>
  <c r="R79" i="309"/>
  <c r="Q79" i="309"/>
  <c r="N79" i="309"/>
  <c r="J79" i="309"/>
  <c r="I79" i="309"/>
  <c r="H79" i="309"/>
  <c r="G79" i="309"/>
  <c r="E79" i="309"/>
  <c r="D79" i="309"/>
  <c r="C79" i="309"/>
  <c r="B79" i="309"/>
  <c r="AB78" i="309"/>
  <c r="AA78" i="309"/>
  <c r="Z78" i="309"/>
  <c r="Y78" i="309"/>
  <c r="X78" i="309"/>
  <c r="V78" i="309"/>
  <c r="R78" i="309"/>
  <c r="Q78" i="309"/>
  <c r="N78" i="309"/>
  <c r="J78" i="309"/>
  <c r="I78" i="309"/>
  <c r="H78" i="309"/>
  <c r="G78" i="309"/>
  <c r="E78" i="309"/>
  <c r="D78" i="309"/>
  <c r="C78" i="309"/>
  <c r="B78" i="309"/>
  <c r="AB77" i="309"/>
  <c r="AA77" i="309"/>
  <c r="Z77" i="309"/>
  <c r="Y77" i="309"/>
  <c r="X77" i="309"/>
  <c r="V77" i="309"/>
  <c r="R77" i="309"/>
  <c r="Q77" i="309"/>
  <c r="J77" i="309"/>
  <c r="I77" i="309"/>
  <c r="H77" i="309"/>
  <c r="G77" i="309"/>
  <c r="E77" i="309"/>
  <c r="C77" i="309"/>
  <c r="B77" i="309"/>
  <c r="AB76" i="309"/>
  <c r="AA76" i="309"/>
  <c r="Z76" i="309"/>
  <c r="Y76" i="309"/>
  <c r="X76" i="309"/>
  <c r="V76" i="309"/>
  <c r="Q76" i="309"/>
  <c r="N76" i="309"/>
  <c r="J76" i="309"/>
  <c r="I76" i="309"/>
  <c r="H76" i="309"/>
  <c r="E76" i="309"/>
  <c r="D76" i="309"/>
  <c r="C76" i="309"/>
  <c r="B76" i="309"/>
  <c r="AB75" i="309"/>
  <c r="AA75" i="309"/>
  <c r="Z75" i="309"/>
  <c r="Y75" i="309"/>
  <c r="X75" i="309"/>
  <c r="V75" i="309"/>
  <c r="R75" i="309"/>
  <c r="Q75" i="309"/>
  <c r="J75" i="309"/>
  <c r="I75" i="309"/>
  <c r="H75" i="309"/>
  <c r="G75" i="309"/>
  <c r="E75" i="309"/>
  <c r="D75" i="309"/>
  <c r="C75" i="309"/>
  <c r="B75" i="309"/>
  <c r="AB74" i="309"/>
  <c r="AA74" i="309"/>
  <c r="Z74" i="309"/>
  <c r="Y74" i="309"/>
  <c r="X74" i="309"/>
  <c r="V74" i="309"/>
  <c r="R74" i="309"/>
  <c r="Q74" i="309"/>
  <c r="J74" i="309"/>
  <c r="I74" i="309"/>
  <c r="H74" i="309"/>
  <c r="G74" i="309"/>
  <c r="E74" i="309"/>
  <c r="D74" i="309"/>
  <c r="C74" i="309"/>
  <c r="B74" i="309"/>
  <c r="AB73" i="309"/>
  <c r="AA73" i="309"/>
  <c r="Z73" i="309"/>
  <c r="Y73" i="309"/>
  <c r="X73" i="309"/>
  <c r="V73" i="309"/>
  <c r="R73" i="309"/>
  <c r="Q73" i="309"/>
  <c r="J73" i="309"/>
  <c r="I73" i="309"/>
  <c r="H73" i="309"/>
  <c r="G73" i="309"/>
  <c r="E73" i="309"/>
  <c r="D73" i="309"/>
  <c r="C73" i="309"/>
  <c r="B73" i="309"/>
  <c r="AB72" i="309"/>
  <c r="AA72" i="309"/>
  <c r="Z72" i="309"/>
  <c r="Y72" i="309"/>
  <c r="X72" i="309"/>
  <c r="V72" i="309"/>
  <c r="R72" i="309"/>
  <c r="Q72" i="309"/>
  <c r="J72" i="309"/>
  <c r="I72" i="309"/>
  <c r="H72" i="309"/>
  <c r="G72" i="309"/>
  <c r="E72" i="309"/>
  <c r="D72" i="309"/>
  <c r="C72" i="309"/>
  <c r="B72" i="309"/>
  <c r="AB71" i="309"/>
  <c r="AA71" i="309"/>
  <c r="Z71" i="309"/>
  <c r="Y71" i="309"/>
  <c r="X71" i="309"/>
  <c r="V71" i="309"/>
  <c r="R71" i="309"/>
  <c r="Q71" i="309"/>
  <c r="N71" i="309"/>
  <c r="J71" i="309"/>
  <c r="I71" i="309"/>
  <c r="H71" i="309"/>
  <c r="G71" i="309"/>
  <c r="E71" i="309"/>
  <c r="D71" i="309"/>
  <c r="C71" i="309"/>
  <c r="B71" i="309"/>
  <c r="AB70" i="309"/>
  <c r="AA70" i="309"/>
  <c r="Z70" i="309"/>
  <c r="Y70" i="309"/>
  <c r="X70" i="309"/>
  <c r="V70" i="309"/>
  <c r="R70" i="309"/>
  <c r="Q70" i="309"/>
  <c r="N70" i="309"/>
  <c r="J70" i="309"/>
  <c r="I70" i="309"/>
  <c r="H70" i="309"/>
  <c r="G70" i="309"/>
  <c r="E70" i="309"/>
  <c r="D70" i="309"/>
  <c r="C70" i="309"/>
  <c r="B70" i="309"/>
  <c r="AB69" i="309"/>
  <c r="AA69" i="309"/>
  <c r="Z69" i="309"/>
  <c r="Y69" i="309"/>
  <c r="X69" i="309"/>
  <c r="V69" i="309"/>
  <c r="R69" i="309"/>
  <c r="Q69" i="309"/>
  <c r="N69" i="309"/>
  <c r="J69" i="309"/>
  <c r="I69" i="309"/>
  <c r="H69" i="309"/>
  <c r="G69" i="309"/>
  <c r="E69" i="309"/>
  <c r="D69" i="309"/>
  <c r="C69" i="309"/>
  <c r="B69" i="309"/>
  <c r="AB68" i="309"/>
  <c r="AA68" i="309"/>
  <c r="Z68" i="309"/>
  <c r="Y68" i="309"/>
  <c r="X68" i="309"/>
  <c r="V68" i="309"/>
  <c r="R68" i="309"/>
  <c r="Q68" i="309"/>
  <c r="N68" i="309"/>
  <c r="J68" i="309"/>
  <c r="I68" i="309"/>
  <c r="H68" i="309"/>
  <c r="G68" i="309"/>
  <c r="E68" i="309"/>
  <c r="D68" i="309"/>
  <c r="C68" i="309"/>
  <c r="B68" i="309"/>
  <c r="AB67" i="309"/>
  <c r="AA67" i="309"/>
  <c r="Z67" i="309"/>
  <c r="Y67" i="309"/>
  <c r="X67" i="309"/>
  <c r="V67" i="309"/>
  <c r="R67" i="309"/>
  <c r="Q67" i="309"/>
  <c r="J67" i="309"/>
  <c r="I67" i="309"/>
  <c r="H67" i="309"/>
  <c r="G67" i="309"/>
  <c r="E67" i="309"/>
  <c r="C67" i="309"/>
  <c r="B67" i="309"/>
  <c r="AB66" i="309"/>
  <c r="AA66" i="309"/>
  <c r="Z66" i="309"/>
  <c r="Y66" i="309"/>
  <c r="X66" i="309"/>
  <c r="V66" i="309"/>
  <c r="R66" i="309"/>
  <c r="Q66" i="309"/>
  <c r="J66" i="309"/>
  <c r="I66" i="309"/>
  <c r="H66" i="309"/>
  <c r="G66" i="309"/>
  <c r="E66" i="309"/>
  <c r="D66" i="309"/>
  <c r="C66" i="309"/>
  <c r="B66" i="309"/>
  <c r="AB65" i="309"/>
  <c r="AA65" i="309"/>
  <c r="Z65" i="309"/>
  <c r="Y65" i="309"/>
  <c r="X65" i="309"/>
  <c r="V65" i="309"/>
  <c r="R65" i="309"/>
  <c r="Q65" i="309"/>
  <c r="N65" i="309"/>
  <c r="J65" i="309"/>
  <c r="I65" i="309"/>
  <c r="H65" i="309"/>
  <c r="G65" i="309"/>
  <c r="E65" i="309"/>
  <c r="D65" i="309"/>
  <c r="C65" i="309"/>
  <c r="B65" i="309"/>
  <c r="AB64" i="309"/>
  <c r="AA64" i="309"/>
  <c r="Z64" i="309"/>
  <c r="Y64" i="309"/>
  <c r="X64" i="309"/>
  <c r="V64" i="309"/>
  <c r="R64" i="309"/>
  <c r="Q64" i="309"/>
  <c r="N64" i="309"/>
  <c r="J64" i="309"/>
  <c r="I64" i="309"/>
  <c r="H64" i="309"/>
  <c r="G64" i="309"/>
  <c r="E64" i="309"/>
  <c r="D64" i="309"/>
  <c r="C64" i="309"/>
  <c r="B64" i="309"/>
  <c r="AB63" i="309"/>
  <c r="AA63" i="309"/>
  <c r="Z63" i="309"/>
  <c r="Y63" i="309"/>
  <c r="X63" i="309"/>
  <c r="V63" i="309"/>
  <c r="R63" i="309"/>
  <c r="Q63" i="309"/>
  <c r="J63" i="309"/>
  <c r="I63" i="309"/>
  <c r="H63" i="309"/>
  <c r="G63" i="309"/>
  <c r="E63" i="309"/>
  <c r="C63" i="309"/>
  <c r="B63" i="309"/>
  <c r="AB62" i="309"/>
  <c r="AA62" i="309"/>
  <c r="Z62" i="309"/>
  <c r="Y62" i="309"/>
  <c r="X62" i="309"/>
  <c r="V62" i="309"/>
  <c r="R62" i="309"/>
  <c r="Q62" i="309"/>
  <c r="J62" i="309"/>
  <c r="I62" i="309"/>
  <c r="H62" i="309"/>
  <c r="G62" i="309"/>
  <c r="E62" i="309"/>
  <c r="C62" i="309"/>
  <c r="B62" i="309"/>
  <c r="AB61" i="309"/>
  <c r="AA61" i="309"/>
  <c r="Z61" i="309"/>
  <c r="Y61" i="309"/>
  <c r="X61" i="309"/>
  <c r="V61" i="309"/>
  <c r="R61" i="309"/>
  <c r="Q61" i="309"/>
  <c r="N61" i="309"/>
  <c r="J61" i="309"/>
  <c r="I61" i="309"/>
  <c r="H61" i="309"/>
  <c r="G61" i="309"/>
  <c r="E61" i="309"/>
  <c r="D61" i="309"/>
  <c r="C61" i="309"/>
  <c r="B61" i="309"/>
  <c r="AB60" i="309"/>
  <c r="AA60" i="309"/>
  <c r="Z60" i="309"/>
  <c r="Y60" i="309"/>
  <c r="X60" i="309"/>
  <c r="V60" i="309"/>
  <c r="R60" i="309"/>
  <c r="Q60" i="309"/>
  <c r="N60" i="309"/>
  <c r="J60" i="309"/>
  <c r="I60" i="309"/>
  <c r="H60" i="309"/>
  <c r="G60" i="309"/>
  <c r="E60" i="309"/>
  <c r="C60" i="309"/>
  <c r="B60" i="309"/>
  <c r="AB59" i="309"/>
  <c r="AA59" i="309"/>
  <c r="Z59" i="309"/>
  <c r="Y59" i="309"/>
  <c r="X59" i="309"/>
  <c r="V59" i="309"/>
  <c r="R59" i="309"/>
  <c r="Q59" i="309"/>
  <c r="N59" i="309"/>
  <c r="J59" i="309"/>
  <c r="I59" i="309"/>
  <c r="H59" i="309"/>
  <c r="G59" i="309"/>
  <c r="E59" i="309"/>
  <c r="D59" i="309"/>
  <c r="C59" i="309"/>
  <c r="B59" i="309"/>
  <c r="AB58" i="309"/>
  <c r="AA58" i="309"/>
  <c r="Z58" i="309"/>
  <c r="Y58" i="309"/>
  <c r="X58" i="309"/>
  <c r="V58" i="309"/>
  <c r="R58" i="309"/>
  <c r="Q58" i="309"/>
  <c r="N58" i="309"/>
  <c r="J58" i="309"/>
  <c r="I58" i="309"/>
  <c r="H58" i="309"/>
  <c r="G58" i="309"/>
  <c r="E58" i="309"/>
  <c r="D58" i="309"/>
  <c r="C58" i="309"/>
  <c r="B58" i="309"/>
  <c r="AB57" i="309"/>
  <c r="AA57" i="309"/>
  <c r="Z57" i="309"/>
  <c r="Y57" i="309"/>
  <c r="X57" i="309"/>
  <c r="V57" i="309"/>
  <c r="R57" i="309"/>
  <c r="Q57" i="309"/>
  <c r="N57" i="309"/>
  <c r="J57" i="309"/>
  <c r="I57" i="309"/>
  <c r="H57" i="309"/>
  <c r="G57" i="309"/>
  <c r="E57" i="309"/>
  <c r="D57" i="309"/>
  <c r="C57" i="309"/>
  <c r="B57" i="309"/>
  <c r="AB56" i="309"/>
  <c r="AA56" i="309"/>
  <c r="Z56" i="309"/>
  <c r="Y56" i="309"/>
  <c r="X56" i="309"/>
  <c r="V56" i="309"/>
  <c r="R56" i="309"/>
  <c r="Q56" i="309"/>
  <c r="N56" i="309"/>
  <c r="J56" i="309"/>
  <c r="I56" i="309"/>
  <c r="H56" i="309"/>
  <c r="G56" i="309"/>
  <c r="E56" i="309"/>
  <c r="D56" i="309"/>
  <c r="C56" i="309"/>
  <c r="B56" i="309"/>
  <c r="AB55" i="309"/>
  <c r="AA55" i="309"/>
  <c r="Z55" i="309"/>
  <c r="Y55" i="309"/>
  <c r="X55" i="309"/>
  <c r="V55" i="309"/>
  <c r="R55" i="309"/>
  <c r="Q55" i="309"/>
  <c r="N55" i="309"/>
  <c r="J55" i="309"/>
  <c r="I55" i="309"/>
  <c r="H55" i="309"/>
  <c r="G55" i="309"/>
  <c r="E55" i="309"/>
  <c r="D55" i="309"/>
  <c r="C55" i="309"/>
  <c r="B55" i="309"/>
  <c r="AB54" i="309"/>
  <c r="AA54" i="309"/>
  <c r="Z54" i="309"/>
  <c r="Y54" i="309"/>
  <c r="X54" i="309"/>
  <c r="V54" i="309"/>
  <c r="R54" i="309"/>
  <c r="Q54" i="309"/>
  <c r="N54" i="309"/>
  <c r="J54" i="309"/>
  <c r="I54" i="309"/>
  <c r="H54" i="309"/>
  <c r="G54" i="309"/>
  <c r="E54" i="309"/>
  <c r="D54" i="309"/>
  <c r="C54" i="309"/>
  <c r="B54" i="309"/>
  <c r="AB53" i="309"/>
  <c r="AA53" i="309"/>
  <c r="Z53" i="309"/>
  <c r="Y53" i="309"/>
  <c r="X53" i="309"/>
  <c r="V53" i="309"/>
  <c r="R53" i="309"/>
  <c r="Q53" i="309"/>
  <c r="J53" i="309"/>
  <c r="I53" i="309"/>
  <c r="H53" i="309"/>
  <c r="G53" i="309"/>
  <c r="E53" i="309"/>
  <c r="C53" i="309"/>
  <c r="B53" i="309"/>
  <c r="AB52" i="309"/>
  <c r="AA52" i="309"/>
  <c r="Z52" i="309"/>
  <c r="Y52" i="309"/>
  <c r="X52" i="309"/>
  <c r="V52" i="309"/>
  <c r="R52" i="309"/>
  <c r="Q52" i="309"/>
  <c r="J52" i="309"/>
  <c r="I52" i="309"/>
  <c r="H52" i="309"/>
  <c r="G52" i="309"/>
  <c r="E52" i="309"/>
  <c r="C52" i="309"/>
  <c r="B52" i="309"/>
  <c r="AB51" i="309"/>
  <c r="AA51" i="309"/>
  <c r="Z51" i="309"/>
  <c r="Y51" i="309"/>
  <c r="X51" i="309"/>
  <c r="V51" i="309"/>
  <c r="R51" i="309"/>
  <c r="Q51" i="309"/>
  <c r="N51" i="309"/>
  <c r="J51" i="309"/>
  <c r="I51" i="309"/>
  <c r="H51" i="309"/>
  <c r="G51" i="309"/>
  <c r="E51" i="309"/>
  <c r="D51" i="309"/>
  <c r="C51" i="309"/>
  <c r="B51" i="309"/>
  <c r="AB50" i="309"/>
  <c r="AA50" i="309"/>
  <c r="Z50" i="309"/>
  <c r="Y50" i="309"/>
  <c r="X50" i="309"/>
  <c r="V50" i="309"/>
  <c r="R50" i="309"/>
  <c r="Q50" i="309"/>
  <c r="J50" i="309"/>
  <c r="I50" i="309"/>
  <c r="H50" i="309"/>
  <c r="G50" i="309"/>
  <c r="E50" i="309"/>
  <c r="D50" i="309"/>
  <c r="C50" i="309"/>
  <c r="B50" i="309"/>
  <c r="AB49" i="309"/>
  <c r="AA49" i="309"/>
  <c r="Z49" i="309"/>
  <c r="Y49" i="309"/>
  <c r="X49" i="309"/>
  <c r="V49" i="309"/>
  <c r="R49" i="309"/>
  <c r="Q49" i="309"/>
  <c r="J49" i="309"/>
  <c r="I49" i="309"/>
  <c r="H49" i="309"/>
  <c r="G49" i="309"/>
  <c r="E49" i="309"/>
  <c r="D49" i="309"/>
  <c r="C49" i="309"/>
  <c r="B49" i="309"/>
  <c r="AB48" i="309"/>
  <c r="AA48" i="309"/>
  <c r="Z48" i="309"/>
  <c r="Y48" i="309"/>
  <c r="X48" i="309"/>
  <c r="V48" i="309"/>
  <c r="J48" i="309"/>
  <c r="I48" i="309"/>
  <c r="H48" i="309"/>
  <c r="E48" i="309"/>
  <c r="D48" i="309"/>
  <c r="C48" i="309"/>
  <c r="B48" i="309"/>
  <c r="AB47" i="309"/>
  <c r="AA47" i="309"/>
  <c r="Z47" i="309"/>
  <c r="Y47" i="309"/>
  <c r="X47" i="309"/>
  <c r="V47" i="309"/>
  <c r="R47" i="309"/>
  <c r="Q47" i="309"/>
  <c r="N47" i="309"/>
  <c r="J47" i="309"/>
  <c r="I47" i="309"/>
  <c r="H47" i="309"/>
  <c r="G47" i="309"/>
  <c r="E47" i="309"/>
  <c r="D47" i="309"/>
  <c r="C47" i="309"/>
  <c r="B47" i="309"/>
  <c r="AB46" i="309"/>
  <c r="AA46" i="309"/>
  <c r="Z46" i="309"/>
  <c r="Y46" i="309"/>
  <c r="X46" i="309"/>
  <c r="W46" i="309"/>
  <c r="R46" i="309"/>
  <c r="Q46" i="309"/>
  <c r="N46" i="309"/>
  <c r="J46" i="309"/>
  <c r="I46" i="309"/>
  <c r="H46" i="309"/>
  <c r="G46" i="309"/>
  <c r="E46" i="309"/>
  <c r="D46" i="309"/>
  <c r="C46" i="309"/>
  <c r="B46" i="309"/>
  <c r="AB45" i="309"/>
  <c r="AA45" i="309"/>
  <c r="Z45" i="309"/>
  <c r="Y45" i="309"/>
  <c r="X45" i="309"/>
  <c r="V45" i="309"/>
  <c r="R45" i="309"/>
  <c r="Q45" i="309"/>
  <c r="N45" i="309"/>
  <c r="J45" i="309"/>
  <c r="I45" i="309"/>
  <c r="H45" i="309"/>
  <c r="G45" i="309"/>
  <c r="E45" i="309"/>
  <c r="D45" i="309"/>
  <c r="C45" i="309"/>
  <c r="B45" i="309"/>
  <c r="AB44" i="309"/>
  <c r="AA44" i="309"/>
  <c r="Z44" i="309"/>
  <c r="Y44" i="309"/>
  <c r="X44" i="309"/>
  <c r="V44" i="309"/>
  <c r="R44" i="309"/>
  <c r="Q44" i="309"/>
  <c r="J44" i="309"/>
  <c r="I44" i="309"/>
  <c r="H44" i="309"/>
  <c r="G44" i="309"/>
  <c r="E44" i="309"/>
  <c r="D44" i="309"/>
  <c r="C44" i="309"/>
  <c r="B44" i="309"/>
  <c r="AB43" i="309"/>
  <c r="AA43" i="309"/>
  <c r="Z43" i="309"/>
  <c r="Y43" i="309"/>
  <c r="X43" i="309"/>
  <c r="V43" i="309"/>
  <c r="R43" i="309"/>
  <c r="Q43" i="309"/>
  <c r="N43" i="309"/>
  <c r="J43" i="309"/>
  <c r="I43" i="309"/>
  <c r="H43" i="309"/>
  <c r="G43" i="309"/>
  <c r="E43" i="309"/>
  <c r="D43" i="309"/>
  <c r="C43" i="309"/>
  <c r="B43" i="309"/>
  <c r="AB42" i="309"/>
  <c r="AA42" i="309"/>
  <c r="Z42" i="309"/>
  <c r="Y42" i="309"/>
  <c r="X42" i="309"/>
  <c r="V42" i="309"/>
  <c r="R42" i="309"/>
  <c r="Q42" i="309"/>
  <c r="N42" i="309"/>
  <c r="J42" i="309"/>
  <c r="I42" i="309"/>
  <c r="H42" i="309"/>
  <c r="G42" i="309"/>
  <c r="E42" i="309"/>
  <c r="D42" i="309"/>
  <c r="C42" i="309"/>
  <c r="B42" i="309"/>
  <c r="AB41" i="309"/>
  <c r="AA41" i="309"/>
  <c r="Z41" i="309"/>
  <c r="Y41" i="309"/>
  <c r="X41" i="309"/>
  <c r="V41" i="309"/>
  <c r="R41" i="309"/>
  <c r="Q41" i="309"/>
  <c r="N41" i="309"/>
  <c r="J41" i="309"/>
  <c r="I41" i="309"/>
  <c r="H41" i="309"/>
  <c r="G41" i="309"/>
  <c r="E41" i="309"/>
  <c r="D41" i="309"/>
  <c r="C41" i="309"/>
  <c r="B41" i="309"/>
  <c r="AB40" i="309"/>
  <c r="AA40" i="309"/>
  <c r="Z40" i="309"/>
  <c r="Y40" i="309"/>
  <c r="X40" i="309"/>
  <c r="V40" i="309"/>
  <c r="R40" i="309"/>
  <c r="Q40" i="309"/>
  <c r="N40" i="309"/>
  <c r="J40" i="309"/>
  <c r="I40" i="309"/>
  <c r="H40" i="309"/>
  <c r="G40" i="309"/>
  <c r="E40" i="309"/>
  <c r="D40" i="309"/>
  <c r="C40" i="309"/>
  <c r="B40" i="309"/>
  <c r="AB39" i="309"/>
  <c r="AA39" i="309"/>
  <c r="Z39" i="309"/>
  <c r="Y39" i="309"/>
  <c r="X39" i="309"/>
  <c r="V39" i="309"/>
  <c r="R39" i="309"/>
  <c r="Q39" i="309"/>
  <c r="N39" i="309"/>
  <c r="J39" i="309"/>
  <c r="I39" i="309"/>
  <c r="H39" i="309"/>
  <c r="G39" i="309"/>
  <c r="E39" i="309"/>
  <c r="D39" i="309"/>
  <c r="C39" i="309"/>
  <c r="B39" i="309"/>
  <c r="AB38" i="309"/>
  <c r="AA38" i="309"/>
  <c r="Z38" i="309"/>
  <c r="Y38" i="309"/>
  <c r="X38" i="309"/>
  <c r="V38" i="309"/>
  <c r="R38" i="309"/>
  <c r="Q38" i="309"/>
  <c r="N38" i="309"/>
  <c r="J38" i="309"/>
  <c r="I38" i="309"/>
  <c r="H38" i="309"/>
  <c r="G38" i="309"/>
  <c r="E38" i="309"/>
  <c r="D38" i="309"/>
  <c r="C38" i="309"/>
  <c r="B38" i="309"/>
  <c r="AB37" i="309"/>
  <c r="AA37" i="309"/>
  <c r="Z37" i="309"/>
  <c r="Y37" i="309"/>
  <c r="X37" i="309"/>
  <c r="V37" i="309"/>
  <c r="R37" i="309"/>
  <c r="Q37" i="309"/>
  <c r="N37" i="309"/>
  <c r="J37" i="309"/>
  <c r="I37" i="309"/>
  <c r="H37" i="309"/>
  <c r="G37" i="309"/>
  <c r="E37" i="309"/>
  <c r="D37" i="309"/>
  <c r="C37" i="309"/>
  <c r="B37" i="309"/>
  <c r="AB36" i="309"/>
  <c r="AA36" i="309"/>
  <c r="Z36" i="309"/>
  <c r="Y36" i="309"/>
  <c r="X36" i="309"/>
  <c r="V36" i="309"/>
  <c r="R36" i="309"/>
  <c r="Q36" i="309"/>
  <c r="J36" i="309"/>
  <c r="I36" i="309"/>
  <c r="H36" i="309"/>
  <c r="G36" i="309"/>
  <c r="E36" i="309"/>
  <c r="D36" i="309"/>
  <c r="C36" i="309"/>
  <c r="B36" i="309"/>
  <c r="AB35" i="309"/>
  <c r="AA35" i="309"/>
  <c r="Z35" i="309"/>
  <c r="Y35" i="309"/>
  <c r="X35" i="309"/>
  <c r="V35" i="309"/>
  <c r="R35" i="309"/>
  <c r="Q35" i="309"/>
  <c r="N35" i="309"/>
  <c r="J35" i="309"/>
  <c r="I35" i="309"/>
  <c r="H35" i="309"/>
  <c r="G35" i="309"/>
  <c r="E35" i="309"/>
  <c r="D35" i="309"/>
  <c r="C35" i="309"/>
  <c r="B35" i="309"/>
  <c r="AB34" i="309"/>
  <c r="AA34" i="309"/>
  <c r="Z34" i="309"/>
  <c r="Y34" i="309"/>
  <c r="X34" i="309"/>
  <c r="V34" i="309"/>
  <c r="R34" i="309"/>
  <c r="Q34" i="309"/>
  <c r="J34" i="309"/>
  <c r="I34" i="309"/>
  <c r="H34" i="309"/>
  <c r="G34" i="309"/>
  <c r="E34" i="309"/>
  <c r="C34" i="309"/>
  <c r="B34" i="309"/>
  <c r="AB33" i="309"/>
  <c r="AA33" i="309"/>
  <c r="Z33" i="309"/>
  <c r="Y33" i="309"/>
  <c r="X33" i="309"/>
  <c r="V33" i="309"/>
  <c r="R33" i="309"/>
  <c r="Q33" i="309"/>
  <c r="J33" i="309"/>
  <c r="I33" i="309"/>
  <c r="H33" i="309"/>
  <c r="G33" i="309"/>
  <c r="E33" i="309"/>
  <c r="D33" i="309"/>
  <c r="C33" i="309"/>
  <c r="B33" i="309"/>
  <c r="AB32" i="309"/>
  <c r="AA32" i="309"/>
  <c r="Z32" i="309"/>
  <c r="Y32" i="309"/>
  <c r="X32" i="309"/>
  <c r="V32" i="309"/>
  <c r="R32" i="309"/>
  <c r="Q32" i="309"/>
  <c r="J32" i="309"/>
  <c r="I32" i="309"/>
  <c r="H32" i="309"/>
  <c r="G32" i="309"/>
  <c r="E32" i="309"/>
  <c r="D32" i="309"/>
  <c r="C32" i="309"/>
  <c r="B32" i="309"/>
  <c r="AB31" i="309"/>
  <c r="AA31" i="309"/>
  <c r="Z31" i="309"/>
  <c r="Y31" i="309"/>
  <c r="X31" i="309"/>
  <c r="V31" i="309"/>
  <c r="R31" i="309"/>
  <c r="Q31" i="309"/>
  <c r="J31" i="309"/>
  <c r="I31" i="309"/>
  <c r="H31" i="309"/>
  <c r="G31" i="309"/>
  <c r="E31" i="309"/>
  <c r="C31" i="309"/>
  <c r="B31" i="309"/>
  <c r="AB30" i="309"/>
  <c r="AA30" i="309"/>
  <c r="Z30" i="309"/>
  <c r="Y30" i="309"/>
  <c r="X30" i="309"/>
  <c r="V30" i="309"/>
  <c r="R30" i="309"/>
  <c r="Q30" i="309"/>
  <c r="N30" i="309"/>
  <c r="J30" i="309"/>
  <c r="I30" i="309"/>
  <c r="H30" i="309"/>
  <c r="G30" i="309"/>
  <c r="E30" i="309"/>
  <c r="D30" i="309"/>
  <c r="C30" i="309"/>
  <c r="B30" i="309"/>
  <c r="AB29" i="309"/>
  <c r="AA29" i="309"/>
  <c r="Z29" i="309"/>
  <c r="Y29" i="309"/>
  <c r="X29" i="309"/>
  <c r="V29" i="309"/>
  <c r="R29" i="309"/>
  <c r="Q29" i="309"/>
  <c r="N29" i="309"/>
  <c r="J29" i="309"/>
  <c r="I29" i="309"/>
  <c r="H29" i="309"/>
  <c r="G29" i="309"/>
  <c r="E29" i="309"/>
  <c r="C29" i="309"/>
  <c r="B29" i="309"/>
  <c r="AB28" i="309"/>
  <c r="AA28" i="309"/>
  <c r="Z28" i="309"/>
  <c r="Y28" i="309"/>
  <c r="X28" i="309"/>
  <c r="V28" i="309"/>
  <c r="R28" i="309"/>
  <c r="Q28" i="309"/>
  <c r="J28" i="309"/>
  <c r="I28" i="309"/>
  <c r="H28" i="309"/>
  <c r="G28" i="309"/>
  <c r="E28" i="309"/>
  <c r="C28" i="309"/>
  <c r="B28" i="309"/>
  <c r="AB27" i="309"/>
  <c r="AA27" i="309"/>
  <c r="Z27" i="309"/>
  <c r="Y27" i="309"/>
  <c r="X27" i="309"/>
  <c r="V27" i="309"/>
  <c r="R27" i="309"/>
  <c r="Q27" i="309"/>
  <c r="N27" i="309"/>
  <c r="J27" i="309"/>
  <c r="I27" i="309"/>
  <c r="H27" i="309"/>
  <c r="G27" i="309"/>
  <c r="E27" i="309"/>
  <c r="C27" i="309"/>
  <c r="B27" i="309"/>
  <c r="AB26" i="309"/>
  <c r="AA26" i="309"/>
  <c r="Z26" i="309"/>
  <c r="Y26" i="309"/>
  <c r="X26" i="309"/>
  <c r="V26" i="309"/>
  <c r="R26" i="309"/>
  <c r="Q26" i="309"/>
  <c r="N26" i="309"/>
  <c r="J26" i="309"/>
  <c r="I26" i="309"/>
  <c r="H26" i="309"/>
  <c r="G26" i="309"/>
  <c r="E26" i="309"/>
  <c r="D26" i="309"/>
  <c r="C26" i="309"/>
  <c r="B26" i="309"/>
  <c r="AB25" i="309"/>
  <c r="AA25" i="309"/>
  <c r="Z25" i="309"/>
  <c r="Y25" i="309"/>
  <c r="X25" i="309"/>
  <c r="V25" i="309"/>
  <c r="R25" i="309"/>
  <c r="Q25" i="309"/>
  <c r="N25" i="309"/>
  <c r="J25" i="309"/>
  <c r="I25" i="309"/>
  <c r="H25" i="309"/>
  <c r="G25" i="309"/>
  <c r="E25" i="309"/>
  <c r="D25" i="309"/>
  <c r="C25" i="309"/>
  <c r="B25" i="309"/>
  <c r="AB24" i="309"/>
  <c r="AA24" i="309"/>
  <c r="Z24" i="309"/>
  <c r="Y24" i="309"/>
  <c r="X24" i="309"/>
  <c r="R24" i="309"/>
  <c r="Q24" i="309"/>
  <c r="N24" i="309"/>
  <c r="J24" i="309"/>
  <c r="I24" i="309"/>
  <c r="H24" i="309"/>
  <c r="G24" i="309"/>
  <c r="E24" i="309"/>
  <c r="D24" i="309"/>
  <c r="C24" i="309"/>
  <c r="B24" i="309"/>
  <c r="AB23" i="309"/>
  <c r="AA23" i="309"/>
  <c r="Z23" i="309"/>
  <c r="Y23" i="309"/>
  <c r="X23" i="309"/>
  <c r="V23" i="309"/>
  <c r="R23" i="309"/>
  <c r="Q23" i="309"/>
  <c r="N23" i="309"/>
  <c r="J23" i="309"/>
  <c r="I23" i="309"/>
  <c r="H23" i="309"/>
  <c r="G23" i="309"/>
  <c r="E23" i="309"/>
  <c r="D23" i="309"/>
  <c r="C23" i="309"/>
  <c r="B23" i="309"/>
  <c r="AB22" i="309"/>
  <c r="AA22" i="309"/>
  <c r="Z22" i="309"/>
  <c r="Y22" i="309"/>
  <c r="X22" i="309"/>
  <c r="V22" i="309"/>
  <c r="R22" i="309"/>
  <c r="Q22" i="309"/>
  <c r="J22" i="309"/>
  <c r="I22" i="309"/>
  <c r="H22" i="309"/>
  <c r="G22" i="309"/>
  <c r="E22" i="309"/>
  <c r="C22" i="309"/>
  <c r="B22" i="309"/>
  <c r="AB21" i="309"/>
  <c r="AA21" i="309"/>
  <c r="Z21" i="309"/>
  <c r="Y21" i="309"/>
  <c r="X21" i="309"/>
  <c r="V21" i="309"/>
  <c r="R21" i="309"/>
  <c r="Q21" i="309"/>
  <c r="J21" i="309"/>
  <c r="I21" i="309"/>
  <c r="H21" i="309"/>
  <c r="G21" i="309"/>
  <c r="E21" i="309"/>
  <c r="D21" i="309"/>
  <c r="C21" i="309"/>
  <c r="B21" i="309"/>
  <c r="AB20" i="309"/>
  <c r="AA20" i="309"/>
  <c r="Z20" i="309"/>
  <c r="Y20" i="309"/>
  <c r="X20" i="309"/>
  <c r="V20" i="309"/>
  <c r="J20" i="309"/>
  <c r="I20" i="309"/>
  <c r="H20" i="309"/>
  <c r="G20" i="309"/>
  <c r="E20" i="309"/>
  <c r="C20" i="309"/>
  <c r="B20" i="309"/>
  <c r="AB19" i="309"/>
  <c r="AA19" i="309"/>
  <c r="Z19" i="309"/>
  <c r="Y19" i="309"/>
  <c r="X19" i="309"/>
  <c r="V19" i="309"/>
  <c r="R19" i="309"/>
  <c r="Q19" i="309"/>
  <c r="J19" i="309"/>
  <c r="I19" i="309"/>
  <c r="H19" i="309"/>
  <c r="G19" i="309"/>
  <c r="E19" i="309"/>
  <c r="C19" i="309"/>
  <c r="B19" i="309"/>
  <c r="AB18" i="309"/>
  <c r="AA18" i="309"/>
  <c r="Z18" i="309"/>
  <c r="Y18" i="309"/>
  <c r="X18" i="309"/>
  <c r="V18" i="309"/>
  <c r="R18" i="309"/>
  <c r="Q18" i="309"/>
  <c r="N18" i="309"/>
  <c r="J18" i="309"/>
  <c r="I18" i="309"/>
  <c r="H18" i="309"/>
  <c r="G18" i="309"/>
  <c r="E18" i="309"/>
  <c r="D18" i="309"/>
  <c r="C18" i="309"/>
  <c r="B18" i="309"/>
  <c r="AB17" i="309"/>
  <c r="AA17" i="309"/>
  <c r="Z17" i="309"/>
  <c r="Y17" i="309"/>
  <c r="X17" i="309"/>
  <c r="V17" i="309"/>
  <c r="R17" i="309"/>
  <c r="Q17" i="309"/>
  <c r="N17" i="309"/>
  <c r="J17" i="309"/>
  <c r="I17" i="309"/>
  <c r="H17" i="309"/>
  <c r="G17" i="309"/>
  <c r="E17" i="309"/>
  <c r="C17" i="309"/>
  <c r="B17" i="309"/>
  <c r="AB16" i="309"/>
  <c r="AA16" i="309"/>
  <c r="Z16" i="309"/>
  <c r="Y16" i="309"/>
  <c r="X16" i="309"/>
  <c r="V16" i="309"/>
  <c r="R16" i="309"/>
  <c r="Q16" i="309"/>
  <c r="J16" i="309"/>
  <c r="I16" i="309"/>
  <c r="H16" i="309"/>
  <c r="G16" i="309"/>
  <c r="E16" i="309"/>
  <c r="D16" i="309"/>
  <c r="C16" i="309"/>
  <c r="B16" i="309"/>
  <c r="AB15" i="309"/>
  <c r="AA15" i="309"/>
  <c r="Z15" i="309"/>
  <c r="Y15" i="309"/>
  <c r="X15" i="309"/>
  <c r="V15" i="309"/>
  <c r="R15" i="309"/>
  <c r="Q15" i="309"/>
  <c r="N15" i="309"/>
  <c r="J15" i="309"/>
  <c r="I15" i="309"/>
  <c r="H15" i="309"/>
  <c r="G15" i="309"/>
  <c r="E15" i="309"/>
  <c r="C15" i="309"/>
  <c r="B15" i="309"/>
  <c r="AB14" i="309"/>
  <c r="AA14" i="309"/>
  <c r="Z14" i="309"/>
  <c r="Y14" i="309"/>
  <c r="X14" i="309"/>
  <c r="V14" i="309"/>
  <c r="R14" i="309"/>
  <c r="Q14" i="309"/>
  <c r="N14" i="309"/>
  <c r="J14" i="309"/>
  <c r="I14" i="309"/>
  <c r="H14" i="309"/>
  <c r="G14" i="309"/>
  <c r="E14" i="309"/>
  <c r="D14" i="309"/>
  <c r="C14" i="309"/>
  <c r="B14" i="309"/>
  <c r="AB13" i="309"/>
  <c r="AA13" i="309"/>
  <c r="Z13" i="309"/>
  <c r="Y13" i="309"/>
  <c r="X13" i="309"/>
  <c r="V13" i="309"/>
  <c r="R13" i="309"/>
  <c r="Q13" i="309"/>
  <c r="N13" i="309"/>
  <c r="J13" i="309"/>
  <c r="I13" i="309"/>
  <c r="H13" i="309"/>
  <c r="E13" i="309"/>
  <c r="C13" i="309"/>
  <c r="B13" i="309"/>
  <c r="AB12" i="309"/>
  <c r="AA12" i="309"/>
  <c r="Z12" i="309"/>
  <c r="Y12" i="309"/>
  <c r="X12" i="309"/>
  <c r="V12" i="309"/>
  <c r="R12" i="309"/>
  <c r="Q12" i="309"/>
  <c r="N12" i="309"/>
  <c r="J12" i="309"/>
  <c r="I12" i="309"/>
  <c r="H12" i="309"/>
  <c r="G12" i="309"/>
  <c r="E12" i="309"/>
  <c r="D12" i="309"/>
  <c r="C12" i="309"/>
  <c r="B12" i="309"/>
  <c r="AB11" i="309"/>
  <c r="AA11" i="309"/>
  <c r="Z11" i="309"/>
  <c r="Y11" i="309"/>
  <c r="X11" i="309"/>
  <c r="V11" i="309"/>
  <c r="R11" i="309"/>
  <c r="Q11" i="309"/>
  <c r="J11" i="309"/>
  <c r="I11" i="309"/>
  <c r="H11" i="309"/>
  <c r="G11" i="309"/>
  <c r="E11" i="309"/>
  <c r="C11" i="309"/>
  <c r="B11" i="309"/>
  <c r="AB10" i="309"/>
  <c r="AA10" i="309"/>
  <c r="Z10" i="309"/>
  <c r="Y10" i="309"/>
  <c r="X10" i="309"/>
  <c r="V10" i="309"/>
  <c r="R10" i="309"/>
  <c r="Q10" i="309"/>
  <c r="N10" i="309"/>
  <c r="J10" i="309"/>
  <c r="I10" i="309"/>
  <c r="H10" i="309"/>
  <c r="G10" i="309"/>
  <c r="E10" i="309"/>
  <c r="C10" i="309"/>
  <c r="B10" i="309"/>
  <c r="AB9" i="309"/>
  <c r="AA9" i="309"/>
  <c r="Z9" i="309"/>
  <c r="Y9" i="309"/>
  <c r="X9" i="309"/>
  <c r="V9" i="309"/>
  <c r="R9" i="309"/>
  <c r="Q9" i="309"/>
  <c r="J9" i="309"/>
  <c r="I9" i="309"/>
  <c r="H9" i="309"/>
  <c r="G9" i="309"/>
  <c r="E9" i="309"/>
  <c r="C9" i="309"/>
  <c r="B9" i="309"/>
  <c r="AB8" i="309"/>
  <c r="AA8" i="309"/>
  <c r="Z8" i="309"/>
  <c r="Y8" i="309"/>
  <c r="X8" i="309"/>
  <c r="V8" i="309"/>
  <c r="R8" i="309"/>
  <c r="Q8" i="309"/>
  <c r="N8" i="309"/>
  <c r="J8" i="309"/>
  <c r="I8" i="309"/>
  <c r="H8" i="309"/>
  <c r="G8" i="309"/>
  <c r="E8" i="309"/>
  <c r="D8" i="309"/>
  <c r="C8" i="309"/>
  <c r="B8" i="309"/>
  <c r="AB7" i="309"/>
  <c r="AA7" i="309"/>
  <c r="Z7" i="309"/>
  <c r="Y7" i="309"/>
  <c r="X7" i="309"/>
  <c r="V7" i="309"/>
  <c r="R7" i="309"/>
  <c r="Q7" i="309"/>
  <c r="J7" i="309"/>
  <c r="I7" i="309"/>
  <c r="H7" i="309"/>
  <c r="E7" i="309"/>
  <c r="C7" i="309"/>
  <c r="B7" i="309"/>
  <c r="AB6" i="309"/>
  <c r="Z6" i="309"/>
  <c r="Y6" i="309"/>
  <c r="X6" i="309"/>
  <c r="W6" i="309"/>
  <c r="V6" i="309"/>
  <c r="R6" i="309"/>
  <c r="Q6" i="309"/>
  <c r="J6" i="309"/>
  <c r="I6" i="309"/>
  <c r="H6" i="309"/>
  <c r="G6" i="309"/>
  <c r="E6" i="309"/>
  <c r="C6" i="309"/>
  <c r="B6" i="309"/>
  <c r="A6" i="309"/>
  <c r="A7" i="309" s="1"/>
  <c r="A8" i="309" s="1"/>
  <c r="A9" i="309" s="1"/>
  <c r="A10" i="309" s="1"/>
  <c r="A11" i="309" s="1"/>
  <c r="A12" i="309" s="1"/>
  <c r="A13" i="309" s="1"/>
  <c r="A14" i="309" s="1"/>
  <c r="A15" i="309" s="1"/>
  <c r="A16" i="309" s="1"/>
  <c r="A17" i="309" s="1"/>
  <c r="A18" i="309" s="1"/>
  <c r="A19" i="309" s="1"/>
  <c r="A20" i="309" s="1"/>
  <c r="A21" i="309" s="1"/>
  <c r="A22" i="309" s="1"/>
  <c r="A23" i="309" s="1"/>
  <c r="A24" i="309" s="1"/>
  <c r="A25" i="309" s="1"/>
  <c r="A26" i="309" s="1"/>
  <c r="A27" i="309" s="1"/>
  <c r="A28" i="309" s="1"/>
  <c r="A29" i="309" s="1"/>
  <c r="A30" i="309" s="1"/>
  <c r="A31" i="309" s="1"/>
  <c r="A32" i="309" s="1"/>
  <c r="A33" i="309" s="1"/>
  <c r="A34" i="309" s="1"/>
  <c r="A35" i="309" s="1"/>
  <c r="A36" i="309" s="1"/>
  <c r="A37" i="309" s="1"/>
  <c r="A38" i="309" s="1"/>
  <c r="A39" i="309" s="1"/>
  <c r="A40" i="309" s="1"/>
  <c r="A41" i="309" s="1"/>
  <c r="A42" i="309" s="1"/>
  <c r="A43" i="309" s="1"/>
  <c r="A44" i="309" s="1"/>
  <c r="A45" i="309" s="1"/>
  <c r="A46" i="309" s="1"/>
  <c r="A47" i="309" s="1"/>
  <c r="A48" i="309" s="1"/>
  <c r="A49" i="309" s="1"/>
  <c r="A50" i="309" s="1"/>
  <c r="A51" i="309" s="1"/>
  <c r="A52" i="309" s="1"/>
  <c r="A53" i="309" s="1"/>
  <c r="A54" i="309" s="1"/>
  <c r="A55" i="309" s="1"/>
  <c r="A56" i="309" s="1"/>
  <c r="A57" i="309" s="1"/>
  <c r="A58" i="309" s="1"/>
  <c r="A59" i="309" s="1"/>
  <c r="A60" i="309" s="1"/>
  <c r="A61" i="309" s="1"/>
  <c r="A62" i="309" s="1"/>
  <c r="A63" i="309" s="1"/>
  <c r="A64" i="309" s="1"/>
  <c r="A65" i="309" s="1"/>
  <c r="A66" i="309" s="1"/>
  <c r="A67" i="309" s="1"/>
  <c r="A68" i="309" s="1"/>
  <c r="A69" i="309" s="1"/>
  <c r="A70" i="309" s="1"/>
  <c r="A71" i="309" s="1"/>
  <c r="A72" i="309" s="1"/>
  <c r="A73" i="309" s="1"/>
  <c r="A74" i="309" s="1"/>
  <c r="A75" i="309" s="1"/>
  <c r="A76" i="309" s="1"/>
  <c r="A77" i="309" s="1"/>
  <c r="A78" i="309" s="1"/>
  <c r="A79" i="309" s="1"/>
  <c r="A80" i="309" s="1"/>
  <c r="A81" i="309" s="1"/>
  <c r="A82" i="309" s="1"/>
  <c r="A83" i="309" s="1"/>
  <c r="A84" i="309" s="1"/>
  <c r="A85" i="309" s="1"/>
  <c r="A86" i="309" s="1"/>
  <c r="A87" i="309" s="1"/>
  <c r="A88" i="309" s="1"/>
  <c r="A89" i="309" s="1"/>
  <c r="A90" i="309" s="1"/>
  <c r="A91" i="309" s="1"/>
  <c r="A92" i="309" s="1"/>
  <c r="A93" i="309" s="1"/>
  <c r="A94" i="309" s="1"/>
  <c r="A95" i="309" s="1"/>
  <c r="A96" i="309" s="1"/>
  <c r="A97" i="309" s="1"/>
  <c r="A98" i="309" s="1"/>
  <c r="A99" i="309" s="1"/>
  <c r="A100" i="309" s="1"/>
  <c r="A101" i="309" s="1"/>
  <c r="A102" i="309" s="1"/>
  <c r="A103" i="309" s="1"/>
  <c r="A104" i="309" s="1"/>
  <c r="A105" i="309" s="1"/>
  <c r="A106" i="309" s="1"/>
  <c r="A107" i="309" s="1"/>
  <c r="A108" i="309" s="1"/>
  <c r="A109" i="309" s="1"/>
  <c r="A110" i="309" s="1"/>
  <c r="A111" i="309" s="1"/>
  <c r="A112" i="309" s="1"/>
  <c r="A113" i="309" s="1"/>
  <c r="A114" i="309" s="1"/>
  <c r="A115" i="309" s="1"/>
  <c r="A116" i="309" s="1"/>
  <c r="A117" i="309" s="1"/>
  <c r="A118" i="309" s="1"/>
  <c r="A119" i="309" s="1"/>
  <c r="A120" i="309" s="1"/>
  <c r="A121" i="309" s="1"/>
  <c r="A122" i="309" s="1"/>
  <c r="A123" i="309" s="1"/>
  <c r="A124" i="309" s="1"/>
  <c r="A125" i="309" s="1"/>
  <c r="A126" i="309" s="1"/>
  <c r="A127" i="309" s="1"/>
  <c r="AB5" i="309"/>
  <c r="AA5" i="309"/>
  <c r="Z5" i="309"/>
  <c r="Z127" i="309" s="1"/>
  <c r="Y5" i="309"/>
  <c r="Y127" i="309" s="1"/>
  <c r="X5" i="309"/>
  <c r="W5" i="309"/>
  <c r="R5" i="309"/>
  <c r="Q5" i="309"/>
  <c r="N5" i="309"/>
  <c r="J5" i="309"/>
  <c r="J127" i="309" s="1"/>
  <c r="I5" i="309"/>
  <c r="I127" i="309" s="1"/>
  <c r="H5" i="309"/>
  <c r="G5" i="309"/>
  <c r="E5" i="309"/>
  <c r="C5" i="309"/>
  <c r="B5" i="309"/>
  <c r="Z127" i="275"/>
  <c r="Y127" i="275"/>
  <c r="X127" i="275"/>
  <c r="J127" i="275"/>
  <c r="I127" i="275"/>
  <c r="H127" i="275"/>
  <c r="N126" i="275"/>
  <c r="U126" i="275" s="1"/>
  <c r="F126" i="275"/>
  <c r="U125" i="275"/>
  <c r="U11" i="300" s="1"/>
  <c r="O125" i="275"/>
  <c r="N125" i="275"/>
  <c r="N125" i="309" s="1"/>
  <c r="D125" i="275"/>
  <c r="U124" i="275"/>
  <c r="U107" i="300" s="1"/>
  <c r="O124" i="275"/>
  <c r="F124" i="275"/>
  <c r="U123" i="275"/>
  <c r="U100" i="300" s="1"/>
  <c r="O123" i="275"/>
  <c r="N123" i="275"/>
  <c r="F123" i="275"/>
  <c r="N122" i="275"/>
  <c r="U122" i="275" s="1"/>
  <c r="F122" i="275"/>
  <c r="U121" i="275"/>
  <c r="U102" i="300" s="1"/>
  <c r="O121" i="275"/>
  <c r="N121" i="275"/>
  <c r="F121" i="275"/>
  <c r="W120" i="275"/>
  <c r="U120" i="275"/>
  <c r="U101" i="300" s="1"/>
  <c r="O120" i="275"/>
  <c r="F120" i="275"/>
  <c r="S119" i="275"/>
  <c r="P119" i="275"/>
  <c r="F119" i="275"/>
  <c r="S118" i="275"/>
  <c r="P118" i="275"/>
  <c r="M118" i="275" s="1"/>
  <c r="N118" i="275"/>
  <c r="F118" i="275"/>
  <c r="S117" i="275"/>
  <c r="P117" i="275"/>
  <c r="N117" i="275"/>
  <c r="D117" i="275"/>
  <c r="O117" i="275" s="1"/>
  <c r="S116" i="275"/>
  <c r="N116" i="275"/>
  <c r="K116" i="275"/>
  <c r="F116" i="275"/>
  <c r="D116" i="275"/>
  <c r="S115" i="275"/>
  <c r="P115" i="275"/>
  <c r="N115" i="275"/>
  <c r="F115" i="275"/>
  <c r="S114" i="275"/>
  <c r="P114" i="275"/>
  <c r="P114" i="309" s="1"/>
  <c r="F114" i="275"/>
  <c r="D114" i="275"/>
  <c r="D95" i="300" s="1"/>
  <c r="S113" i="275"/>
  <c r="K113" i="275"/>
  <c r="F113" i="275"/>
  <c r="S112" i="275"/>
  <c r="P112" i="275"/>
  <c r="P60" i="300" s="1"/>
  <c r="M112" i="275"/>
  <c r="M112" i="309" s="1"/>
  <c r="F112" i="275"/>
  <c r="S111" i="275"/>
  <c r="P111" i="275"/>
  <c r="P59" i="300" s="1"/>
  <c r="F111" i="275"/>
  <c r="F111" i="309" s="1"/>
  <c r="AA110" i="275"/>
  <c r="AA110" i="309" s="1"/>
  <c r="S110" i="275"/>
  <c r="S110" i="309" s="1"/>
  <c r="P110" i="275"/>
  <c r="P58" i="300" s="1"/>
  <c r="N110" i="275"/>
  <c r="M110" i="275"/>
  <c r="M58" i="300" s="1"/>
  <c r="D110" i="275"/>
  <c r="D58" i="300" s="1"/>
  <c r="S109" i="275"/>
  <c r="P109" i="275"/>
  <c r="F109" i="275"/>
  <c r="S108" i="275"/>
  <c r="P108" i="275"/>
  <c r="P56" i="300" s="1"/>
  <c r="F108" i="275"/>
  <c r="S107" i="275"/>
  <c r="P107" i="275"/>
  <c r="P25" i="300" s="1"/>
  <c r="N107" i="275"/>
  <c r="D107" i="275"/>
  <c r="D25" i="300" s="1"/>
  <c r="S106" i="275"/>
  <c r="P106" i="275"/>
  <c r="P10" i="300" s="1"/>
  <c r="F106" i="275"/>
  <c r="F106" i="309" s="1"/>
  <c r="S105" i="275"/>
  <c r="P105" i="275"/>
  <c r="P130" i="300" s="1"/>
  <c r="M105" i="275"/>
  <c r="M130" i="300" s="1"/>
  <c r="F105" i="275"/>
  <c r="S104" i="275"/>
  <c r="P104" i="275"/>
  <c r="P110" i="300" s="1"/>
  <c r="N104" i="275"/>
  <c r="F104" i="275"/>
  <c r="S103" i="275"/>
  <c r="S103" i="309" s="1"/>
  <c r="P103" i="275"/>
  <c r="P9" i="300" s="1"/>
  <c r="N103" i="275"/>
  <c r="M103" i="275"/>
  <c r="M9" i="300" s="1"/>
  <c r="F103" i="275"/>
  <c r="S102" i="275"/>
  <c r="S102" i="309" s="1"/>
  <c r="N102" i="275"/>
  <c r="K102" i="275"/>
  <c r="K102" i="309" s="1"/>
  <c r="F102" i="275"/>
  <c r="U101" i="275"/>
  <c r="U55" i="300" s="1"/>
  <c r="L101" i="275"/>
  <c r="L55" i="300" s="1"/>
  <c r="K101" i="275"/>
  <c r="D101" i="275"/>
  <c r="D55" i="300" s="1"/>
  <c r="U100" i="275"/>
  <c r="U23" i="300" s="1"/>
  <c r="R100" i="275"/>
  <c r="K100" i="275"/>
  <c r="F100" i="275"/>
  <c r="U99" i="275"/>
  <c r="V99" i="275" s="1"/>
  <c r="L99" i="275"/>
  <c r="L94" i="300" s="1"/>
  <c r="K99" i="275"/>
  <c r="D99" i="275"/>
  <c r="D94" i="300" s="1"/>
  <c r="S98" i="275"/>
  <c r="L98" i="275"/>
  <c r="L104" i="300" s="1"/>
  <c r="K98" i="275"/>
  <c r="G98" i="275"/>
  <c r="P98" i="275" s="1"/>
  <c r="F98" i="275"/>
  <c r="S97" i="275"/>
  <c r="L97" i="275"/>
  <c r="L93" i="300" s="1"/>
  <c r="K97" i="275"/>
  <c r="G97" i="275"/>
  <c r="P97" i="275" s="1"/>
  <c r="F97" i="275"/>
  <c r="F97" i="309" s="1"/>
  <c r="S96" i="275"/>
  <c r="L96" i="275"/>
  <c r="L109" i="300" s="1"/>
  <c r="L111" i="300" s="1"/>
  <c r="K96" i="275"/>
  <c r="F96" i="275"/>
  <c r="S95" i="275"/>
  <c r="K95" i="275"/>
  <c r="F95" i="275"/>
  <c r="S94" i="275"/>
  <c r="K94" i="275"/>
  <c r="F94" i="275"/>
  <c r="S93" i="275"/>
  <c r="S93" i="309" s="1"/>
  <c r="K93" i="275"/>
  <c r="K93" i="309" s="1"/>
  <c r="F93" i="275"/>
  <c r="S92" i="275"/>
  <c r="S92" i="309" s="1"/>
  <c r="L92" i="275"/>
  <c r="L92" i="300" s="1"/>
  <c r="K92" i="275"/>
  <c r="K92" i="309" s="1"/>
  <c r="F92" i="275"/>
  <c r="S91" i="275"/>
  <c r="K91" i="275"/>
  <c r="F91" i="275"/>
  <c r="S90" i="275"/>
  <c r="N90" i="275"/>
  <c r="K90" i="275"/>
  <c r="F90" i="275"/>
  <c r="S89" i="275"/>
  <c r="K89" i="275"/>
  <c r="F89" i="275"/>
  <c r="S88" i="275"/>
  <c r="K88" i="275"/>
  <c r="L88" i="275" s="1"/>
  <c r="F88" i="275"/>
  <c r="S87" i="275"/>
  <c r="N87" i="275"/>
  <c r="N87" i="309" s="1"/>
  <c r="K87" i="275"/>
  <c r="L87" i="275" s="1"/>
  <c r="F87" i="275"/>
  <c r="F87" i="309" s="1"/>
  <c r="S86" i="275"/>
  <c r="S86" i="309" s="1"/>
  <c r="L86" i="275"/>
  <c r="L88" i="300" s="1"/>
  <c r="K86" i="275"/>
  <c r="K86" i="309" s="1"/>
  <c r="F86" i="275"/>
  <c r="S85" i="275"/>
  <c r="N85" i="275"/>
  <c r="L85" i="275"/>
  <c r="L85" i="309" s="1"/>
  <c r="K85" i="275"/>
  <c r="D85" i="275"/>
  <c r="D87" i="300" s="1"/>
  <c r="S84" i="275"/>
  <c r="N84" i="275"/>
  <c r="K84" i="275"/>
  <c r="L84" i="275" s="1"/>
  <c r="D84" i="275"/>
  <c r="D137" i="300" s="1"/>
  <c r="S83" i="275"/>
  <c r="K83" i="275"/>
  <c r="L83" i="275" s="1"/>
  <c r="F83" i="275"/>
  <c r="S82" i="275"/>
  <c r="L82" i="275"/>
  <c r="L86" i="300" s="1"/>
  <c r="K82" i="275"/>
  <c r="E82" i="275"/>
  <c r="E82" i="309" s="1"/>
  <c r="D82" i="275"/>
  <c r="D86" i="300" s="1"/>
  <c r="R81" i="275"/>
  <c r="R81" i="309" s="1"/>
  <c r="K81" i="275"/>
  <c r="G81" i="275"/>
  <c r="E81" i="275"/>
  <c r="E85" i="300" s="1"/>
  <c r="S80" i="275"/>
  <c r="N80" i="275"/>
  <c r="N80" i="309" s="1"/>
  <c r="L80" i="275"/>
  <c r="L40" i="300" s="1"/>
  <c r="K80" i="275"/>
  <c r="D80" i="275"/>
  <c r="D40" i="300" s="1"/>
  <c r="S79" i="275"/>
  <c r="S79" i="309" s="1"/>
  <c r="L79" i="275"/>
  <c r="L21" i="300" s="1"/>
  <c r="K79" i="275"/>
  <c r="K79" i="309" s="1"/>
  <c r="F79" i="275"/>
  <c r="S78" i="275"/>
  <c r="S78" i="309" s="1"/>
  <c r="K78" i="275"/>
  <c r="K78" i="309" s="1"/>
  <c r="F78" i="275"/>
  <c r="S77" i="275"/>
  <c r="N77" i="275"/>
  <c r="K77" i="275"/>
  <c r="D77" i="275"/>
  <c r="D38" i="300" s="1"/>
  <c r="R76" i="275"/>
  <c r="L76" i="275"/>
  <c r="K76" i="275"/>
  <c r="G76" i="275"/>
  <c r="P76" i="275" s="1"/>
  <c r="F76" i="275"/>
  <c r="S75" i="275"/>
  <c r="S75" i="309" s="1"/>
  <c r="N75" i="275"/>
  <c r="K75" i="275"/>
  <c r="K75" i="309" s="1"/>
  <c r="F75" i="275"/>
  <c r="S74" i="275"/>
  <c r="N74" i="275"/>
  <c r="K74" i="275"/>
  <c r="L74" i="275" s="1"/>
  <c r="F74" i="275"/>
  <c r="S73" i="275"/>
  <c r="N73" i="275"/>
  <c r="K73" i="275"/>
  <c r="L73" i="275" s="1"/>
  <c r="F73" i="275"/>
  <c r="S72" i="275"/>
  <c r="N72" i="275"/>
  <c r="K72" i="275"/>
  <c r="L72" i="275" s="1"/>
  <c r="F72" i="275"/>
  <c r="S71" i="275"/>
  <c r="L71" i="275"/>
  <c r="K71" i="275"/>
  <c r="F71" i="275"/>
  <c r="S70" i="275"/>
  <c r="K70" i="275"/>
  <c r="F70" i="275"/>
  <c r="F70" i="309" s="1"/>
  <c r="S69" i="275"/>
  <c r="S69" i="309" s="1"/>
  <c r="K69" i="275"/>
  <c r="K69" i="309" s="1"/>
  <c r="F69" i="275"/>
  <c r="S68" i="275"/>
  <c r="K68" i="275"/>
  <c r="L68" i="275" s="1"/>
  <c r="F68" i="275"/>
  <c r="S67" i="275"/>
  <c r="N67" i="275"/>
  <c r="K67" i="275"/>
  <c r="L67" i="275" s="1"/>
  <c r="D67" i="275"/>
  <c r="D136" i="300" s="1"/>
  <c r="S66" i="275"/>
  <c r="N66" i="275"/>
  <c r="K66" i="275"/>
  <c r="F66" i="275"/>
  <c r="S65" i="275"/>
  <c r="K65" i="275"/>
  <c r="L65" i="275" s="1"/>
  <c r="F65" i="275"/>
  <c r="S64" i="275"/>
  <c r="L64" i="275"/>
  <c r="L135" i="300" s="1"/>
  <c r="K64" i="275"/>
  <c r="F64" i="275"/>
  <c r="S63" i="275"/>
  <c r="N63" i="275"/>
  <c r="N63" i="309" s="1"/>
  <c r="L63" i="275"/>
  <c r="L5" i="300" s="1"/>
  <c r="L6" i="300" s="1"/>
  <c r="K63" i="275"/>
  <c r="D63" i="275"/>
  <c r="D5" i="300" s="1"/>
  <c r="D6" i="300" s="1"/>
  <c r="S62" i="275"/>
  <c r="N62" i="275"/>
  <c r="K62" i="275"/>
  <c r="L62" i="275" s="1"/>
  <c r="D62" i="275"/>
  <c r="D7" i="300" s="1"/>
  <c r="S61" i="275"/>
  <c r="S61" i="309" s="1"/>
  <c r="K61" i="275"/>
  <c r="K61" i="309" s="1"/>
  <c r="F61" i="275"/>
  <c r="S60" i="275"/>
  <c r="L60" i="275"/>
  <c r="L134" i="300" s="1"/>
  <c r="K60" i="275"/>
  <c r="D60" i="275"/>
  <c r="D134" i="300" s="1"/>
  <c r="S59" i="275"/>
  <c r="L59" i="275"/>
  <c r="L82" i="300" s="1"/>
  <c r="K59" i="275"/>
  <c r="F59" i="275"/>
  <c r="S58" i="275"/>
  <c r="K58" i="275"/>
  <c r="F58" i="275"/>
  <c r="S57" i="275"/>
  <c r="K57" i="275"/>
  <c r="F57" i="275"/>
  <c r="F57" i="309" s="1"/>
  <c r="S56" i="275"/>
  <c r="K56" i="275"/>
  <c r="L56" i="275" s="1"/>
  <c r="F56" i="275"/>
  <c r="F56" i="309" s="1"/>
  <c r="S55" i="275"/>
  <c r="S55" i="309" s="1"/>
  <c r="L55" i="275"/>
  <c r="L46" i="300" s="1"/>
  <c r="K55" i="275"/>
  <c r="K55" i="309" s="1"/>
  <c r="F55" i="275"/>
  <c r="S54" i="275"/>
  <c r="K54" i="275"/>
  <c r="F54" i="275"/>
  <c r="S53" i="275"/>
  <c r="N53" i="275"/>
  <c r="N53" i="309" s="1"/>
  <c r="K53" i="275"/>
  <c r="D53" i="275"/>
  <c r="D44" i="300" s="1"/>
  <c r="S52" i="275"/>
  <c r="N52" i="275"/>
  <c r="L52" i="275"/>
  <c r="L103" i="300" s="1"/>
  <c r="K52" i="275"/>
  <c r="D52" i="275"/>
  <c r="D103" i="300" s="1"/>
  <c r="S51" i="275"/>
  <c r="S51" i="309" s="1"/>
  <c r="L51" i="275"/>
  <c r="L63" i="300" s="1"/>
  <c r="L64" i="300" s="1"/>
  <c r="K51" i="275"/>
  <c r="K51" i="309" s="1"/>
  <c r="F51" i="275"/>
  <c r="S50" i="275"/>
  <c r="N50" i="275"/>
  <c r="L50" i="275"/>
  <c r="L80" i="300" s="1"/>
  <c r="K50" i="275"/>
  <c r="F50" i="275"/>
  <c r="S49" i="275"/>
  <c r="N49" i="275"/>
  <c r="L49" i="275"/>
  <c r="L127" i="300" s="1"/>
  <c r="K49" i="275"/>
  <c r="F49" i="275"/>
  <c r="R48" i="275"/>
  <c r="Q48" i="275"/>
  <c r="Q79" i="300" s="1"/>
  <c r="N48" i="275"/>
  <c r="K48" i="275"/>
  <c r="G48" i="275"/>
  <c r="F48" i="275"/>
  <c r="S47" i="275"/>
  <c r="K47" i="275"/>
  <c r="F47" i="275"/>
  <c r="F47" i="309" s="1"/>
  <c r="S46" i="275"/>
  <c r="S46" i="309" s="1"/>
  <c r="K46" i="275"/>
  <c r="K46" i="309" s="1"/>
  <c r="F46" i="275"/>
  <c r="S45" i="275"/>
  <c r="L45" i="275"/>
  <c r="K45" i="275"/>
  <c r="F45" i="275"/>
  <c r="S44" i="275"/>
  <c r="N44" i="275"/>
  <c r="L44" i="275"/>
  <c r="L19" i="300" s="1"/>
  <c r="K44" i="275"/>
  <c r="F44" i="275"/>
  <c r="S43" i="275"/>
  <c r="K43" i="275"/>
  <c r="F43" i="275"/>
  <c r="S42" i="275"/>
  <c r="K42" i="275"/>
  <c r="F42" i="275"/>
  <c r="S41" i="275"/>
  <c r="K41" i="275"/>
  <c r="L41" i="275" s="1"/>
  <c r="F41" i="275"/>
  <c r="S40" i="275"/>
  <c r="L40" i="275"/>
  <c r="L126" i="300" s="1"/>
  <c r="K40" i="275"/>
  <c r="F40" i="275"/>
  <c r="S39" i="275"/>
  <c r="K39" i="275"/>
  <c r="F39" i="275"/>
  <c r="S38" i="275"/>
  <c r="S38" i="309" s="1"/>
  <c r="K38" i="275"/>
  <c r="K38" i="309" s="1"/>
  <c r="F38" i="275"/>
  <c r="S37" i="275"/>
  <c r="K37" i="275"/>
  <c r="L37" i="275" s="1"/>
  <c r="F37" i="275"/>
  <c r="S36" i="275"/>
  <c r="S36" i="309" s="1"/>
  <c r="N36" i="275"/>
  <c r="K36" i="275"/>
  <c r="K36" i="309" s="1"/>
  <c r="F36" i="275"/>
  <c r="S35" i="275"/>
  <c r="L35" i="275"/>
  <c r="L74" i="300" s="1"/>
  <c r="K35" i="275"/>
  <c r="F35" i="275"/>
  <c r="F35" i="309" s="1"/>
  <c r="S34" i="275"/>
  <c r="N34" i="275"/>
  <c r="L34" i="275"/>
  <c r="L124" i="300" s="1"/>
  <c r="K34" i="275"/>
  <c r="D34" i="275"/>
  <c r="D124" i="300" s="1"/>
  <c r="S33" i="275"/>
  <c r="S33" i="309" s="1"/>
  <c r="N33" i="275"/>
  <c r="K33" i="275"/>
  <c r="K33" i="309" s="1"/>
  <c r="F33" i="275"/>
  <c r="S32" i="275"/>
  <c r="N32" i="275"/>
  <c r="K32" i="275"/>
  <c r="L32" i="275" s="1"/>
  <c r="F32" i="275"/>
  <c r="S31" i="275"/>
  <c r="N31" i="275"/>
  <c r="K31" i="275"/>
  <c r="L31" i="275" s="1"/>
  <c r="D31" i="275"/>
  <c r="D123" i="300" s="1"/>
  <c r="S30" i="275"/>
  <c r="K30" i="275"/>
  <c r="L30" i="275" s="1"/>
  <c r="F30" i="275"/>
  <c r="S29" i="275"/>
  <c r="L29" i="275"/>
  <c r="L29" i="309" s="1"/>
  <c r="K29" i="275"/>
  <c r="D29" i="275"/>
  <c r="S28" i="275"/>
  <c r="S28" i="309" s="1"/>
  <c r="N28" i="275"/>
  <c r="K28" i="275"/>
  <c r="K28" i="309" s="1"/>
  <c r="D28" i="275"/>
  <c r="D18" i="300" s="1"/>
  <c r="S27" i="275"/>
  <c r="K27" i="275"/>
  <c r="L27" i="275" s="1"/>
  <c r="D27" i="275"/>
  <c r="D122" i="300" s="1"/>
  <c r="S26" i="275"/>
  <c r="K26" i="275"/>
  <c r="L26" i="275" s="1"/>
  <c r="F26" i="275"/>
  <c r="F26" i="309" s="1"/>
  <c r="S25" i="275"/>
  <c r="L25" i="275"/>
  <c r="L117" i="300" s="1"/>
  <c r="K25" i="275"/>
  <c r="F25" i="275"/>
  <c r="V24" i="275"/>
  <c r="S24" i="275"/>
  <c r="S24" i="309" s="1"/>
  <c r="L24" i="275"/>
  <c r="L69" i="300" s="1"/>
  <c r="K24" i="275"/>
  <c r="K24" i="309" s="1"/>
  <c r="F24" i="275"/>
  <c r="S23" i="275"/>
  <c r="K23" i="275"/>
  <c r="K42" i="300" s="1"/>
  <c r="F23" i="275"/>
  <c r="S22" i="275"/>
  <c r="S34" i="300" s="1"/>
  <c r="N22" i="275"/>
  <c r="K22" i="275"/>
  <c r="K34" i="300" s="1"/>
  <c r="D22" i="275"/>
  <c r="D34" i="300" s="1"/>
  <c r="S21" i="275"/>
  <c r="S12" i="300" s="1"/>
  <c r="N21" i="275"/>
  <c r="L21" i="275"/>
  <c r="L12" i="300" s="1"/>
  <c r="K21" i="275"/>
  <c r="K12" i="300" s="1"/>
  <c r="F21" i="275"/>
  <c r="R20" i="275"/>
  <c r="Q20" i="275"/>
  <c r="Q121" i="300" s="1"/>
  <c r="N20" i="275"/>
  <c r="K20" i="275"/>
  <c r="K121" i="300" s="1"/>
  <c r="F20" i="275"/>
  <c r="D20" i="275"/>
  <c r="D121" i="300" s="1"/>
  <c r="S19" i="275"/>
  <c r="S19" i="309" s="1"/>
  <c r="N19" i="275"/>
  <c r="K19" i="275"/>
  <c r="K19" i="309" s="1"/>
  <c r="D19" i="275"/>
  <c r="D33" i="300" s="1"/>
  <c r="S18" i="275"/>
  <c r="S32" i="300" s="1"/>
  <c r="K18" i="275"/>
  <c r="K32" i="300" s="1"/>
  <c r="F18" i="275"/>
  <c r="F32" i="300" s="1"/>
  <c r="S17" i="275"/>
  <c r="S17" i="300" s="1"/>
  <c r="K17" i="275"/>
  <c r="K17" i="300" s="1"/>
  <c r="F17" i="275"/>
  <c r="F17" i="300" s="1"/>
  <c r="D17" i="275"/>
  <c r="D17" i="300" s="1"/>
  <c r="S16" i="275"/>
  <c r="S68" i="300" s="1"/>
  <c r="N16" i="275"/>
  <c r="N68" i="300" s="1"/>
  <c r="K16" i="275"/>
  <c r="K68" i="300" s="1"/>
  <c r="F16" i="275"/>
  <c r="F68" i="300" s="1"/>
  <c r="S15" i="275"/>
  <c r="S113" i="300" s="1"/>
  <c r="K15" i="275"/>
  <c r="K113" i="300" s="1"/>
  <c r="F15" i="275"/>
  <c r="F113" i="300" s="1"/>
  <c r="D15" i="275"/>
  <c r="D113" i="300" s="1"/>
  <c r="S14" i="275"/>
  <c r="S133" i="300" s="1"/>
  <c r="K14" i="275"/>
  <c r="K133" i="300" s="1"/>
  <c r="F14" i="275"/>
  <c r="F133" i="300" s="1"/>
  <c r="S13" i="275"/>
  <c r="S132" i="300" s="1"/>
  <c r="K13" i="275"/>
  <c r="K132" i="300" s="1"/>
  <c r="G13" i="275"/>
  <c r="G132" i="300" s="1"/>
  <c r="G140" i="300" s="1"/>
  <c r="F13" i="275"/>
  <c r="F132" i="300" s="1"/>
  <c r="D13" i="275"/>
  <c r="D132" i="300" s="1"/>
  <c r="D140" i="300" s="1"/>
  <c r="S12" i="275"/>
  <c r="S120" i="300" s="1"/>
  <c r="K12" i="275"/>
  <c r="K120" i="300" s="1"/>
  <c r="F12" i="275"/>
  <c r="F120" i="300" s="1"/>
  <c r="S11" i="275"/>
  <c r="S31" i="300" s="1"/>
  <c r="N11" i="275"/>
  <c r="N11" i="309" s="1"/>
  <c r="K11" i="275"/>
  <c r="K31" i="300" s="1"/>
  <c r="F11" i="275"/>
  <c r="F11" i="309" s="1"/>
  <c r="D11" i="275"/>
  <c r="D31" i="300" s="1"/>
  <c r="S10" i="275"/>
  <c r="S10" i="309" s="1"/>
  <c r="K10" i="275"/>
  <c r="K30" i="300" s="1"/>
  <c r="F10" i="275"/>
  <c r="F30" i="300" s="1"/>
  <c r="D10" i="275"/>
  <c r="D30" i="300" s="1"/>
  <c r="S9" i="275"/>
  <c r="S29" i="300" s="1"/>
  <c r="N9" i="275"/>
  <c r="N29" i="300" s="1"/>
  <c r="AS29" i="300" s="1"/>
  <c r="K9" i="275"/>
  <c r="K29" i="300" s="1"/>
  <c r="D9" i="275"/>
  <c r="D29" i="300" s="1"/>
  <c r="S8" i="275"/>
  <c r="S116" i="300" s="1"/>
  <c r="K8" i="275"/>
  <c r="K116" i="300" s="1"/>
  <c r="F8" i="275"/>
  <c r="F116" i="300" s="1"/>
  <c r="S7" i="275"/>
  <c r="S7" i="309" s="1"/>
  <c r="N7" i="275"/>
  <c r="N14" i="300" s="1"/>
  <c r="K7" i="275"/>
  <c r="K7" i="309" s="1"/>
  <c r="G7" i="275"/>
  <c r="G7" i="309" s="1"/>
  <c r="D7" i="275"/>
  <c r="D14" i="300" s="1"/>
  <c r="D16" i="300" s="1"/>
  <c r="A7" i="275"/>
  <c r="A8" i="275" s="1"/>
  <c r="A9" i="275" s="1"/>
  <c r="A10" i="275" s="1"/>
  <c r="A11" i="275" s="1"/>
  <c r="A12" i="275" s="1"/>
  <c r="A13" i="275" s="1"/>
  <c r="A14" i="275" s="1"/>
  <c r="A15" i="275" s="1"/>
  <c r="A16" i="275" s="1"/>
  <c r="A17" i="275" s="1"/>
  <c r="A18" i="275" s="1"/>
  <c r="A19" i="275" s="1"/>
  <c r="A20" i="275" s="1"/>
  <c r="A21" i="275" s="1"/>
  <c r="A22" i="275" s="1"/>
  <c r="A23" i="275" s="1"/>
  <c r="A24" i="275" s="1"/>
  <c r="A25" i="275" s="1"/>
  <c r="A26" i="275" s="1"/>
  <c r="A27" i="275" s="1"/>
  <c r="A28" i="275" s="1"/>
  <c r="A29" i="275" s="1"/>
  <c r="A30" i="275" s="1"/>
  <c r="A31" i="275" s="1"/>
  <c r="A32" i="275" s="1"/>
  <c r="A33" i="275" s="1"/>
  <c r="A34" i="275" s="1"/>
  <c r="A35" i="275" s="1"/>
  <c r="A36" i="275" s="1"/>
  <c r="A37" i="275" s="1"/>
  <c r="A38" i="275" s="1"/>
  <c r="A39" i="275" s="1"/>
  <c r="A40" i="275" s="1"/>
  <c r="A41" i="275" s="1"/>
  <c r="A42" i="275" s="1"/>
  <c r="A43" i="275" s="1"/>
  <c r="A44" i="275" s="1"/>
  <c r="A45" i="275" s="1"/>
  <c r="A46" i="275" s="1"/>
  <c r="A47" i="275" s="1"/>
  <c r="A48" i="275" s="1"/>
  <c r="A49" i="275" s="1"/>
  <c r="A50" i="275" s="1"/>
  <c r="A51" i="275" s="1"/>
  <c r="A52" i="275" s="1"/>
  <c r="A53" i="275" s="1"/>
  <c r="A54" i="275" s="1"/>
  <c r="A55" i="275" s="1"/>
  <c r="A56" i="275" s="1"/>
  <c r="A57" i="275" s="1"/>
  <c r="A58" i="275" s="1"/>
  <c r="A59" i="275" s="1"/>
  <c r="A60" i="275" s="1"/>
  <c r="A61" i="275" s="1"/>
  <c r="A62" i="275" s="1"/>
  <c r="A63" i="275" s="1"/>
  <c r="A64" i="275" s="1"/>
  <c r="A65" i="275" s="1"/>
  <c r="A66" i="275" s="1"/>
  <c r="A67" i="275" s="1"/>
  <c r="A68" i="275" s="1"/>
  <c r="A69" i="275" s="1"/>
  <c r="A70" i="275" s="1"/>
  <c r="A71" i="275" s="1"/>
  <c r="A72" i="275" s="1"/>
  <c r="A73" i="275" s="1"/>
  <c r="A74" i="275" s="1"/>
  <c r="A75" i="275" s="1"/>
  <c r="A76" i="275" s="1"/>
  <c r="A77" i="275" s="1"/>
  <c r="A78" i="275" s="1"/>
  <c r="A79" i="275" s="1"/>
  <c r="A80" i="275" s="1"/>
  <c r="A81" i="275" s="1"/>
  <c r="A82" i="275" s="1"/>
  <c r="A83" i="275" s="1"/>
  <c r="A84" i="275" s="1"/>
  <c r="A85" i="275" s="1"/>
  <c r="A86" i="275" s="1"/>
  <c r="A87" i="275" s="1"/>
  <c r="A88" i="275" s="1"/>
  <c r="A89" i="275" s="1"/>
  <c r="A90" i="275" s="1"/>
  <c r="A91" i="275" s="1"/>
  <c r="A92" i="275" s="1"/>
  <c r="A93" i="275" s="1"/>
  <c r="A94" i="275" s="1"/>
  <c r="A95" i="275" s="1"/>
  <c r="A96" i="275" s="1"/>
  <c r="A97" i="275" s="1"/>
  <c r="A98" i="275" s="1"/>
  <c r="A99" i="275" s="1"/>
  <c r="A100" i="275" s="1"/>
  <c r="A101" i="275" s="1"/>
  <c r="A102" i="275" s="1"/>
  <c r="A103" i="275" s="1"/>
  <c r="A104" i="275" s="1"/>
  <c r="A105" i="275" s="1"/>
  <c r="A106" i="275" s="1"/>
  <c r="A107" i="275" s="1"/>
  <c r="A108" i="275" s="1"/>
  <c r="A109" i="275" s="1"/>
  <c r="A110" i="275" s="1"/>
  <c r="A111" i="275" s="1"/>
  <c r="A112" i="275" s="1"/>
  <c r="A113" i="275" s="1"/>
  <c r="A114" i="275" s="1"/>
  <c r="A115" i="275" s="1"/>
  <c r="A116" i="275" s="1"/>
  <c r="A117" i="275" s="1"/>
  <c r="A118" i="275" s="1"/>
  <c r="A119" i="275" s="1"/>
  <c r="A120" i="275" s="1"/>
  <c r="A121" i="275" s="1"/>
  <c r="A122" i="275" s="1"/>
  <c r="A123" i="275" s="1"/>
  <c r="A124" i="275" s="1"/>
  <c r="A125" i="275" s="1"/>
  <c r="A126" i="275" s="1"/>
  <c r="A127" i="275" s="1"/>
  <c r="F10" i="69" s="1"/>
  <c r="S6" i="275"/>
  <c r="S65" i="300" s="1"/>
  <c r="S67" i="300" s="1"/>
  <c r="N6" i="275"/>
  <c r="L6" i="275"/>
  <c r="L65" i="300" s="1"/>
  <c r="L67" i="300" s="1"/>
  <c r="K6" i="275"/>
  <c r="K65" i="300" s="1"/>
  <c r="K67" i="300" s="1"/>
  <c r="D6" i="275"/>
  <c r="D65" i="300" s="1"/>
  <c r="D67" i="300" s="1"/>
  <c r="A6" i="275"/>
  <c r="S5" i="275"/>
  <c r="S28" i="300" s="1"/>
  <c r="L5" i="275"/>
  <c r="L28" i="300" s="1"/>
  <c r="K5" i="275"/>
  <c r="K28" i="300" s="1"/>
  <c r="D5" i="275"/>
  <c r="D28" i="300" s="1"/>
  <c r="E14" i="160"/>
  <c r="AX151" i="299"/>
  <c r="AX150" i="299"/>
  <c r="BC136" i="299"/>
  <c r="BB136" i="299"/>
  <c r="BA136" i="299"/>
  <c r="AZ136" i="299"/>
  <c r="AY136" i="299"/>
  <c r="AX136" i="299"/>
  <c r="AW136" i="299"/>
  <c r="Y135" i="299"/>
  <c r="Q135" i="299"/>
  <c r="I135" i="299"/>
  <c r="E135" i="299"/>
  <c r="AC134" i="299"/>
  <c r="AB134" i="299"/>
  <c r="AA134" i="299"/>
  <c r="AA135" i="299" s="1"/>
  <c r="Z134" i="299"/>
  <c r="Z135" i="299" s="1"/>
  <c r="Y134" i="299"/>
  <c r="X134" i="299"/>
  <c r="X135" i="299" s="1"/>
  <c r="W134" i="299"/>
  <c r="W135" i="299" s="1"/>
  <c r="R134" i="299"/>
  <c r="R135" i="299" s="1"/>
  <c r="Q134" i="299"/>
  <c r="N134" i="299"/>
  <c r="N135" i="299" s="1"/>
  <c r="J134" i="299"/>
  <c r="J135" i="299" s="1"/>
  <c r="I134" i="299"/>
  <c r="H134" i="299"/>
  <c r="H135" i="299" s="1"/>
  <c r="G134" i="299"/>
  <c r="G135" i="299" s="1"/>
  <c r="E134" i="299"/>
  <c r="C134" i="299"/>
  <c r="B134" i="299"/>
  <c r="R133" i="299"/>
  <c r="J133" i="299"/>
  <c r="AC132" i="299"/>
  <c r="AB132" i="299"/>
  <c r="AA132" i="299"/>
  <c r="Y132" i="299"/>
  <c r="X132" i="299"/>
  <c r="V132" i="299"/>
  <c r="R132" i="299"/>
  <c r="Q132" i="299"/>
  <c r="J132" i="299"/>
  <c r="I132" i="299"/>
  <c r="H132" i="299"/>
  <c r="G132" i="299"/>
  <c r="E132" i="299"/>
  <c r="C132" i="299"/>
  <c r="B132" i="299"/>
  <c r="AC131" i="299"/>
  <c r="AB131" i="299"/>
  <c r="AA131" i="299"/>
  <c r="AA133" i="299" s="1"/>
  <c r="Z131" i="299"/>
  <c r="Y131" i="299"/>
  <c r="Y133" i="299" s="1"/>
  <c r="X131" i="299"/>
  <c r="X133" i="299" s="1"/>
  <c r="W131" i="299"/>
  <c r="R131" i="299"/>
  <c r="J131" i="299"/>
  <c r="I131" i="299"/>
  <c r="I133" i="299" s="1"/>
  <c r="H131" i="299"/>
  <c r="H133" i="299" s="1"/>
  <c r="G131" i="299"/>
  <c r="G133" i="299" s="1"/>
  <c r="E131" i="299"/>
  <c r="E133" i="299" s="1"/>
  <c r="D131" i="299"/>
  <c r="C131" i="299"/>
  <c r="B131" i="299"/>
  <c r="AC129" i="299"/>
  <c r="AB129" i="299"/>
  <c r="AA129" i="299"/>
  <c r="Z129" i="299"/>
  <c r="Y129" i="299"/>
  <c r="X129" i="299"/>
  <c r="W129" i="299"/>
  <c r="R129" i="299"/>
  <c r="Q129" i="299"/>
  <c r="N129" i="299"/>
  <c r="J129" i="299"/>
  <c r="I129" i="299"/>
  <c r="H129" i="299"/>
  <c r="G129" i="299"/>
  <c r="E129" i="299"/>
  <c r="D129" i="299"/>
  <c r="C129" i="299"/>
  <c r="B129" i="299"/>
  <c r="AC128" i="299"/>
  <c r="AB128" i="299"/>
  <c r="AA128" i="299"/>
  <c r="Z128" i="299"/>
  <c r="Y128" i="299"/>
  <c r="X128" i="299"/>
  <c r="X130" i="299" s="1"/>
  <c r="W128" i="299"/>
  <c r="R128" i="299"/>
  <c r="N128" i="299"/>
  <c r="J128" i="299"/>
  <c r="I128" i="299"/>
  <c r="H128" i="299"/>
  <c r="H130" i="299" s="1"/>
  <c r="G128" i="299"/>
  <c r="E128" i="299"/>
  <c r="D128" i="299"/>
  <c r="D130" i="299" s="1"/>
  <c r="C128" i="299"/>
  <c r="B128" i="299"/>
  <c r="AC127" i="299"/>
  <c r="AB127" i="299"/>
  <c r="AA127" i="299"/>
  <c r="Z127" i="299"/>
  <c r="Y127" i="299"/>
  <c r="X127" i="299"/>
  <c r="W127" i="299"/>
  <c r="R127" i="299"/>
  <c r="N127" i="299"/>
  <c r="J127" i="299"/>
  <c r="I127" i="299"/>
  <c r="H127" i="299"/>
  <c r="G127" i="299"/>
  <c r="E127" i="299"/>
  <c r="D127" i="299"/>
  <c r="C127" i="299"/>
  <c r="B127" i="299"/>
  <c r="AC126" i="299"/>
  <c r="AB126" i="299"/>
  <c r="AA126" i="299"/>
  <c r="Z126" i="299"/>
  <c r="Y126" i="299"/>
  <c r="X126" i="299"/>
  <c r="W126" i="299"/>
  <c r="R126" i="299"/>
  <c r="Q126" i="299"/>
  <c r="N126" i="299"/>
  <c r="J126" i="299"/>
  <c r="I126" i="299"/>
  <c r="H126" i="299"/>
  <c r="G126" i="299"/>
  <c r="E126" i="299"/>
  <c r="D126" i="299"/>
  <c r="C126" i="299"/>
  <c r="B126" i="299"/>
  <c r="AC125" i="299"/>
  <c r="AB125" i="299"/>
  <c r="AA125" i="299"/>
  <c r="AA130" i="299" s="1"/>
  <c r="Z125" i="299"/>
  <c r="Z130" i="299" s="1"/>
  <c r="Y125" i="299"/>
  <c r="Y130" i="299" s="1"/>
  <c r="X125" i="299"/>
  <c r="W125" i="299"/>
  <c r="W130" i="299" s="1"/>
  <c r="R125" i="299"/>
  <c r="R130" i="299" s="1"/>
  <c r="Q125" i="299"/>
  <c r="N125" i="299"/>
  <c r="N130" i="299" s="1"/>
  <c r="J125" i="299"/>
  <c r="J130" i="299" s="1"/>
  <c r="I125" i="299"/>
  <c r="I130" i="299" s="1"/>
  <c r="H125" i="299"/>
  <c r="G125" i="299"/>
  <c r="G130" i="299" s="1"/>
  <c r="E125" i="299"/>
  <c r="E130" i="299" s="1"/>
  <c r="D125" i="299"/>
  <c r="C125" i="299"/>
  <c r="B125" i="299"/>
  <c r="Z124" i="299"/>
  <c r="R124" i="299"/>
  <c r="J124" i="299"/>
  <c r="AC123" i="299"/>
  <c r="AB123" i="299"/>
  <c r="AA123" i="299"/>
  <c r="AA124" i="299" s="1"/>
  <c r="Z123" i="299"/>
  <c r="Y123" i="299"/>
  <c r="Y124" i="299" s="1"/>
  <c r="X123" i="299"/>
  <c r="X124" i="299" s="1"/>
  <c r="W123" i="299"/>
  <c r="W124" i="299" s="1"/>
  <c r="R123" i="299"/>
  <c r="Q123" i="299"/>
  <c r="Q124" i="299" s="1"/>
  <c r="J123" i="299"/>
  <c r="I123" i="299"/>
  <c r="I124" i="299" s="1"/>
  <c r="H123" i="299"/>
  <c r="H124" i="299" s="1"/>
  <c r="G123" i="299"/>
  <c r="G124" i="299" s="1"/>
  <c r="E123" i="299"/>
  <c r="E124" i="299" s="1"/>
  <c r="C123" i="299"/>
  <c r="B123" i="299"/>
  <c r="AA122" i="299"/>
  <c r="W122" i="299"/>
  <c r="AC121" i="299"/>
  <c r="AB121" i="299"/>
  <c r="AA121" i="299"/>
  <c r="Z121" i="299"/>
  <c r="Y121" i="299"/>
  <c r="X121" i="299"/>
  <c r="W121" i="299"/>
  <c r="R121" i="299"/>
  <c r="Q121" i="299"/>
  <c r="N121" i="299"/>
  <c r="J121" i="299"/>
  <c r="I121" i="299"/>
  <c r="H121" i="299"/>
  <c r="G121" i="299"/>
  <c r="E121" i="299"/>
  <c r="D121" i="299"/>
  <c r="C121" i="299"/>
  <c r="B121" i="299"/>
  <c r="AC120" i="299"/>
  <c r="AB120" i="299"/>
  <c r="AA120" i="299"/>
  <c r="Z120" i="299"/>
  <c r="Z122" i="299" s="1"/>
  <c r="Y120" i="299"/>
  <c r="Y122" i="299" s="1"/>
  <c r="X120" i="299"/>
  <c r="X122" i="299" s="1"/>
  <c r="W120" i="299"/>
  <c r="R120" i="299"/>
  <c r="R122" i="299" s="1"/>
  <c r="N120" i="299"/>
  <c r="N122" i="299" s="1"/>
  <c r="J120" i="299"/>
  <c r="J122" i="299" s="1"/>
  <c r="I120" i="299"/>
  <c r="I122" i="299" s="1"/>
  <c r="H120" i="299"/>
  <c r="H122" i="299" s="1"/>
  <c r="E120" i="299"/>
  <c r="E122" i="299" s="1"/>
  <c r="D120" i="299"/>
  <c r="D122" i="299" s="1"/>
  <c r="C120" i="299"/>
  <c r="B120" i="299"/>
  <c r="AC118" i="299"/>
  <c r="AB118" i="299"/>
  <c r="AA118" i="299"/>
  <c r="Z118" i="299"/>
  <c r="Y118" i="299"/>
  <c r="X118" i="299"/>
  <c r="W118" i="299"/>
  <c r="R118" i="299"/>
  <c r="Q118" i="299"/>
  <c r="J118" i="299"/>
  <c r="I118" i="299"/>
  <c r="H118" i="299"/>
  <c r="G118" i="299"/>
  <c r="E118" i="299"/>
  <c r="D118" i="299"/>
  <c r="C118" i="299"/>
  <c r="B118" i="299"/>
  <c r="AC117" i="299"/>
  <c r="AB117" i="299"/>
  <c r="AA117" i="299"/>
  <c r="Z117" i="299"/>
  <c r="Y117" i="299"/>
  <c r="X117" i="299"/>
  <c r="W117" i="299"/>
  <c r="R117" i="299"/>
  <c r="Q117" i="299"/>
  <c r="N117" i="299"/>
  <c r="J117" i="299"/>
  <c r="I117" i="299"/>
  <c r="H117" i="299"/>
  <c r="G117" i="299"/>
  <c r="E117" i="299"/>
  <c r="D117" i="299"/>
  <c r="C117" i="299"/>
  <c r="B117" i="299"/>
  <c r="AC116" i="299"/>
  <c r="AB116" i="299"/>
  <c r="AA116" i="299"/>
  <c r="Z116" i="299"/>
  <c r="Y116" i="299"/>
  <c r="X116" i="299"/>
  <c r="W116" i="299"/>
  <c r="R116" i="299"/>
  <c r="Q116" i="299"/>
  <c r="N116" i="299"/>
  <c r="J116" i="299"/>
  <c r="I116" i="299"/>
  <c r="H116" i="299"/>
  <c r="G116" i="299"/>
  <c r="E116" i="299"/>
  <c r="D116" i="299"/>
  <c r="C116" i="299"/>
  <c r="B116" i="299"/>
  <c r="AC115" i="299"/>
  <c r="AB115" i="299"/>
  <c r="AA115" i="299"/>
  <c r="Z115" i="299"/>
  <c r="Y115" i="299"/>
  <c r="X115" i="299"/>
  <c r="W115" i="299"/>
  <c r="R115" i="299"/>
  <c r="N115" i="299"/>
  <c r="J115" i="299"/>
  <c r="I115" i="299"/>
  <c r="H115" i="299"/>
  <c r="E115" i="299"/>
  <c r="D115" i="299"/>
  <c r="C115" i="299"/>
  <c r="B115" i="299"/>
  <c r="AC114" i="299"/>
  <c r="AB114" i="299"/>
  <c r="AA114" i="299"/>
  <c r="Z114" i="299"/>
  <c r="Y114" i="299"/>
  <c r="X114" i="299"/>
  <c r="W114" i="299"/>
  <c r="R114" i="299"/>
  <c r="Q114" i="299"/>
  <c r="N114" i="299"/>
  <c r="J114" i="299"/>
  <c r="I114" i="299"/>
  <c r="H114" i="299"/>
  <c r="G114" i="299"/>
  <c r="E114" i="299"/>
  <c r="D114" i="299"/>
  <c r="C114" i="299"/>
  <c r="B114" i="299"/>
  <c r="AC113" i="299"/>
  <c r="AB113" i="299"/>
  <c r="AA113" i="299"/>
  <c r="Z113" i="299"/>
  <c r="Y113" i="299"/>
  <c r="X113" i="299"/>
  <c r="W113" i="299"/>
  <c r="R113" i="299"/>
  <c r="Q113" i="299"/>
  <c r="J113" i="299"/>
  <c r="I113" i="299"/>
  <c r="H113" i="299"/>
  <c r="G113" i="299"/>
  <c r="E113" i="299"/>
  <c r="D113" i="299"/>
  <c r="C113" i="299"/>
  <c r="B113" i="299"/>
  <c r="AC112" i="299"/>
  <c r="AB112" i="299"/>
  <c r="AA112" i="299"/>
  <c r="Z112" i="299"/>
  <c r="Y112" i="299"/>
  <c r="X112" i="299"/>
  <c r="W112" i="299"/>
  <c r="R112" i="299"/>
  <c r="Q112" i="299"/>
  <c r="N112" i="299"/>
  <c r="J112" i="299"/>
  <c r="I112" i="299"/>
  <c r="H112" i="299"/>
  <c r="G112" i="299"/>
  <c r="E112" i="299"/>
  <c r="D112" i="299"/>
  <c r="C112" i="299"/>
  <c r="B112" i="299"/>
  <c r="AC111" i="299"/>
  <c r="AB111" i="299"/>
  <c r="AA111" i="299"/>
  <c r="Z111" i="299"/>
  <c r="Y111" i="299"/>
  <c r="X111" i="299"/>
  <c r="W111" i="299"/>
  <c r="R111" i="299"/>
  <c r="Q111" i="299"/>
  <c r="N111" i="299"/>
  <c r="J111" i="299"/>
  <c r="I111" i="299"/>
  <c r="H111" i="299"/>
  <c r="G111" i="299"/>
  <c r="E111" i="299"/>
  <c r="D111" i="299"/>
  <c r="C111" i="299"/>
  <c r="B111" i="299"/>
  <c r="AC110" i="299"/>
  <c r="AB110" i="299"/>
  <c r="AA110" i="299"/>
  <c r="Z110" i="299"/>
  <c r="Y110" i="299"/>
  <c r="X110" i="299"/>
  <c r="W110" i="299"/>
  <c r="R110" i="299"/>
  <c r="Q110" i="299"/>
  <c r="N110" i="299"/>
  <c r="J110" i="299"/>
  <c r="I110" i="299"/>
  <c r="H110" i="299"/>
  <c r="G110" i="299"/>
  <c r="E110" i="299"/>
  <c r="C110" i="299"/>
  <c r="B110" i="299"/>
  <c r="AC109" i="299"/>
  <c r="AB109" i="299"/>
  <c r="Z109" i="299"/>
  <c r="Y109" i="299"/>
  <c r="X109" i="299"/>
  <c r="W109" i="299"/>
  <c r="R109" i="299"/>
  <c r="N109" i="299"/>
  <c r="J109" i="299"/>
  <c r="I109" i="299"/>
  <c r="H109" i="299"/>
  <c r="E109" i="299"/>
  <c r="D109" i="299"/>
  <c r="C109" i="299"/>
  <c r="B109" i="299"/>
  <c r="AC108" i="299"/>
  <c r="AB108" i="299"/>
  <c r="AA108" i="299"/>
  <c r="Z108" i="299"/>
  <c r="Y108" i="299"/>
  <c r="X108" i="299"/>
  <c r="W108" i="299"/>
  <c r="R108" i="299"/>
  <c r="Q108" i="299"/>
  <c r="N108" i="299"/>
  <c r="J108" i="299"/>
  <c r="I108" i="299"/>
  <c r="H108" i="299"/>
  <c r="G108" i="299"/>
  <c r="E108" i="299"/>
  <c r="D108" i="299"/>
  <c r="C108" i="299"/>
  <c r="B108" i="299"/>
  <c r="AC107" i="299"/>
  <c r="AB107" i="299"/>
  <c r="AA107" i="299"/>
  <c r="Z107" i="299"/>
  <c r="Y107" i="299"/>
  <c r="X107" i="299"/>
  <c r="W107" i="299"/>
  <c r="R107" i="299"/>
  <c r="Q107" i="299"/>
  <c r="N107" i="299"/>
  <c r="J107" i="299"/>
  <c r="I107" i="299"/>
  <c r="H107" i="299"/>
  <c r="G107" i="299"/>
  <c r="E107" i="299"/>
  <c r="D107" i="299"/>
  <c r="C107" i="299"/>
  <c r="B107" i="299"/>
  <c r="AC106" i="299"/>
  <c r="AB106" i="299"/>
  <c r="AA106" i="299"/>
  <c r="Z106" i="299"/>
  <c r="Y106" i="299"/>
  <c r="X106" i="299"/>
  <c r="W106" i="299"/>
  <c r="R106" i="299"/>
  <c r="Q106" i="299"/>
  <c r="J106" i="299"/>
  <c r="I106" i="299"/>
  <c r="H106" i="299"/>
  <c r="G106" i="299"/>
  <c r="E106" i="299"/>
  <c r="C106" i="299"/>
  <c r="B106" i="299"/>
  <c r="AC105" i="299"/>
  <c r="AB105" i="299"/>
  <c r="AA105" i="299"/>
  <c r="Z105" i="299"/>
  <c r="Y105" i="299"/>
  <c r="X105" i="299"/>
  <c r="W105" i="299"/>
  <c r="R105" i="299"/>
  <c r="J105" i="299"/>
  <c r="I105" i="299"/>
  <c r="H105" i="299"/>
  <c r="G105" i="299"/>
  <c r="E105" i="299"/>
  <c r="D105" i="299"/>
  <c r="C105" i="299"/>
  <c r="B105" i="299"/>
  <c r="AC104" i="299"/>
  <c r="AB104" i="299"/>
  <c r="AA104" i="299"/>
  <c r="Z104" i="299"/>
  <c r="Y104" i="299"/>
  <c r="X104" i="299"/>
  <c r="W104" i="299"/>
  <c r="R104" i="299"/>
  <c r="Q104" i="299"/>
  <c r="J104" i="299"/>
  <c r="I104" i="299"/>
  <c r="H104" i="299"/>
  <c r="G104" i="299"/>
  <c r="E104" i="299"/>
  <c r="C104" i="299"/>
  <c r="B104" i="299"/>
  <c r="AC103" i="299"/>
  <c r="AB103" i="299"/>
  <c r="AA103" i="299"/>
  <c r="Z103" i="299"/>
  <c r="Y103" i="299"/>
  <c r="X103" i="299"/>
  <c r="W103" i="299"/>
  <c r="R103" i="299"/>
  <c r="Q103" i="299"/>
  <c r="J103" i="299"/>
  <c r="I103" i="299"/>
  <c r="H103" i="299"/>
  <c r="G103" i="299"/>
  <c r="E103" i="299"/>
  <c r="C103" i="299"/>
  <c r="B103" i="299"/>
  <c r="AC102" i="299"/>
  <c r="AB102" i="299"/>
  <c r="AA102" i="299"/>
  <c r="Z102" i="299"/>
  <c r="Y102" i="299"/>
  <c r="X102" i="299"/>
  <c r="W102" i="299"/>
  <c r="R102" i="299"/>
  <c r="Q102" i="299"/>
  <c r="J102" i="299"/>
  <c r="I102" i="299"/>
  <c r="H102" i="299"/>
  <c r="G102" i="299"/>
  <c r="E102" i="299"/>
  <c r="D102" i="299"/>
  <c r="C102" i="299"/>
  <c r="B102" i="299"/>
  <c r="AC101" i="299"/>
  <c r="AB101" i="299"/>
  <c r="AA101" i="299"/>
  <c r="Z101" i="299"/>
  <c r="Y101" i="299"/>
  <c r="Y119" i="299" s="1"/>
  <c r="X101" i="299"/>
  <c r="W101" i="299"/>
  <c r="W119" i="299" s="1"/>
  <c r="R101" i="299"/>
  <c r="Q101" i="299"/>
  <c r="J101" i="299"/>
  <c r="I101" i="299"/>
  <c r="I119" i="299" s="1"/>
  <c r="H101" i="299"/>
  <c r="G101" i="299"/>
  <c r="E101" i="299"/>
  <c r="E119" i="299" s="1"/>
  <c r="D101" i="299"/>
  <c r="C101" i="299"/>
  <c r="B101" i="299"/>
  <c r="AC99" i="299"/>
  <c r="AB99" i="299"/>
  <c r="AA99" i="299"/>
  <c r="Z99" i="299"/>
  <c r="Y99" i="299"/>
  <c r="X99" i="299"/>
  <c r="W99" i="299"/>
  <c r="R99" i="299"/>
  <c r="N99" i="299"/>
  <c r="J99" i="299"/>
  <c r="I99" i="299"/>
  <c r="H99" i="299"/>
  <c r="G99" i="299"/>
  <c r="E99" i="299"/>
  <c r="D99" i="299"/>
  <c r="C99" i="299"/>
  <c r="B99" i="299"/>
  <c r="AC98" i="299"/>
  <c r="AB98" i="299"/>
  <c r="AA98" i="299"/>
  <c r="Z98" i="299"/>
  <c r="Y98" i="299"/>
  <c r="X98" i="299"/>
  <c r="W98" i="299"/>
  <c r="R98" i="299"/>
  <c r="Q98" i="299"/>
  <c r="N98" i="299"/>
  <c r="J98" i="299"/>
  <c r="I98" i="299"/>
  <c r="H98" i="299"/>
  <c r="G98" i="299"/>
  <c r="E98" i="299"/>
  <c r="D98" i="299"/>
  <c r="C98" i="299"/>
  <c r="B98" i="299"/>
  <c r="AC97" i="299"/>
  <c r="AB97" i="299"/>
  <c r="AA97" i="299"/>
  <c r="Z97" i="299"/>
  <c r="Y97" i="299"/>
  <c r="X97" i="299"/>
  <c r="W97" i="299"/>
  <c r="R97" i="299"/>
  <c r="N97" i="299"/>
  <c r="J97" i="299"/>
  <c r="I97" i="299"/>
  <c r="H97" i="299"/>
  <c r="E97" i="299"/>
  <c r="D97" i="299"/>
  <c r="C97" i="299"/>
  <c r="B97" i="299"/>
  <c r="AC96" i="299"/>
  <c r="AB96" i="299"/>
  <c r="AA96" i="299"/>
  <c r="Z96" i="299"/>
  <c r="Y96" i="299"/>
  <c r="X96" i="299"/>
  <c r="W96" i="299"/>
  <c r="R96" i="299"/>
  <c r="Q96" i="299"/>
  <c r="N96" i="299"/>
  <c r="J96" i="299"/>
  <c r="I96" i="299"/>
  <c r="H96" i="299"/>
  <c r="G96" i="299"/>
  <c r="E96" i="299"/>
  <c r="D96" i="299"/>
  <c r="C96" i="299"/>
  <c r="B96" i="299"/>
  <c r="AC95" i="299"/>
  <c r="AB95" i="299"/>
  <c r="Z95" i="299"/>
  <c r="Y95" i="299"/>
  <c r="X95" i="299"/>
  <c r="W95" i="299"/>
  <c r="R95" i="299"/>
  <c r="J95" i="299"/>
  <c r="I95" i="299"/>
  <c r="H95" i="299"/>
  <c r="E95" i="299"/>
  <c r="C95" i="299"/>
  <c r="B95" i="299"/>
  <c r="AC94" i="299"/>
  <c r="AB94" i="299"/>
  <c r="AA94" i="299"/>
  <c r="Z94" i="299"/>
  <c r="Y94" i="299"/>
  <c r="X94" i="299"/>
  <c r="W94" i="299"/>
  <c r="R94" i="299"/>
  <c r="N94" i="299"/>
  <c r="J94" i="299"/>
  <c r="I94" i="299"/>
  <c r="H94" i="299"/>
  <c r="E94" i="299"/>
  <c r="D94" i="299"/>
  <c r="C94" i="299"/>
  <c r="B94" i="299"/>
  <c r="AC93" i="299"/>
  <c r="AB93" i="299"/>
  <c r="Z93" i="299"/>
  <c r="Y93" i="299"/>
  <c r="X93" i="299"/>
  <c r="W93" i="299"/>
  <c r="R93" i="299"/>
  <c r="J93" i="299"/>
  <c r="I93" i="299"/>
  <c r="H93" i="299"/>
  <c r="E93" i="299"/>
  <c r="D93" i="299"/>
  <c r="C93" i="299"/>
  <c r="B93" i="299"/>
  <c r="AC92" i="299"/>
  <c r="AB92" i="299"/>
  <c r="AA92" i="299"/>
  <c r="Z92" i="299"/>
  <c r="Y92" i="299"/>
  <c r="X92" i="299"/>
  <c r="W92" i="299"/>
  <c r="R92" i="299"/>
  <c r="N92" i="299"/>
  <c r="J92" i="299"/>
  <c r="I92" i="299"/>
  <c r="H92" i="299"/>
  <c r="E92" i="299"/>
  <c r="C92" i="299"/>
  <c r="B92" i="299"/>
  <c r="AC91" i="299"/>
  <c r="AB91" i="299"/>
  <c r="AA91" i="299"/>
  <c r="Z91" i="299"/>
  <c r="Y91" i="299"/>
  <c r="X91" i="299"/>
  <c r="W91" i="299"/>
  <c r="R91" i="299"/>
  <c r="Q91" i="299"/>
  <c r="N91" i="299"/>
  <c r="J91" i="299"/>
  <c r="I91" i="299"/>
  <c r="H91" i="299"/>
  <c r="G91" i="299"/>
  <c r="E91" i="299"/>
  <c r="D91" i="299"/>
  <c r="C91" i="299"/>
  <c r="B91" i="299"/>
  <c r="AC90" i="299"/>
  <c r="AB90" i="299"/>
  <c r="Z90" i="299"/>
  <c r="Y90" i="299"/>
  <c r="X90" i="299"/>
  <c r="W90" i="299"/>
  <c r="R90" i="299"/>
  <c r="Q90" i="299"/>
  <c r="J90" i="299"/>
  <c r="I90" i="299"/>
  <c r="H90" i="299"/>
  <c r="G90" i="299"/>
  <c r="E90" i="299"/>
  <c r="D90" i="299"/>
  <c r="C90" i="299"/>
  <c r="B90" i="299"/>
  <c r="AC89" i="299"/>
  <c r="AB89" i="299"/>
  <c r="Z89" i="299"/>
  <c r="Y89" i="299"/>
  <c r="X89" i="299"/>
  <c r="W89" i="299"/>
  <c r="R89" i="299"/>
  <c r="Q89" i="299"/>
  <c r="J89" i="299"/>
  <c r="I89" i="299"/>
  <c r="H89" i="299"/>
  <c r="G89" i="299"/>
  <c r="E89" i="299"/>
  <c r="D89" i="299"/>
  <c r="C89" i="299"/>
  <c r="B89" i="299"/>
  <c r="AC88" i="299"/>
  <c r="AB88" i="299"/>
  <c r="AA88" i="299"/>
  <c r="Z88" i="299"/>
  <c r="Y88" i="299"/>
  <c r="X88" i="299"/>
  <c r="W88" i="299"/>
  <c r="R88" i="299"/>
  <c r="Q88" i="299"/>
  <c r="N88" i="299"/>
  <c r="J88" i="299"/>
  <c r="I88" i="299"/>
  <c r="H88" i="299"/>
  <c r="G88" i="299"/>
  <c r="E88" i="299"/>
  <c r="D88" i="299"/>
  <c r="C88" i="299"/>
  <c r="B88" i="299"/>
  <c r="AC87" i="299"/>
  <c r="AB87" i="299"/>
  <c r="Z87" i="299"/>
  <c r="Y87" i="299"/>
  <c r="X87" i="299"/>
  <c r="W87" i="299"/>
  <c r="R87" i="299"/>
  <c r="J87" i="299"/>
  <c r="I87" i="299"/>
  <c r="H87" i="299"/>
  <c r="E87" i="299"/>
  <c r="D87" i="299"/>
  <c r="C87" i="299"/>
  <c r="B87" i="299"/>
  <c r="AC86" i="299"/>
  <c r="AB86" i="299"/>
  <c r="AA86" i="299"/>
  <c r="Z86" i="299"/>
  <c r="Y86" i="299"/>
  <c r="X86" i="299"/>
  <c r="W86" i="299"/>
  <c r="R86" i="299"/>
  <c r="Q86" i="299"/>
  <c r="J86" i="299"/>
  <c r="I86" i="299"/>
  <c r="H86" i="299"/>
  <c r="G86" i="299"/>
  <c r="E86" i="299"/>
  <c r="C86" i="299"/>
  <c r="B86" i="299"/>
  <c r="AC85" i="299"/>
  <c r="AB85" i="299"/>
  <c r="AA85" i="299"/>
  <c r="Z85" i="299"/>
  <c r="Y85" i="299"/>
  <c r="X85" i="299"/>
  <c r="W85" i="299"/>
  <c r="R85" i="299"/>
  <c r="J85" i="299"/>
  <c r="I85" i="299"/>
  <c r="H85" i="299"/>
  <c r="E85" i="299"/>
  <c r="C85" i="299"/>
  <c r="B85" i="299"/>
  <c r="AC84" i="299"/>
  <c r="AB84" i="299"/>
  <c r="AA84" i="299"/>
  <c r="Z84" i="299"/>
  <c r="Y84" i="299"/>
  <c r="X84" i="299"/>
  <c r="W84" i="299"/>
  <c r="R84" i="299"/>
  <c r="Q84" i="299"/>
  <c r="N84" i="299"/>
  <c r="J84" i="299"/>
  <c r="I84" i="299"/>
  <c r="H84" i="299"/>
  <c r="G84" i="299"/>
  <c r="E84" i="299"/>
  <c r="D84" i="299"/>
  <c r="C84" i="299"/>
  <c r="B84" i="299"/>
  <c r="AC83" i="299"/>
  <c r="AB83" i="299"/>
  <c r="AA83" i="299"/>
  <c r="Z83" i="299"/>
  <c r="Y83" i="299"/>
  <c r="X83" i="299"/>
  <c r="W83" i="299"/>
  <c r="R83" i="299"/>
  <c r="Q83" i="299"/>
  <c r="N83" i="299"/>
  <c r="J83" i="299"/>
  <c r="I83" i="299"/>
  <c r="H83" i="299"/>
  <c r="G83" i="299"/>
  <c r="E83" i="299"/>
  <c r="D83" i="299"/>
  <c r="C83" i="299"/>
  <c r="B83" i="299"/>
  <c r="AC82" i="299"/>
  <c r="AB82" i="299"/>
  <c r="AA82" i="299"/>
  <c r="Z82" i="299"/>
  <c r="Y82" i="299"/>
  <c r="X82" i="299"/>
  <c r="W82" i="299"/>
  <c r="R82" i="299"/>
  <c r="Q82" i="299"/>
  <c r="J82" i="299"/>
  <c r="I82" i="299"/>
  <c r="H82" i="299"/>
  <c r="G82" i="299"/>
  <c r="E82" i="299"/>
  <c r="D82" i="299"/>
  <c r="C82" i="299"/>
  <c r="B82" i="299"/>
  <c r="AC81" i="299"/>
  <c r="AB81" i="299"/>
  <c r="AA81" i="299"/>
  <c r="Z81" i="299"/>
  <c r="Y81" i="299"/>
  <c r="X81" i="299"/>
  <c r="W81" i="299"/>
  <c r="R81" i="299"/>
  <c r="Q81" i="299"/>
  <c r="J81" i="299"/>
  <c r="I81" i="299"/>
  <c r="H81" i="299"/>
  <c r="G81" i="299"/>
  <c r="E81" i="299"/>
  <c r="C81" i="299"/>
  <c r="B81" i="299"/>
  <c r="AC80" i="299"/>
  <c r="AB80" i="299"/>
  <c r="AA80" i="299"/>
  <c r="Z80" i="299"/>
  <c r="Y80" i="299"/>
  <c r="X80" i="299"/>
  <c r="W80" i="299"/>
  <c r="R80" i="299"/>
  <c r="Q80" i="299"/>
  <c r="N80" i="299"/>
  <c r="J80" i="299"/>
  <c r="I80" i="299"/>
  <c r="H80" i="299"/>
  <c r="G80" i="299"/>
  <c r="E80" i="299"/>
  <c r="D80" i="299"/>
  <c r="C80" i="299"/>
  <c r="B80" i="299"/>
  <c r="AC79" i="299"/>
  <c r="AB79" i="299"/>
  <c r="Z79" i="299"/>
  <c r="Y79" i="299"/>
  <c r="X79" i="299"/>
  <c r="W79" i="299"/>
  <c r="R79" i="299"/>
  <c r="J79" i="299"/>
  <c r="I79" i="299"/>
  <c r="H79" i="299"/>
  <c r="E79" i="299"/>
  <c r="D79" i="299"/>
  <c r="C79" i="299"/>
  <c r="B79" i="299"/>
  <c r="AC78" i="299"/>
  <c r="AB78" i="299"/>
  <c r="AA78" i="299"/>
  <c r="Z78" i="299"/>
  <c r="Y78" i="299"/>
  <c r="X78" i="299"/>
  <c r="W78" i="299"/>
  <c r="R78" i="299"/>
  <c r="N78" i="299"/>
  <c r="J78" i="299"/>
  <c r="I78" i="299"/>
  <c r="H78" i="299"/>
  <c r="E78" i="299"/>
  <c r="C78" i="299"/>
  <c r="B78" i="299"/>
  <c r="AC77" i="299"/>
  <c r="AB77" i="299"/>
  <c r="AA77" i="299"/>
  <c r="Z77" i="299"/>
  <c r="Y77" i="299"/>
  <c r="X77" i="299"/>
  <c r="W77" i="299"/>
  <c r="R77" i="299"/>
  <c r="Q77" i="299"/>
  <c r="J77" i="299"/>
  <c r="I77" i="299"/>
  <c r="H77" i="299"/>
  <c r="G77" i="299"/>
  <c r="E77" i="299"/>
  <c r="C77" i="299"/>
  <c r="B77" i="299"/>
  <c r="AC76" i="299"/>
  <c r="AB76" i="299"/>
  <c r="AA76" i="299"/>
  <c r="Z76" i="299"/>
  <c r="Y76" i="299"/>
  <c r="X76" i="299"/>
  <c r="W76" i="299"/>
  <c r="R76" i="299"/>
  <c r="Q76" i="299"/>
  <c r="N76" i="299"/>
  <c r="J76" i="299"/>
  <c r="I76" i="299"/>
  <c r="H76" i="299"/>
  <c r="G76" i="299"/>
  <c r="E76" i="299"/>
  <c r="D76" i="299"/>
  <c r="C76" i="299"/>
  <c r="B76" i="299"/>
  <c r="AC75" i="299"/>
  <c r="AB75" i="299"/>
  <c r="AA75" i="299"/>
  <c r="Z75" i="299"/>
  <c r="Y75" i="299"/>
  <c r="X75" i="299"/>
  <c r="W75" i="299"/>
  <c r="R75" i="299"/>
  <c r="Q75" i="299"/>
  <c r="N75" i="299"/>
  <c r="J75" i="299"/>
  <c r="I75" i="299"/>
  <c r="H75" i="299"/>
  <c r="G75" i="299"/>
  <c r="E75" i="299"/>
  <c r="C75" i="299"/>
  <c r="B75" i="299"/>
  <c r="AC74" i="299"/>
  <c r="AB74" i="299"/>
  <c r="AA74" i="299"/>
  <c r="Z74" i="299"/>
  <c r="Y74" i="299"/>
  <c r="X74" i="299"/>
  <c r="W74" i="299"/>
  <c r="R74" i="299"/>
  <c r="Q74" i="299"/>
  <c r="N74" i="299"/>
  <c r="J74" i="299"/>
  <c r="I74" i="299"/>
  <c r="H74" i="299"/>
  <c r="G74" i="299"/>
  <c r="E74" i="299"/>
  <c r="D74" i="299"/>
  <c r="C74" i="299"/>
  <c r="B74" i="299"/>
  <c r="AC73" i="299"/>
  <c r="AB73" i="299"/>
  <c r="Z73" i="299"/>
  <c r="Y73" i="299"/>
  <c r="X73" i="299"/>
  <c r="W73" i="299"/>
  <c r="R73" i="299"/>
  <c r="Q73" i="299"/>
  <c r="J73" i="299"/>
  <c r="I73" i="299"/>
  <c r="H73" i="299"/>
  <c r="G73" i="299"/>
  <c r="E73" i="299"/>
  <c r="D73" i="299"/>
  <c r="C73" i="299"/>
  <c r="B73" i="299"/>
  <c r="AC72" i="299"/>
  <c r="AB72" i="299"/>
  <c r="AA72" i="299"/>
  <c r="Z72" i="299"/>
  <c r="Y72" i="299"/>
  <c r="X72" i="299"/>
  <c r="W72" i="299"/>
  <c r="R72" i="299"/>
  <c r="Q72" i="299"/>
  <c r="N72" i="299"/>
  <c r="J72" i="299"/>
  <c r="I72" i="299"/>
  <c r="H72" i="299"/>
  <c r="G72" i="299"/>
  <c r="E72" i="299"/>
  <c r="D72" i="299"/>
  <c r="C72" i="299"/>
  <c r="B72" i="299"/>
  <c r="AC71" i="299"/>
  <c r="AB71" i="299"/>
  <c r="Z71" i="299"/>
  <c r="Y71" i="299"/>
  <c r="X71" i="299"/>
  <c r="W71" i="299"/>
  <c r="R71" i="299"/>
  <c r="Q71" i="299"/>
  <c r="J71" i="299"/>
  <c r="I71" i="299"/>
  <c r="H71" i="299"/>
  <c r="G71" i="299"/>
  <c r="E71" i="299"/>
  <c r="D71" i="299"/>
  <c r="C71" i="299"/>
  <c r="B71" i="299"/>
  <c r="AC70" i="299"/>
  <c r="AB70" i="299"/>
  <c r="AA70" i="299"/>
  <c r="Z70" i="299"/>
  <c r="Y70" i="299"/>
  <c r="X70" i="299"/>
  <c r="W70" i="299"/>
  <c r="R70" i="299"/>
  <c r="Q70" i="299"/>
  <c r="J70" i="299"/>
  <c r="I70" i="299"/>
  <c r="H70" i="299"/>
  <c r="G70" i="299"/>
  <c r="E70" i="299"/>
  <c r="D70" i="299"/>
  <c r="C70" i="299"/>
  <c r="B70" i="299"/>
  <c r="AC69" i="299"/>
  <c r="AB69" i="299"/>
  <c r="AA69" i="299"/>
  <c r="Z69" i="299"/>
  <c r="Z100" i="299" s="1"/>
  <c r="Y69" i="299"/>
  <c r="Y100" i="299" s="1"/>
  <c r="X69" i="299"/>
  <c r="X100" i="299" s="1"/>
  <c r="W69" i="299"/>
  <c r="W100" i="299" s="1"/>
  <c r="R69" i="299"/>
  <c r="R100" i="299" s="1"/>
  <c r="Q69" i="299"/>
  <c r="J69" i="299"/>
  <c r="J100" i="299" s="1"/>
  <c r="I69" i="299"/>
  <c r="I100" i="299" s="1"/>
  <c r="H69" i="299"/>
  <c r="H100" i="299" s="1"/>
  <c r="G69" i="299"/>
  <c r="E69" i="299"/>
  <c r="E100" i="299" s="1"/>
  <c r="D69" i="299"/>
  <c r="C69" i="299"/>
  <c r="B69" i="299"/>
  <c r="X68" i="299"/>
  <c r="H68" i="299"/>
  <c r="D68" i="299"/>
  <c r="AC67" i="299"/>
  <c r="AB67" i="299"/>
  <c r="AA67" i="299"/>
  <c r="AA68" i="299" s="1"/>
  <c r="Z67" i="299"/>
  <c r="Z68" i="299" s="1"/>
  <c r="Y67" i="299"/>
  <c r="Y68" i="299" s="1"/>
  <c r="X67" i="299"/>
  <c r="W67" i="299"/>
  <c r="W68" i="299" s="1"/>
  <c r="R67" i="299"/>
  <c r="R68" i="299" s="1"/>
  <c r="Q67" i="299"/>
  <c r="Q68" i="299" s="1"/>
  <c r="N67" i="299"/>
  <c r="N68" i="299" s="1"/>
  <c r="J67" i="299"/>
  <c r="J68" i="299" s="1"/>
  <c r="I67" i="299"/>
  <c r="I68" i="299" s="1"/>
  <c r="H67" i="299"/>
  <c r="G67" i="299"/>
  <c r="G68" i="299" s="1"/>
  <c r="E67" i="299"/>
  <c r="E68" i="299" s="1"/>
  <c r="D67" i="299"/>
  <c r="C67" i="299"/>
  <c r="B67" i="299"/>
  <c r="Y66" i="299"/>
  <c r="I66" i="299"/>
  <c r="E66" i="299"/>
  <c r="AC65" i="299"/>
  <c r="AB65" i="299"/>
  <c r="AA65" i="299"/>
  <c r="AA66" i="299" s="1"/>
  <c r="Z65" i="299"/>
  <c r="Z66" i="299" s="1"/>
  <c r="Y65" i="299"/>
  <c r="X65" i="299"/>
  <c r="X66" i="299" s="1"/>
  <c r="W65" i="299"/>
  <c r="W66" i="299" s="1"/>
  <c r="R65" i="299"/>
  <c r="R66" i="299" s="1"/>
  <c r="N65" i="299"/>
  <c r="N66" i="299" s="1"/>
  <c r="J65" i="299"/>
  <c r="J66" i="299" s="1"/>
  <c r="I65" i="299"/>
  <c r="H65" i="299"/>
  <c r="H66" i="299" s="1"/>
  <c r="G65" i="299"/>
  <c r="G66" i="299" s="1"/>
  <c r="E65" i="299"/>
  <c r="D65" i="299"/>
  <c r="D66" i="299" s="1"/>
  <c r="C65" i="299"/>
  <c r="B65" i="299"/>
  <c r="AC63" i="299"/>
  <c r="AB63" i="299"/>
  <c r="AA63" i="299"/>
  <c r="Z63" i="299"/>
  <c r="Y63" i="299"/>
  <c r="X63" i="299"/>
  <c r="W63" i="299"/>
  <c r="R63" i="299"/>
  <c r="Q63" i="299"/>
  <c r="N63" i="299"/>
  <c r="J63" i="299"/>
  <c r="I63" i="299"/>
  <c r="H63" i="299"/>
  <c r="G63" i="299"/>
  <c r="E63" i="299"/>
  <c r="D63" i="299"/>
  <c r="C63" i="299"/>
  <c r="B63" i="299"/>
  <c r="AC62" i="299"/>
  <c r="AB62" i="299"/>
  <c r="AA62" i="299"/>
  <c r="Z62" i="299"/>
  <c r="Y62" i="299"/>
  <c r="X62" i="299"/>
  <c r="W62" i="299"/>
  <c r="R62" i="299"/>
  <c r="Q62" i="299"/>
  <c r="N62" i="299"/>
  <c r="J62" i="299"/>
  <c r="I62" i="299"/>
  <c r="H62" i="299"/>
  <c r="G62" i="299"/>
  <c r="E62" i="299"/>
  <c r="D62" i="299"/>
  <c r="C62" i="299"/>
  <c r="B62" i="299"/>
  <c r="AC61" i="299"/>
  <c r="AB61" i="299"/>
  <c r="AA61" i="299"/>
  <c r="Z61" i="299"/>
  <c r="Y61" i="299"/>
  <c r="X61" i="299"/>
  <c r="W61" i="299"/>
  <c r="R61" i="299"/>
  <c r="Q61" i="299"/>
  <c r="N61" i="299"/>
  <c r="J61" i="299"/>
  <c r="I61" i="299"/>
  <c r="H61" i="299"/>
  <c r="G61" i="299"/>
  <c r="E61" i="299"/>
  <c r="D61" i="299"/>
  <c r="C61" i="299"/>
  <c r="B61" i="299"/>
  <c r="AC60" i="299"/>
  <c r="AB60" i="299"/>
  <c r="Z60" i="299"/>
  <c r="Y60" i="299"/>
  <c r="X60" i="299"/>
  <c r="W60" i="299"/>
  <c r="R60" i="299"/>
  <c r="J60" i="299"/>
  <c r="I60" i="299"/>
  <c r="H60" i="299"/>
  <c r="E60" i="299"/>
  <c r="D60" i="299"/>
  <c r="C60" i="299"/>
  <c r="B60" i="299"/>
  <c r="AC59" i="299"/>
  <c r="AB59" i="299"/>
  <c r="AA59" i="299"/>
  <c r="Z59" i="299"/>
  <c r="Y59" i="299"/>
  <c r="X59" i="299"/>
  <c r="W59" i="299"/>
  <c r="R59" i="299"/>
  <c r="Q59" i="299"/>
  <c r="N59" i="299"/>
  <c r="BB59" i="299" s="1"/>
  <c r="J59" i="299"/>
  <c r="I59" i="299"/>
  <c r="H59" i="299"/>
  <c r="G59" i="299"/>
  <c r="E59" i="299"/>
  <c r="C59" i="299"/>
  <c r="B59" i="299"/>
  <c r="AC58" i="299"/>
  <c r="AB58" i="299"/>
  <c r="AA58" i="299"/>
  <c r="Z58" i="299"/>
  <c r="Y58" i="299"/>
  <c r="X58" i="299"/>
  <c r="W58" i="299"/>
  <c r="R58" i="299"/>
  <c r="Q58" i="299"/>
  <c r="J58" i="299"/>
  <c r="I58" i="299"/>
  <c r="H58" i="299"/>
  <c r="G58" i="299"/>
  <c r="E58" i="299"/>
  <c r="D58" i="299"/>
  <c r="C58" i="299"/>
  <c r="B58" i="299"/>
  <c r="AC57" i="299"/>
  <c r="AB57" i="299"/>
  <c r="AA57" i="299"/>
  <c r="Z57" i="299"/>
  <c r="Y57" i="299"/>
  <c r="X57" i="299"/>
  <c r="W57" i="299"/>
  <c r="R57" i="299"/>
  <c r="Q57" i="299"/>
  <c r="N57" i="299"/>
  <c r="J57" i="299"/>
  <c r="I57" i="299"/>
  <c r="H57" i="299"/>
  <c r="G57" i="299"/>
  <c r="E57" i="299"/>
  <c r="D57" i="299"/>
  <c r="C57" i="299"/>
  <c r="B57" i="299"/>
  <c r="AC56" i="299"/>
  <c r="AB56" i="299"/>
  <c r="AA56" i="299"/>
  <c r="Z56" i="299"/>
  <c r="Y56" i="299"/>
  <c r="X56" i="299"/>
  <c r="W56" i="299"/>
  <c r="R56" i="299"/>
  <c r="Q56" i="299"/>
  <c r="N56" i="299"/>
  <c r="J56" i="299"/>
  <c r="I56" i="299"/>
  <c r="H56" i="299"/>
  <c r="G56" i="299"/>
  <c r="E56" i="299"/>
  <c r="C56" i="299"/>
  <c r="B56" i="299"/>
  <c r="AC55" i="299"/>
  <c r="AB55" i="299"/>
  <c r="AA55" i="299"/>
  <c r="Z55" i="299"/>
  <c r="Y55" i="299"/>
  <c r="X55" i="299"/>
  <c r="V55" i="299"/>
  <c r="R55" i="299"/>
  <c r="Q55" i="299"/>
  <c r="N55" i="299"/>
  <c r="J55" i="299"/>
  <c r="I55" i="299"/>
  <c r="H55" i="299"/>
  <c r="G55" i="299"/>
  <c r="E55" i="299"/>
  <c r="D55" i="299"/>
  <c r="C55" i="299"/>
  <c r="B55" i="299"/>
  <c r="AC54" i="299"/>
  <c r="AB54" i="299"/>
  <c r="AA54" i="299"/>
  <c r="Z54" i="299"/>
  <c r="Y54" i="299"/>
  <c r="X54" i="299"/>
  <c r="W54" i="299"/>
  <c r="R54" i="299"/>
  <c r="Q54" i="299"/>
  <c r="N54" i="299"/>
  <c r="J54" i="299"/>
  <c r="I54" i="299"/>
  <c r="H54" i="299"/>
  <c r="G54" i="299"/>
  <c r="E54" i="299"/>
  <c r="D54" i="299"/>
  <c r="C54" i="299"/>
  <c r="B54" i="299"/>
  <c r="AC53" i="299"/>
  <c r="AB53" i="299"/>
  <c r="AA53" i="299"/>
  <c r="Z53" i="299"/>
  <c r="Y53" i="299"/>
  <c r="X53" i="299"/>
  <c r="W53" i="299"/>
  <c r="R53" i="299"/>
  <c r="Q53" i="299"/>
  <c r="N53" i="299"/>
  <c r="J53" i="299"/>
  <c r="I53" i="299"/>
  <c r="H53" i="299"/>
  <c r="G53" i="299"/>
  <c r="E53" i="299"/>
  <c r="D53" i="299"/>
  <c r="C53" i="299"/>
  <c r="B53" i="299"/>
  <c r="AC52" i="299"/>
  <c r="AB52" i="299"/>
  <c r="AA52" i="299"/>
  <c r="Z52" i="299"/>
  <c r="Y52" i="299"/>
  <c r="X52" i="299"/>
  <c r="W52" i="299"/>
  <c r="R52" i="299"/>
  <c r="Q52" i="299"/>
  <c r="N52" i="299"/>
  <c r="J52" i="299"/>
  <c r="I52" i="299"/>
  <c r="H52" i="299"/>
  <c r="G52" i="299"/>
  <c r="E52" i="299"/>
  <c r="D52" i="299"/>
  <c r="C52" i="299"/>
  <c r="B52" i="299"/>
  <c r="AC51" i="299"/>
  <c r="AB51" i="299"/>
  <c r="AA51" i="299"/>
  <c r="Z51" i="299"/>
  <c r="Y51" i="299"/>
  <c r="X51" i="299"/>
  <c r="W51" i="299"/>
  <c r="R51" i="299"/>
  <c r="K51" i="299"/>
  <c r="J51" i="299"/>
  <c r="I51" i="299"/>
  <c r="H51" i="299"/>
  <c r="G51" i="299"/>
  <c r="E51" i="299"/>
  <c r="C51" i="299"/>
  <c r="B51" i="299"/>
  <c r="AC50" i="299"/>
  <c r="AB50" i="299"/>
  <c r="AA50" i="299"/>
  <c r="Z50" i="299"/>
  <c r="Y50" i="299"/>
  <c r="X50" i="299"/>
  <c r="W50" i="299"/>
  <c r="R50" i="299"/>
  <c r="J50" i="299"/>
  <c r="I50" i="299"/>
  <c r="H50" i="299"/>
  <c r="G50" i="299"/>
  <c r="E50" i="299"/>
  <c r="C50" i="299"/>
  <c r="B50" i="299"/>
  <c r="AC49" i="299"/>
  <c r="AB49" i="299"/>
  <c r="AA49" i="299"/>
  <c r="Z49" i="299"/>
  <c r="Y49" i="299"/>
  <c r="X49" i="299"/>
  <c r="W49" i="299"/>
  <c r="R49" i="299"/>
  <c r="K49" i="299"/>
  <c r="J49" i="299"/>
  <c r="I49" i="299"/>
  <c r="H49" i="299"/>
  <c r="G49" i="299"/>
  <c r="E49" i="299"/>
  <c r="C49" i="299"/>
  <c r="B49" i="299"/>
  <c r="AC48" i="299"/>
  <c r="AB48" i="299"/>
  <c r="AA48" i="299"/>
  <c r="Z48" i="299"/>
  <c r="Y48" i="299"/>
  <c r="X48" i="299"/>
  <c r="W48" i="299"/>
  <c r="R48" i="299"/>
  <c r="K48" i="299"/>
  <c r="J48" i="299"/>
  <c r="I48" i="299"/>
  <c r="H48" i="299"/>
  <c r="G48" i="299"/>
  <c r="E48" i="299"/>
  <c r="D48" i="299"/>
  <c r="C48" i="299"/>
  <c r="B48" i="299"/>
  <c r="AC47" i="299"/>
  <c r="AB47" i="299"/>
  <c r="AA47" i="299"/>
  <c r="Z47" i="299"/>
  <c r="Y47" i="299"/>
  <c r="X47" i="299"/>
  <c r="W47" i="299"/>
  <c r="R47" i="299"/>
  <c r="N47" i="299"/>
  <c r="J47" i="299"/>
  <c r="I47" i="299"/>
  <c r="H47" i="299"/>
  <c r="G47" i="299"/>
  <c r="E47" i="299"/>
  <c r="C47" i="299"/>
  <c r="B47" i="299"/>
  <c r="AC46" i="299"/>
  <c r="AB46" i="299"/>
  <c r="AA46" i="299"/>
  <c r="Z46" i="299"/>
  <c r="Y46" i="299"/>
  <c r="X46" i="299"/>
  <c r="W46" i="299"/>
  <c r="R46" i="299"/>
  <c r="Q46" i="299"/>
  <c r="J46" i="299"/>
  <c r="I46" i="299"/>
  <c r="H46" i="299"/>
  <c r="G46" i="299"/>
  <c r="E46" i="299"/>
  <c r="D46" i="299"/>
  <c r="C46" i="299"/>
  <c r="B46" i="299"/>
  <c r="AC45" i="299"/>
  <c r="AB45" i="299"/>
  <c r="AA45" i="299"/>
  <c r="Z45" i="299"/>
  <c r="Y45" i="299"/>
  <c r="X45" i="299"/>
  <c r="W45" i="299"/>
  <c r="R45" i="299"/>
  <c r="Q45" i="299"/>
  <c r="N45" i="299"/>
  <c r="J45" i="299"/>
  <c r="I45" i="299"/>
  <c r="H45" i="299"/>
  <c r="G45" i="299"/>
  <c r="E45" i="299"/>
  <c r="D45" i="299"/>
  <c r="C45" i="299"/>
  <c r="B45" i="299"/>
  <c r="AC44" i="299"/>
  <c r="AB44" i="299"/>
  <c r="AA44" i="299"/>
  <c r="Z44" i="299"/>
  <c r="Y44" i="299"/>
  <c r="X44" i="299"/>
  <c r="W44" i="299"/>
  <c r="R44" i="299"/>
  <c r="Q44" i="299"/>
  <c r="J44" i="299"/>
  <c r="I44" i="299"/>
  <c r="H44" i="299"/>
  <c r="G44" i="299"/>
  <c r="E44" i="299"/>
  <c r="D44" i="299"/>
  <c r="C44" i="299"/>
  <c r="B44" i="299"/>
  <c r="AC43" i="299"/>
  <c r="AB43" i="299"/>
  <c r="AA43" i="299"/>
  <c r="Z43" i="299"/>
  <c r="Y43" i="299"/>
  <c r="X43" i="299"/>
  <c r="W43" i="299"/>
  <c r="R43" i="299"/>
  <c r="Q43" i="299"/>
  <c r="J43" i="299"/>
  <c r="I43" i="299"/>
  <c r="H43" i="299"/>
  <c r="G43" i="299"/>
  <c r="E43" i="299"/>
  <c r="C43" i="299"/>
  <c r="B43" i="299"/>
  <c r="AC42" i="299"/>
  <c r="AB42" i="299"/>
  <c r="AA42" i="299"/>
  <c r="Z42" i="299"/>
  <c r="Y42" i="299"/>
  <c r="X42" i="299"/>
  <c r="W42" i="299"/>
  <c r="R42" i="299"/>
  <c r="Q42" i="299"/>
  <c r="N42" i="299"/>
  <c r="J42" i="299"/>
  <c r="I42" i="299"/>
  <c r="H42" i="299"/>
  <c r="G42" i="299"/>
  <c r="E42" i="299"/>
  <c r="D42" i="299"/>
  <c r="C42" i="299"/>
  <c r="B42" i="299"/>
  <c r="AC41" i="299"/>
  <c r="AB41" i="299"/>
  <c r="AA41" i="299"/>
  <c r="Z41" i="299"/>
  <c r="Y41" i="299"/>
  <c r="X41" i="299"/>
  <c r="W41" i="299"/>
  <c r="R41" i="299"/>
  <c r="Q41" i="299"/>
  <c r="J41" i="299"/>
  <c r="I41" i="299"/>
  <c r="H41" i="299"/>
  <c r="G41" i="299"/>
  <c r="E41" i="299"/>
  <c r="D41" i="299"/>
  <c r="C41" i="299"/>
  <c r="B41" i="299"/>
  <c r="AC40" i="299"/>
  <c r="AB40" i="299"/>
  <c r="AA40" i="299"/>
  <c r="Z40" i="299"/>
  <c r="Y40" i="299"/>
  <c r="X40" i="299"/>
  <c r="W40" i="299"/>
  <c r="R40" i="299"/>
  <c r="Q40" i="299"/>
  <c r="N40" i="299"/>
  <c r="J40" i="299"/>
  <c r="I40" i="299"/>
  <c r="H40" i="299"/>
  <c r="G40" i="299"/>
  <c r="E40" i="299"/>
  <c r="D40" i="299"/>
  <c r="C40" i="299"/>
  <c r="B40" i="299"/>
  <c r="AC39" i="299"/>
  <c r="AB39" i="299"/>
  <c r="AA39" i="299"/>
  <c r="Z39" i="299"/>
  <c r="Y39" i="299"/>
  <c r="X39" i="299"/>
  <c r="W39" i="299"/>
  <c r="R39" i="299"/>
  <c r="Q39" i="299"/>
  <c r="N39" i="299"/>
  <c r="J39" i="299"/>
  <c r="I39" i="299"/>
  <c r="H39" i="299"/>
  <c r="G39" i="299"/>
  <c r="E39" i="299"/>
  <c r="D39" i="299"/>
  <c r="C39" i="299"/>
  <c r="B39" i="299"/>
  <c r="AC38" i="299"/>
  <c r="AB38" i="299"/>
  <c r="AA38" i="299"/>
  <c r="Z38" i="299"/>
  <c r="Y38" i="299"/>
  <c r="X38" i="299"/>
  <c r="W38" i="299"/>
  <c r="R38" i="299"/>
  <c r="Q38" i="299"/>
  <c r="N38" i="299"/>
  <c r="J38" i="299"/>
  <c r="I38" i="299"/>
  <c r="H38" i="299"/>
  <c r="G38" i="299"/>
  <c r="E38" i="299"/>
  <c r="D38" i="299"/>
  <c r="C38" i="299"/>
  <c r="B38" i="299"/>
  <c r="AC37" i="299"/>
  <c r="AB37" i="299"/>
  <c r="AA37" i="299"/>
  <c r="Z37" i="299"/>
  <c r="Y37" i="299"/>
  <c r="X37" i="299"/>
  <c r="W37" i="299"/>
  <c r="R37" i="299"/>
  <c r="J37" i="299"/>
  <c r="I37" i="299"/>
  <c r="H37" i="299"/>
  <c r="E37" i="299"/>
  <c r="D37" i="299"/>
  <c r="C37" i="299"/>
  <c r="B37" i="299"/>
  <c r="AC36" i="299"/>
  <c r="AB36" i="299"/>
  <c r="AA36" i="299"/>
  <c r="Z36" i="299"/>
  <c r="Y36" i="299"/>
  <c r="X36" i="299"/>
  <c r="W36" i="299"/>
  <c r="R36" i="299"/>
  <c r="Q36" i="299"/>
  <c r="J36" i="299"/>
  <c r="I36" i="299"/>
  <c r="H36" i="299"/>
  <c r="G36" i="299"/>
  <c r="E36" i="299"/>
  <c r="D36" i="299"/>
  <c r="C36" i="299"/>
  <c r="B36" i="299"/>
  <c r="AC35" i="299"/>
  <c r="AB35" i="299"/>
  <c r="AA35" i="299"/>
  <c r="Z35" i="299"/>
  <c r="Y35" i="299"/>
  <c r="X35" i="299"/>
  <c r="W35" i="299"/>
  <c r="R35" i="299"/>
  <c r="Q35" i="299"/>
  <c r="J35" i="299"/>
  <c r="I35" i="299"/>
  <c r="H35" i="299"/>
  <c r="G35" i="299"/>
  <c r="E35" i="299"/>
  <c r="D35" i="299"/>
  <c r="C35" i="299"/>
  <c r="B35" i="299"/>
  <c r="AC34" i="299"/>
  <c r="AB34" i="299"/>
  <c r="AA34" i="299"/>
  <c r="Z34" i="299"/>
  <c r="Y34" i="299"/>
  <c r="X34" i="299"/>
  <c r="W34" i="299"/>
  <c r="Q34" i="299"/>
  <c r="J34" i="299"/>
  <c r="I34" i="299"/>
  <c r="H34" i="299"/>
  <c r="G34" i="299"/>
  <c r="E34" i="299"/>
  <c r="D34" i="299"/>
  <c r="C34" i="299"/>
  <c r="B34" i="299"/>
  <c r="AC33" i="299"/>
  <c r="AB33" i="299"/>
  <c r="AA33" i="299"/>
  <c r="Z33" i="299"/>
  <c r="Y33" i="299"/>
  <c r="X33" i="299"/>
  <c r="W33" i="299"/>
  <c r="Q33" i="299"/>
  <c r="N33" i="299"/>
  <c r="J33" i="299"/>
  <c r="I33" i="299"/>
  <c r="H33" i="299"/>
  <c r="E33" i="299"/>
  <c r="D33" i="299"/>
  <c r="C33" i="299"/>
  <c r="B33" i="299"/>
  <c r="AC32" i="299"/>
  <c r="AB32" i="299"/>
  <c r="AA32" i="299"/>
  <c r="Z32" i="299"/>
  <c r="Y32" i="299"/>
  <c r="X32" i="299"/>
  <c r="W32" i="299"/>
  <c r="R32" i="299"/>
  <c r="Q32" i="299"/>
  <c r="N32" i="299"/>
  <c r="J32" i="299"/>
  <c r="I32" i="299"/>
  <c r="H32" i="299"/>
  <c r="G32" i="299"/>
  <c r="E32" i="299"/>
  <c r="D32" i="299"/>
  <c r="C32" i="299"/>
  <c r="B32" i="299"/>
  <c r="AC31" i="299"/>
  <c r="AB31" i="299"/>
  <c r="AA31" i="299"/>
  <c r="Z31" i="299"/>
  <c r="Y31" i="299"/>
  <c r="X31" i="299"/>
  <c r="W31" i="299"/>
  <c r="R31" i="299"/>
  <c r="Q31" i="299"/>
  <c r="J31" i="299"/>
  <c r="I31" i="299"/>
  <c r="H31" i="299"/>
  <c r="G31" i="299"/>
  <c r="E31" i="299"/>
  <c r="C31" i="299"/>
  <c r="B31" i="299"/>
  <c r="AC30" i="299"/>
  <c r="AB30" i="299"/>
  <c r="AA30" i="299"/>
  <c r="Z30" i="299"/>
  <c r="Y30" i="299"/>
  <c r="X30" i="299"/>
  <c r="W30" i="299"/>
  <c r="R30" i="299"/>
  <c r="Q30" i="299"/>
  <c r="J30" i="299"/>
  <c r="I30" i="299"/>
  <c r="H30" i="299"/>
  <c r="G30" i="299"/>
  <c r="E30" i="299"/>
  <c r="C30" i="299"/>
  <c r="B30" i="299"/>
  <c r="AC29" i="299"/>
  <c r="AB29" i="299"/>
  <c r="AA29" i="299"/>
  <c r="Z29" i="299"/>
  <c r="Y29" i="299"/>
  <c r="X29" i="299"/>
  <c r="W29" i="299"/>
  <c r="R29" i="299"/>
  <c r="Q29" i="299"/>
  <c r="N29" i="299"/>
  <c r="J29" i="299"/>
  <c r="I29" i="299"/>
  <c r="H29" i="299"/>
  <c r="G29" i="299"/>
  <c r="E29" i="299"/>
  <c r="C29" i="299"/>
  <c r="B29" i="299"/>
  <c r="AC28" i="299"/>
  <c r="AB28" i="299"/>
  <c r="AA28" i="299"/>
  <c r="Z28" i="299"/>
  <c r="Y28" i="299"/>
  <c r="X28" i="299"/>
  <c r="W28" i="299"/>
  <c r="R28" i="299"/>
  <c r="Q28" i="299"/>
  <c r="J28" i="299"/>
  <c r="I28" i="299"/>
  <c r="H28" i="299"/>
  <c r="G28" i="299"/>
  <c r="E28" i="299"/>
  <c r="D28" i="299"/>
  <c r="C28" i="299"/>
  <c r="B28" i="299"/>
  <c r="AC27" i="299"/>
  <c r="AB27" i="299"/>
  <c r="AA27" i="299"/>
  <c r="Z27" i="299"/>
  <c r="Y27" i="299"/>
  <c r="X27" i="299"/>
  <c r="W27" i="299"/>
  <c r="R27" i="299"/>
  <c r="Q27" i="299"/>
  <c r="J27" i="299"/>
  <c r="I27" i="299"/>
  <c r="H27" i="299"/>
  <c r="G27" i="299"/>
  <c r="E27" i="299"/>
  <c r="D27" i="299"/>
  <c r="C27" i="299"/>
  <c r="B27" i="299"/>
  <c r="AC26" i="299"/>
  <c r="AB26" i="299"/>
  <c r="AA26" i="299"/>
  <c r="Z26" i="299"/>
  <c r="Y26" i="299"/>
  <c r="X26" i="299"/>
  <c r="W26" i="299"/>
  <c r="R26" i="299"/>
  <c r="Q26" i="299"/>
  <c r="N26" i="299"/>
  <c r="J26" i="299"/>
  <c r="I26" i="299"/>
  <c r="H26" i="299"/>
  <c r="G26" i="299"/>
  <c r="E26" i="299"/>
  <c r="D26" i="299"/>
  <c r="C26" i="299"/>
  <c r="B26" i="299"/>
  <c r="AC25" i="299"/>
  <c r="AB25" i="299"/>
  <c r="AA25" i="299"/>
  <c r="Z25" i="299"/>
  <c r="Y25" i="299"/>
  <c r="X25" i="299"/>
  <c r="W25" i="299"/>
  <c r="R25" i="299"/>
  <c r="Q25" i="299"/>
  <c r="J25" i="299"/>
  <c r="I25" i="299"/>
  <c r="H25" i="299"/>
  <c r="G25" i="299"/>
  <c r="E25" i="299"/>
  <c r="D25" i="299"/>
  <c r="C25" i="299"/>
  <c r="B25" i="299"/>
  <c r="AC24" i="299"/>
  <c r="AB24" i="299"/>
  <c r="AA24" i="299"/>
  <c r="Z24" i="299"/>
  <c r="Y24" i="299"/>
  <c r="X24" i="299"/>
  <c r="W24" i="299"/>
  <c r="R24" i="299"/>
  <c r="Q24" i="299"/>
  <c r="J24" i="299"/>
  <c r="I24" i="299"/>
  <c r="H24" i="299"/>
  <c r="G24" i="299"/>
  <c r="E24" i="299"/>
  <c r="D24" i="299"/>
  <c r="C24" i="299"/>
  <c r="B24" i="299"/>
  <c r="AC23" i="299"/>
  <c r="AB23" i="299"/>
  <c r="AA23" i="299"/>
  <c r="Z23" i="299"/>
  <c r="Y23" i="299"/>
  <c r="X23" i="299"/>
  <c r="W23" i="299"/>
  <c r="R23" i="299"/>
  <c r="Q23" i="299"/>
  <c r="N23" i="299"/>
  <c r="J23" i="299"/>
  <c r="I23" i="299"/>
  <c r="H23" i="299"/>
  <c r="G23" i="299"/>
  <c r="E23" i="299"/>
  <c r="D23" i="299"/>
  <c r="C23" i="299"/>
  <c r="B23" i="299"/>
  <c r="AC22" i="299"/>
  <c r="AB22" i="299"/>
  <c r="AA22" i="299"/>
  <c r="Z22" i="299"/>
  <c r="Y22" i="299"/>
  <c r="X22" i="299"/>
  <c r="W22" i="299"/>
  <c r="R22" i="299"/>
  <c r="Q22" i="299"/>
  <c r="J22" i="299"/>
  <c r="I22" i="299"/>
  <c r="H22" i="299"/>
  <c r="G22" i="299"/>
  <c r="E22" i="299"/>
  <c r="D22" i="299"/>
  <c r="C22" i="299"/>
  <c r="B22" i="299"/>
  <c r="AC21" i="299"/>
  <c r="AB21" i="299"/>
  <c r="AA21" i="299"/>
  <c r="Z21" i="299"/>
  <c r="Y21" i="299"/>
  <c r="X21" i="299"/>
  <c r="W21" i="299"/>
  <c r="R21" i="299"/>
  <c r="Q21" i="299"/>
  <c r="J21" i="299"/>
  <c r="I21" i="299"/>
  <c r="H21" i="299"/>
  <c r="G21" i="299"/>
  <c r="E21" i="299"/>
  <c r="C21" i="299"/>
  <c r="B21" i="299"/>
  <c r="AC20" i="299"/>
  <c r="AB20" i="299"/>
  <c r="AA20" i="299"/>
  <c r="Z20" i="299"/>
  <c r="Y20" i="299"/>
  <c r="X20" i="299"/>
  <c r="W20" i="299"/>
  <c r="R20" i="299"/>
  <c r="Q20" i="299"/>
  <c r="N20" i="299"/>
  <c r="J20" i="299"/>
  <c r="I20" i="299"/>
  <c r="H20" i="299"/>
  <c r="G20" i="299"/>
  <c r="E20" i="299"/>
  <c r="C20" i="299"/>
  <c r="B20" i="299"/>
  <c r="AC19" i="299"/>
  <c r="AB19" i="299"/>
  <c r="AA19" i="299"/>
  <c r="Z19" i="299"/>
  <c r="Y19" i="299"/>
  <c r="X19" i="299"/>
  <c r="W19" i="299"/>
  <c r="R19" i="299"/>
  <c r="Q19" i="299"/>
  <c r="N19" i="299"/>
  <c r="J19" i="299"/>
  <c r="I19" i="299"/>
  <c r="H19" i="299"/>
  <c r="G19" i="299"/>
  <c r="E19" i="299"/>
  <c r="C19" i="299"/>
  <c r="B19" i="299"/>
  <c r="BA18" i="299"/>
  <c r="AC18" i="299"/>
  <c r="AB18" i="299"/>
  <c r="AA18" i="299"/>
  <c r="Z18" i="299"/>
  <c r="Y18" i="299"/>
  <c r="X18" i="299"/>
  <c r="W18" i="299"/>
  <c r="R18" i="299"/>
  <c r="Q18" i="299"/>
  <c r="J18" i="299"/>
  <c r="I18" i="299"/>
  <c r="H18" i="299"/>
  <c r="G18" i="299"/>
  <c r="E18" i="299"/>
  <c r="D18" i="299"/>
  <c r="C18" i="299"/>
  <c r="B18" i="299"/>
  <c r="AC17" i="299"/>
  <c r="AB17" i="299"/>
  <c r="AA17" i="299"/>
  <c r="Z17" i="299"/>
  <c r="Y17" i="299"/>
  <c r="X17" i="299"/>
  <c r="W17" i="299"/>
  <c r="R17" i="299"/>
  <c r="Q17" i="299"/>
  <c r="J17" i="299"/>
  <c r="I17" i="299"/>
  <c r="H17" i="299"/>
  <c r="G17" i="299"/>
  <c r="E17" i="299"/>
  <c r="C17" i="299"/>
  <c r="B17" i="299"/>
  <c r="AC16" i="299"/>
  <c r="AB16" i="299"/>
  <c r="AA16" i="299"/>
  <c r="Z16" i="299"/>
  <c r="Y16" i="299"/>
  <c r="X16" i="299"/>
  <c r="W16" i="299"/>
  <c r="R16" i="299"/>
  <c r="N16" i="299"/>
  <c r="J16" i="299"/>
  <c r="I16" i="299"/>
  <c r="H16" i="299"/>
  <c r="E16" i="299"/>
  <c r="C16" i="299"/>
  <c r="B16" i="299"/>
  <c r="AC15" i="299"/>
  <c r="AB15" i="299"/>
  <c r="AA15" i="299"/>
  <c r="Z15" i="299"/>
  <c r="Y15" i="299"/>
  <c r="X15" i="299"/>
  <c r="W15" i="299"/>
  <c r="R15" i="299"/>
  <c r="Q15" i="299"/>
  <c r="J15" i="299"/>
  <c r="I15" i="299"/>
  <c r="H15" i="299"/>
  <c r="G15" i="299"/>
  <c r="E15" i="299"/>
  <c r="C15" i="299"/>
  <c r="B15" i="299"/>
  <c r="AC14" i="299"/>
  <c r="AB14" i="299"/>
  <c r="AA14" i="299"/>
  <c r="Z14" i="299"/>
  <c r="Y14" i="299"/>
  <c r="X14" i="299"/>
  <c r="W14" i="299"/>
  <c r="R14" i="299"/>
  <c r="Q14" i="299"/>
  <c r="N14" i="299"/>
  <c r="J14" i="299"/>
  <c r="I14" i="299"/>
  <c r="H14" i="299"/>
  <c r="G14" i="299"/>
  <c r="E14" i="299"/>
  <c r="D14" i="299"/>
  <c r="C14" i="299"/>
  <c r="B14" i="299"/>
  <c r="AC13" i="299"/>
  <c r="AB13" i="299"/>
  <c r="AA13" i="299"/>
  <c r="Z13" i="299"/>
  <c r="Y13" i="299"/>
  <c r="X13" i="299"/>
  <c r="W13" i="299"/>
  <c r="R13" i="299"/>
  <c r="Q13" i="299"/>
  <c r="J13" i="299"/>
  <c r="I13" i="299"/>
  <c r="H13" i="299"/>
  <c r="G13" i="299"/>
  <c r="E13" i="299"/>
  <c r="C13" i="299"/>
  <c r="B13" i="299"/>
  <c r="AC12" i="299"/>
  <c r="AB12" i="299"/>
  <c r="AA12" i="299"/>
  <c r="Z12" i="299"/>
  <c r="Y12" i="299"/>
  <c r="X12" i="299"/>
  <c r="W12" i="299"/>
  <c r="R12" i="299"/>
  <c r="Q12" i="299"/>
  <c r="N12" i="299"/>
  <c r="J12" i="299"/>
  <c r="I12" i="299"/>
  <c r="H12" i="299"/>
  <c r="G12" i="299"/>
  <c r="E12" i="299"/>
  <c r="D12" i="299"/>
  <c r="C12" i="299"/>
  <c r="B12" i="299"/>
  <c r="A12" i="299"/>
  <c r="A13" i="299" s="1"/>
  <c r="A14" i="299" s="1"/>
  <c r="A15" i="299" s="1"/>
  <c r="A16" i="299" s="1"/>
  <c r="A17" i="299" s="1"/>
  <c r="A18" i="299" s="1"/>
  <c r="A19" i="299" s="1"/>
  <c r="A20" i="299" s="1"/>
  <c r="A21" i="299" s="1"/>
  <c r="A22" i="299" s="1"/>
  <c r="A23" i="299" s="1"/>
  <c r="A24" i="299" s="1"/>
  <c r="A25" i="299" s="1"/>
  <c r="A26" i="299" s="1"/>
  <c r="A27" i="299" s="1"/>
  <c r="A28" i="299" s="1"/>
  <c r="A29" i="299" s="1"/>
  <c r="A30" i="299" s="1"/>
  <c r="A31" i="299" s="1"/>
  <c r="A32" i="299" s="1"/>
  <c r="A33" i="299" s="1"/>
  <c r="A34" i="299" s="1"/>
  <c r="A35" i="299" s="1"/>
  <c r="A36" i="299" s="1"/>
  <c r="A37" i="299" s="1"/>
  <c r="A38" i="299" s="1"/>
  <c r="A39" i="299" s="1"/>
  <c r="A40" i="299" s="1"/>
  <c r="A41" i="299" s="1"/>
  <c r="A42" i="299" s="1"/>
  <c r="A43" i="299" s="1"/>
  <c r="A44" i="299" s="1"/>
  <c r="A45" i="299" s="1"/>
  <c r="A46" i="299" s="1"/>
  <c r="A47" i="299" s="1"/>
  <c r="A48" i="299" s="1"/>
  <c r="A49" i="299" s="1"/>
  <c r="A50" i="299" s="1"/>
  <c r="A51" i="299" s="1"/>
  <c r="A52" i="299" s="1"/>
  <c r="A53" i="299" s="1"/>
  <c r="A54" i="299" s="1"/>
  <c r="A55" i="299" s="1"/>
  <c r="A56" i="299" s="1"/>
  <c r="A57" i="299" s="1"/>
  <c r="A58" i="299" s="1"/>
  <c r="A59" i="299" s="1"/>
  <c r="A60" i="299" s="1"/>
  <c r="A61" i="299" s="1"/>
  <c r="A62" i="299" s="1"/>
  <c r="A65" i="299" s="1"/>
  <c r="A63" i="299" s="1"/>
  <c r="A67" i="299" s="1"/>
  <c r="A69" i="299" s="1"/>
  <c r="A70" i="299" s="1"/>
  <c r="A71" i="299" s="1"/>
  <c r="A72" i="299" s="1"/>
  <c r="A73" i="299" s="1"/>
  <c r="A74" i="299" s="1"/>
  <c r="A75" i="299" s="1"/>
  <c r="A76" i="299" s="1"/>
  <c r="A77" i="299" s="1"/>
  <c r="A78" i="299" s="1"/>
  <c r="A79" i="299" s="1"/>
  <c r="A80" i="299" s="1"/>
  <c r="A81" i="299" s="1"/>
  <c r="A82" i="299" s="1"/>
  <c r="A83" i="299" s="1"/>
  <c r="A84" i="299" s="1"/>
  <c r="A85" i="299" s="1"/>
  <c r="A86" i="299" s="1"/>
  <c r="A87" i="299" s="1"/>
  <c r="A88" i="299" s="1"/>
  <c r="A89" i="299" s="1"/>
  <c r="A90" i="299" s="1"/>
  <c r="A91" i="299" s="1"/>
  <c r="A92" i="299" s="1"/>
  <c r="A93" i="299" s="1"/>
  <c r="A94" i="299" s="1"/>
  <c r="A95" i="299" s="1"/>
  <c r="A96" i="299" s="1"/>
  <c r="A97" i="299" s="1"/>
  <c r="A98" i="299" s="1"/>
  <c r="A99" i="299" s="1"/>
  <c r="A101" i="299" s="1"/>
  <c r="A102" i="299" s="1"/>
  <c r="A103" i="299" s="1"/>
  <c r="A104" i="299" s="1"/>
  <c r="A105" i="299" s="1"/>
  <c r="A106" i="299" s="1"/>
  <c r="A107" i="299" s="1"/>
  <c r="A108" i="299" s="1"/>
  <c r="A109" i="299" s="1"/>
  <c r="A110" i="299" s="1"/>
  <c r="A111" i="299" s="1"/>
  <c r="A112" i="299" s="1"/>
  <c r="A113" i="299" s="1"/>
  <c r="A114" i="299" s="1"/>
  <c r="A115" i="299" s="1"/>
  <c r="A116" i="299" s="1"/>
  <c r="A117" i="299" s="1"/>
  <c r="A118" i="299" s="1"/>
  <c r="A120" i="299" s="1"/>
  <c r="A121" i="299" s="1"/>
  <c r="A123" i="299" s="1"/>
  <c r="A125" i="299" s="1"/>
  <c r="A126" i="299" s="1"/>
  <c r="A127" i="299" s="1"/>
  <c r="A128" i="299" s="1"/>
  <c r="A129" i="299" s="1"/>
  <c r="A131" i="299" s="1"/>
  <c r="A132" i="299" s="1"/>
  <c r="A134" i="299" s="1"/>
  <c r="A136" i="299" s="1"/>
  <c r="AC11" i="299"/>
  <c r="AB11" i="299"/>
  <c r="AA11" i="299"/>
  <c r="Z11" i="299"/>
  <c r="Z64" i="299" s="1"/>
  <c r="Y11" i="299"/>
  <c r="Y64" i="299" s="1"/>
  <c r="X11" i="299"/>
  <c r="X64" i="299" s="1"/>
  <c r="W11" i="299"/>
  <c r="R11" i="299"/>
  <c r="Q11" i="299"/>
  <c r="J11" i="299"/>
  <c r="J64" i="299" s="1"/>
  <c r="I11" i="299"/>
  <c r="I64" i="299" s="1"/>
  <c r="H11" i="299"/>
  <c r="H64" i="299" s="1"/>
  <c r="G11" i="299"/>
  <c r="E11" i="299"/>
  <c r="E64" i="299" s="1"/>
  <c r="C11" i="299"/>
  <c r="B11" i="299"/>
  <c r="AC9" i="299"/>
  <c r="AB9" i="299"/>
  <c r="AA9" i="299"/>
  <c r="Z9" i="299"/>
  <c r="Y9" i="299"/>
  <c r="X9" i="299"/>
  <c r="W9" i="299"/>
  <c r="R9" i="299"/>
  <c r="Q9" i="299"/>
  <c r="N9" i="299"/>
  <c r="J9" i="299"/>
  <c r="I9" i="299"/>
  <c r="H9" i="299"/>
  <c r="G9" i="299"/>
  <c r="E9" i="299"/>
  <c r="D9" i="299"/>
  <c r="C9" i="299"/>
  <c r="B9" i="299"/>
  <c r="AC8" i="299"/>
  <c r="AB8" i="299"/>
  <c r="AA8" i="299"/>
  <c r="Z8" i="299"/>
  <c r="Y8" i="299"/>
  <c r="X8" i="299"/>
  <c r="W8" i="299"/>
  <c r="R8" i="299"/>
  <c r="Q8" i="299"/>
  <c r="N8" i="299"/>
  <c r="J8" i="299"/>
  <c r="I8" i="299"/>
  <c r="H8" i="299"/>
  <c r="G8" i="299"/>
  <c r="E8" i="299"/>
  <c r="D8" i="299"/>
  <c r="C8" i="299"/>
  <c r="B8" i="299"/>
  <c r="AC7" i="299"/>
  <c r="AB7" i="299"/>
  <c r="AA7" i="299"/>
  <c r="Z7" i="299"/>
  <c r="Y7" i="299"/>
  <c r="X7" i="299"/>
  <c r="W7" i="299"/>
  <c r="R7" i="299"/>
  <c r="Q7" i="299"/>
  <c r="N7" i="299"/>
  <c r="J7" i="299"/>
  <c r="I7" i="299"/>
  <c r="H7" i="299"/>
  <c r="G7" i="299"/>
  <c r="E7" i="299"/>
  <c r="D7" i="299"/>
  <c r="C7" i="299"/>
  <c r="B7" i="299"/>
  <c r="AC6" i="299"/>
  <c r="AB6" i="299"/>
  <c r="AA6" i="299"/>
  <c r="Z6" i="299"/>
  <c r="Y6" i="299"/>
  <c r="X6" i="299"/>
  <c r="W6" i="299"/>
  <c r="R6" i="299"/>
  <c r="Q6" i="299"/>
  <c r="N6" i="299"/>
  <c r="J6" i="299"/>
  <c r="I6" i="299"/>
  <c r="H6" i="299"/>
  <c r="G6" i="299"/>
  <c r="E6" i="299"/>
  <c r="D6" i="299"/>
  <c r="C6" i="299"/>
  <c r="B6" i="299"/>
  <c r="A6" i="299"/>
  <c r="A7" i="299" s="1"/>
  <c r="A8" i="299" s="1"/>
  <c r="A9" i="299" s="1"/>
  <c r="AC5" i="299"/>
  <c r="AB5" i="299"/>
  <c r="AA5" i="299"/>
  <c r="AA10" i="299" s="1"/>
  <c r="Z5" i="299"/>
  <c r="Z10" i="299" s="1"/>
  <c r="Y5" i="299"/>
  <c r="Y10" i="299" s="1"/>
  <c r="X5" i="299"/>
  <c r="X10" i="299" s="1"/>
  <c r="W5" i="299"/>
  <c r="W10" i="299" s="1"/>
  <c r="R5" i="299"/>
  <c r="R10" i="299" s="1"/>
  <c r="Q5" i="299"/>
  <c r="Q10" i="299" s="1"/>
  <c r="N5" i="299"/>
  <c r="N10" i="299" s="1"/>
  <c r="J5" i="299"/>
  <c r="J10" i="299" s="1"/>
  <c r="I5" i="299"/>
  <c r="I10" i="299" s="1"/>
  <c r="H5" i="299"/>
  <c r="H10" i="299" s="1"/>
  <c r="G5" i="299"/>
  <c r="G10" i="299" s="1"/>
  <c r="E5" i="299"/>
  <c r="C5" i="299"/>
  <c r="B5" i="299"/>
  <c r="AB128" i="308"/>
  <c r="AA128" i="308"/>
  <c r="Z128" i="308"/>
  <c r="Y128" i="308"/>
  <c r="X128" i="308"/>
  <c r="W128" i="308"/>
  <c r="R128" i="308"/>
  <c r="N128" i="308"/>
  <c r="J128" i="308"/>
  <c r="I128" i="308"/>
  <c r="H128" i="308"/>
  <c r="G128" i="308"/>
  <c r="E128" i="308"/>
  <c r="D128" i="308"/>
  <c r="C128" i="308"/>
  <c r="B128" i="308"/>
  <c r="AB127" i="308"/>
  <c r="AA127" i="308"/>
  <c r="Z127" i="308"/>
  <c r="Y127" i="308"/>
  <c r="X127" i="308"/>
  <c r="W127" i="308"/>
  <c r="R127" i="308"/>
  <c r="Q127" i="308"/>
  <c r="N127" i="308"/>
  <c r="J127" i="308"/>
  <c r="I127" i="308"/>
  <c r="H127" i="308"/>
  <c r="G127" i="308"/>
  <c r="E127" i="308"/>
  <c r="D127" i="308"/>
  <c r="C127" i="308"/>
  <c r="B127" i="308"/>
  <c r="AB126" i="308"/>
  <c r="AA126" i="308"/>
  <c r="Z126" i="308"/>
  <c r="Y126" i="308"/>
  <c r="X126" i="308"/>
  <c r="W126" i="308"/>
  <c r="R126" i="308"/>
  <c r="Q126" i="308"/>
  <c r="N126" i="308"/>
  <c r="J126" i="308"/>
  <c r="I126" i="308"/>
  <c r="H126" i="308"/>
  <c r="G126" i="308"/>
  <c r="E126" i="308"/>
  <c r="D126" i="308"/>
  <c r="C126" i="308"/>
  <c r="B126" i="308"/>
  <c r="AB125" i="308"/>
  <c r="AA125" i="308"/>
  <c r="Z125" i="308"/>
  <c r="Y125" i="308"/>
  <c r="X125" i="308"/>
  <c r="W125" i="308"/>
  <c r="R125" i="308"/>
  <c r="N125" i="308"/>
  <c r="J125" i="308"/>
  <c r="I125" i="308"/>
  <c r="H125" i="308"/>
  <c r="E125" i="308"/>
  <c r="D125" i="308"/>
  <c r="C125" i="308"/>
  <c r="B125" i="308"/>
  <c r="AB124" i="308"/>
  <c r="AA124" i="308"/>
  <c r="Z124" i="308"/>
  <c r="Y124" i="308"/>
  <c r="X124" i="308"/>
  <c r="W124" i="308"/>
  <c r="R124" i="308"/>
  <c r="Q124" i="308"/>
  <c r="N124" i="308"/>
  <c r="J124" i="308"/>
  <c r="I124" i="308"/>
  <c r="H124" i="308"/>
  <c r="G124" i="308"/>
  <c r="E124" i="308"/>
  <c r="D124" i="308"/>
  <c r="C124" i="308"/>
  <c r="B124" i="308"/>
  <c r="AB123" i="308"/>
  <c r="AA123" i="308"/>
  <c r="Z123" i="308"/>
  <c r="Y123" i="308"/>
  <c r="X123" i="308"/>
  <c r="W123" i="308"/>
  <c r="R123" i="308"/>
  <c r="Q123" i="308"/>
  <c r="N123" i="308"/>
  <c r="J123" i="308"/>
  <c r="I123" i="308"/>
  <c r="H123" i="308"/>
  <c r="G123" i="308"/>
  <c r="E123" i="308"/>
  <c r="D123" i="308"/>
  <c r="C123" i="308"/>
  <c r="B123" i="308"/>
  <c r="AB122" i="308"/>
  <c r="Z122" i="308"/>
  <c r="Y122" i="308"/>
  <c r="X122" i="308"/>
  <c r="W122" i="308"/>
  <c r="R122" i="308"/>
  <c r="J122" i="308"/>
  <c r="I122" i="308"/>
  <c r="H122" i="308"/>
  <c r="E122" i="308"/>
  <c r="C122" i="308"/>
  <c r="B122" i="308"/>
  <c r="AB121" i="308"/>
  <c r="AA121" i="308"/>
  <c r="Z121" i="308"/>
  <c r="Y121" i="308"/>
  <c r="X121" i="308"/>
  <c r="W121" i="308"/>
  <c r="R121" i="308"/>
  <c r="N121" i="308"/>
  <c r="J121" i="308"/>
  <c r="I121" i="308"/>
  <c r="H121" i="308"/>
  <c r="E121" i="308"/>
  <c r="D121" i="308"/>
  <c r="C121" i="308"/>
  <c r="B121" i="308"/>
  <c r="AB120" i="308"/>
  <c r="Z120" i="308"/>
  <c r="Y120" i="308"/>
  <c r="X120" i="308"/>
  <c r="W120" i="308"/>
  <c r="R120" i="308"/>
  <c r="J120" i="308"/>
  <c r="I120" i="308"/>
  <c r="H120" i="308"/>
  <c r="E120" i="308"/>
  <c r="D120" i="308"/>
  <c r="C120" i="308"/>
  <c r="B120" i="308"/>
  <c r="AB119" i="308"/>
  <c r="AA119" i="308"/>
  <c r="Z119" i="308"/>
  <c r="Y119" i="308"/>
  <c r="X119" i="308"/>
  <c r="W119" i="308"/>
  <c r="R119" i="308"/>
  <c r="N119" i="308"/>
  <c r="J119" i="308"/>
  <c r="I119" i="308"/>
  <c r="H119" i="308"/>
  <c r="E119" i="308"/>
  <c r="C119" i="308"/>
  <c r="B119" i="308"/>
  <c r="AB118" i="308"/>
  <c r="AA118" i="308"/>
  <c r="Z118" i="308"/>
  <c r="Y118" i="308"/>
  <c r="X118" i="308"/>
  <c r="W118" i="308"/>
  <c r="R118" i="308"/>
  <c r="Q118" i="308"/>
  <c r="N118" i="308"/>
  <c r="J118" i="308"/>
  <c r="I118" i="308"/>
  <c r="H118" i="308"/>
  <c r="G118" i="308"/>
  <c r="E118" i="308"/>
  <c r="D118" i="308"/>
  <c r="C118" i="308"/>
  <c r="B118" i="308"/>
  <c r="AB117" i="308"/>
  <c r="Z117" i="308"/>
  <c r="Y117" i="308"/>
  <c r="X117" i="308"/>
  <c r="W117" i="308"/>
  <c r="R117" i="308"/>
  <c r="J117" i="308"/>
  <c r="I117" i="308"/>
  <c r="H117" i="308"/>
  <c r="E117" i="308"/>
  <c r="D117" i="308"/>
  <c r="C117" i="308"/>
  <c r="B117" i="308"/>
  <c r="AB116" i="308"/>
  <c r="AA116" i="308"/>
  <c r="Z116" i="308"/>
  <c r="Z129" i="308" s="1"/>
  <c r="Y116" i="308"/>
  <c r="Y129" i="308" s="1"/>
  <c r="X116" i="308"/>
  <c r="X129" i="308" s="1"/>
  <c r="W116" i="308"/>
  <c r="W129" i="308" s="1"/>
  <c r="R116" i="308"/>
  <c r="R129" i="308" s="1"/>
  <c r="Q116" i="308"/>
  <c r="N116" i="308"/>
  <c r="J116" i="308"/>
  <c r="J129" i="308" s="1"/>
  <c r="I116" i="308"/>
  <c r="I129" i="308" s="1"/>
  <c r="H116" i="308"/>
  <c r="H129" i="308" s="1"/>
  <c r="G116" i="308"/>
  <c r="E116" i="308"/>
  <c r="E129" i="308" s="1"/>
  <c r="D116" i="308"/>
  <c r="C116" i="308"/>
  <c r="B116" i="308"/>
  <c r="P115" i="308"/>
  <c r="P114" i="308"/>
  <c r="AB111" i="308"/>
  <c r="AA111" i="308"/>
  <c r="Z111" i="308"/>
  <c r="Y111" i="308"/>
  <c r="X111" i="308"/>
  <c r="W111" i="308"/>
  <c r="R111" i="308"/>
  <c r="Q111" i="308"/>
  <c r="N111" i="308"/>
  <c r="J111" i="308"/>
  <c r="I111" i="308"/>
  <c r="H111" i="308"/>
  <c r="G111" i="308"/>
  <c r="E111" i="308"/>
  <c r="D111" i="308"/>
  <c r="C111" i="308"/>
  <c r="B111" i="308"/>
  <c r="AB110" i="308"/>
  <c r="AA110" i="308"/>
  <c r="Z110" i="308"/>
  <c r="Y110" i="308"/>
  <c r="X110" i="308"/>
  <c r="W110" i="308"/>
  <c r="R110" i="308"/>
  <c r="Q110" i="308"/>
  <c r="N110" i="308"/>
  <c r="J110" i="308"/>
  <c r="I110" i="308"/>
  <c r="H110" i="308"/>
  <c r="G110" i="308"/>
  <c r="E110" i="308"/>
  <c r="D110" i="308"/>
  <c r="C110" i="308"/>
  <c r="B110" i="308"/>
  <c r="AB109" i="308"/>
  <c r="AA109" i="308"/>
  <c r="Z109" i="308"/>
  <c r="Y109" i="308"/>
  <c r="X109" i="308"/>
  <c r="W109" i="308"/>
  <c r="R109" i="308"/>
  <c r="Q109" i="308"/>
  <c r="J109" i="308"/>
  <c r="I109" i="308"/>
  <c r="H109" i="308"/>
  <c r="G109" i="308"/>
  <c r="E109" i="308"/>
  <c r="C109" i="308"/>
  <c r="B109" i="308"/>
  <c r="AB108" i="308"/>
  <c r="AA108" i="308"/>
  <c r="Z108" i="308"/>
  <c r="Y108" i="308"/>
  <c r="X108" i="308"/>
  <c r="W108" i="308"/>
  <c r="R108" i="308"/>
  <c r="Q108" i="308"/>
  <c r="J108" i="308"/>
  <c r="I108" i="308"/>
  <c r="H108" i="308"/>
  <c r="G108" i="308"/>
  <c r="E108" i="308"/>
  <c r="D108" i="308"/>
  <c r="C108" i="308"/>
  <c r="B108" i="308"/>
  <c r="AB107" i="308"/>
  <c r="AA107" i="308"/>
  <c r="Z107" i="308"/>
  <c r="Y107" i="308"/>
  <c r="X107" i="308"/>
  <c r="W107" i="308"/>
  <c r="R107" i="308"/>
  <c r="Q107" i="308"/>
  <c r="N107" i="308"/>
  <c r="J107" i="308"/>
  <c r="I107" i="308"/>
  <c r="H107" i="308"/>
  <c r="G107" i="308"/>
  <c r="E107" i="308"/>
  <c r="D107" i="308"/>
  <c r="C107" i="308"/>
  <c r="B107" i="308"/>
  <c r="AB106" i="308"/>
  <c r="AA106" i="308"/>
  <c r="Z106" i="308"/>
  <c r="Y106" i="308"/>
  <c r="X106" i="308"/>
  <c r="W106" i="308"/>
  <c r="R106" i="308"/>
  <c r="Q106" i="308"/>
  <c r="N106" i="308"/>
  <c r="J106" i="308"/>
  <c r="I106" i="308"/>
  <c r="H106" i="308"/>
  <c r="G106" i="308"/>
  <c r="E106" i="308"/>
  <c r="D106" i="308"/>
  <c r="C106" i="308"/>
  <c r="B106" i="308"/>
  <c r="AB105" i="308"/>
  <c r="Z105" i="308"/>
  <c r="Y105" i="308"/>
  <c r="X105" i="308"/>
  <c r="W105" i="308"/>
  <c r="R105" i="308"/>
  <c r="Q105" i="308"/>
  <c r="J105" i="308"/>
  <c r="I105" i="308"/>
  <c r="H105" i="308"/>
  <c r="G105" i="308"/>
  <c r="E105" i="308"/>
  <c r="D105" i="308"/>
  <c r="C105" i="308"/>
  <c r="B105" i="308"/>
  <c r="AB104" i="308"/>
  <c r="Z104" i="308"/>
  <c r="Y104" i="308"/>
  <c r="X104" i="308"/>
  <c r="W104" i="308"/>
  <c r="R104" i="308"/>
  <c r="Q104" i="308"/>
  <c r="J104" i="308"/>
  <c r="I104" i="308"/>
  <c r="H104" i="308"/>
  <c r="G104" i="308"/>
  <c r="E104" i="308"/>
  <c r="D104" i="308"/>
  <c r="C104" i="308"/>
  <c r="B104" i="308"/>
  <c r="AB103" i="308"/>
  <c r="AA103" i="308"/>
  <c r="Z103" i="308"/>
  <c r="Y103" i="308"/>
  <c r="X103" i="308"/>
  <c r="W103" i="308"/>
  <c r="R103" i="308"/>
  <c r="Q103" i="308"/>
  <c r="N103" i="308"/>
  <c r="J103" i="308"/>
  <c r="I103" i="308"/>
  <c r="H103" i="308"/>
  <c r="G103" i="308"/>
  <c r="E103" i="308"/>
  <c r="D103" i="308"/>
  <c r="C103" i="308"/>
  <c r="B103" i="308"/>
  <c r="AB102" i="308"/>
  <c r="AA102" i="308"/>
  <c r="Z102" i="308"/>
  <c r="Y102" i="308"/>
  <c r="X102" i="308"/>
  <c r="W102" i="308"/>
  <c r="R102" i="308"/>
  <c r="Q102" i="308"/>
  <c r="N102" i="308"/>
  <c r="J102" i="308"/>
  <c r="I102" i="308"/>
  <c r="H102" i="308"/>
  <c r="G102" i="308"/>
  <c r="E102" i="308"/>
  <c r="C102" i="308"/>
  <c r="B102" i="308"/>
  <c r="AB101" i="308"/>
  <c r="AA101" i="308"/>
  <c r="Y101" i="308"/>
  <c r="X101" i="308"/>
  <c r="V101" i="308"/>
  <c r="R101" i="308"/>
  <c r="Q101" i="308"/>
  <c r="J101" i="308"/>
  <c r="I101" i="308"/>
  <c r="H101" i="308"/>
  <c r="G101" i="308"/>
  <c r="E101" i="308"/>
  <c r="C101" i="308"/>
  <c r="B101" i="308"/>
  <c r="AB100" i="308"/>
  <c r="Z100" i="308"/>
  <c r="Y100" i="308"/>
  <c r="X100" i="308"/>
  <c r="W100" i="308"/>
  <c r="R100" i="308"/>
  <c r="J100" i="308"/>
  <c r="I100" i="308"/>
  <c r="H100" i="308"/>
  <c r="E100" i="308"/>
  <c r="D100" i="308"/>
  <c r="C100" i="308"/>
  <c r="B100" i="308"/>
  <c r="AB99" i="308"/>
  <c r="AA99" i="308"/>
  <c r="Z99" i="308"/>
  <c r="Y99" i="308"/>
  <c r="X99" i="308"/>
  <c r="W99" i="308"/>
  <c r="R99" i="308"/>
  <c r="N99" i="308"/>
  <c r="J99" i="308"/>
  <c r="I99" i="308"/>
  <c r="H99" i="308"/>
  <c r="G99" i="308"/>
  <c r="E99" i="308"/>
  <c r="D99" i="308"/>
  <c r="C99" i="308"/>
  <c r="B99" i="308"/>
  <c r="AB98" i="308"/>
  <c r="AA98" i="308"/>
  <c r="Z98" i="308"/>
  <c r="Y98" i="308"/>
  <c r="X98" i="308"/>
  <c r="W98" i="308"/>
  <c r="R98" i="308"/>
  <c r="N98" i="308"/>
  <c r="J98" i="308"/>
  <c r="I98" i="308"/>
  <c r="H98" i="308"/>
  <c r="G98" i="308"/>
  <c r="E98" i="308"/>
  <c r="D98" i="308"/>
  <c r="C98" i="308"/>
  <c r="B98" i="308"/>
  <c r="AB97" i="308"/>
  <c r="AA97" i="308"/>
  <c r="Z97" i="308"/>
  <c r="Y97" i="308"/>
  <c r="X97" i="308"/>
  <c r="W97" i="308"/>
  <c r="R97" i="308"/>
  <c r="Q97" i="308"/>
  <c r="J97" i="308"/>
  <c r="I97" i="308"/>
  <c r="H97" i="308"/>
  <c r="G97" i="308"/>
  <c r="E97" i="308"/>
  <c r="C97" i="308"/>
  <c r="B97" i="308"/>
  <c r="AB96" i="308"/>
  <c r="AA96" i="308"/>
  <c r="Z96" i="308"/>
  <c r="Y96" i="308"/>
  <c r="X96" i="308"/>
  <c r="W96" i="308"/>
  <c r="R96" i="308"/>
  <c r="J96" i="308"/>
  <c r="I96" i="308"/>
  <c r="H96" i="308"/>
  <c r="E96" i="308"/>
  <c r="C96" i="308"/>
  <c r="B96" i="308"/>
  <c r="AB95" i="308"/>
  <c r="AA95" i="308"/>
  <c r="Z95" i="308"/>
  <c r="Y95" i="308"/>
  <c r="X95" i="308"/>
  <c r="W95" i="308"/>
  <c r="R95" i="308"/>
  <c r="Q95" i="308"/>
  <c r="N95" i="308"/>
  <c r="J95" i="308"/>
  <c r="I95" i="308"/>
  <c r="H95" i="308"/>
  <c r="G95" i="308"/>
  <c r="E95" i="308"/>
  <c r="D95" i="308"/>
  <c r="C95" i="308"/>
  <c r="B95" i="308"/>
  <c r="AB94" i="308"/>
  <c r="AA94" i="308"/>
  <c r="Z94" i="308"/>
  <c r="Y94" i="308"/>
  <c r="X94" i="308"/>
  <c r="W94" i="308"/>
  <c r="R94" i="308"/>
  <c r="Q94" i="308"/>
  <c r="N94" i="308"/>
  <c r="J94" i="308"/>
  <c r="I94" i="308"/>
  <c r="H94" i="308"/>
  <c r="G94" i="308"/>
  <c r="E94" i="308"/>
  <c r="D94" i="308"/>
  <c r="C94" i="308"/>
  <c r="B94" i="308"/>
  <c r="AB93" i="308"/>
  <c r="AA93" i="308"/>
  <c r="Z93" i="308"/>
  <c r="Y93" i="308"/>
  <c r="X93" i="308"/>
  <c r="W93" i="308"/>
  <c r="R93" i="308"/>
  <c r="Q93" i="308"/>
  <c r="N93" i="308"/>
  <c r="J93" i="308"/>
  <c r="I93" i="308"/>
  <c r="H93" i="308"/>
  <c r="G93" i="308"/>
  <c r="E93" i="308"/>
  <c r="D93" i="308"/>
  <c r="C93" i="308"/>
  <c r="B93" i="308"/>
  <c r="AB92" i="308"/>
  <c r="AA92" i="308"/>
  <c r="Z92" i="308"/>
  <c r="Y92" i="308"/>
  <c r="X92" i="308"/>
  <c r="W92" i="308"/>
  <c r="R92" i="308"/>
  <c r="Q92" i="308"/>
  <c r="J92" i="308"/>
  <c r="I92" i="308"/>
  <c r="H92" i="308"/>
  <c r="G92" i="308"/>
  <c r="E92" i="308"/>
  <c r="D92" i="308"/>
  <c r="C92" i="308"/>
  <c r="B92" i="308"/>
  <c r="AB91" i="308"/>
  <c r="AA91" i="308"/>
  <c r="Z91" i="308"/>
  <c r="Y91" i="308"/>
  <c r="X91" i="308"/>
  <c r="W91" i="308"/>
  <c r="R91" i="308"/>
  <c r="K91" i="308"/>
  <c r="J91" i="308"/>
  <c r="I91" i="308"/>
  <c r="H91" i="308"/>
  <c r="G91" i="308"/>
  <c r="E91" i="308"/>
  <c r="C91" i="308"/>
  <c r="B91" i="308"/>
  <c r="AB90" i="308"/>
  <c r="AA90" i="308"/>
  <c r="Z90" i="308"/>
  <c r="Y90" i="308"/>
  <c r="X90" i="308"/>
  <c r="W90" i="308"/>
  <c r="R90" i="308"/>
  <c r="J90" i="308"/>
  <c r="I90" i="308"/>
  <c r="H90" i="308"/>
  <c r="G90" i="308"/>
  <c r="E90" i="308"/>
  <c r="C90" i="308"/>
  <c r="B90" i="308"/>
  <c r="AB89" i="308"/>
  <c r="AA89" i="308"/>
  <c r="Z89" i="308"/>
  <c r="Y89" i="308"/>
  <c r="X89" i="308"/>
  <c r="W89" i="308"/>
  <c r="R89" i="308"/>
  <c r="K89" i="308"/>
  <c r="J89" i="308"/>
  <c r="I89" i="308"/>
  <c r="H89" i="308"/>
  <c r="G89" i="308"/>
  <c r="E89" i="308"/>
  <c r="C89" i="308"/>
  <c r="B89" i="308"/>
  <c r="AB88" i="308"/>
  <c r="AA88" i="308"/>
  <c r="Z88" i="308"/>
  <c r="Y88" i="308"/>
  <c r="X88" i="308"/>
  <c r="W88" i="308"/>
  <c r="R88" i="308"/>
  <c r="K88" i="308"/>
  <c r="J88" i="308"/>
  <c r="I88" i="308"/>
  <c r="H88" i="308"/>
  <c r="G88" i="308"/>
  <c r="E88" i="308"/>
  <c r="D88" i="308"/>
  <c r="C88" i="308"/>
  <c r="B88" i="308"/>
  <c r="AB87" i="308"/>
  <c r="AA87" i="308"/>
  <c r="Z87" i="308"/>
  <c r="Y87" i="308"/>
  <c r="X87" i="308"/>
  <c r="W87" i="308"/>
  <c r="R87" i="308"/>
  <c r="N87" i="308"/>
  <c r="J87" i="308"/>
  <c r="I87" i="308"/>
  <c r="H87" i="308"/>
  <c r="G87" i="308"/>
  <c r="E87" i="308"/>
  <c r="C87" i="308"/>
  <c r="B87" i="308"/>
  <c r="AB86" i="308"/>
  <c r="AA86" i="308"/>
  <c r="Z86" i="308"/>
  <c r="Y86" i="308"/>
  <c r="X86" i="308"/>
  <c r="W86" i="308"/>
  <c r="R86" i="308"/>
  <c r="Q86" i="308"/>
  <c r="J86" i="308"/>
  <c r="I86" i="308"/>
  <c r="H86" i="308"/>
  <c r="G86" i="308"/>
  <c r="E86" i="308"/>
  <c r="C86" i="308"/>
  <c r="B86" i="308"/>
  <c r="AB85" i="308"/>
  <c r="AA85" i="308"/>
  <c r="Z85" i="308"/>
  <c r="Y85" i="308"/>
  <c r="X85" i="308"/>
  <c r="W85" i="308"/>
  <c r="R85" i="308"/>
  <c r="Q85" i="308"/>
  <c r="N85" i="308"/>
  <c r="J85" i="308"/>
  <c r="I85" i="308"/>
  <c r="H85" i="308"/>
  <c r="G85" i="308"/>
  <c r="E85" i="308"/>
  <c r="D85" i="308"/>
  <c r="C85" i="308"/>
  <c r="B85" i="308"/>
  <c r="AB84" i="308"/>
  <c r="AA84" i="308"/>
  <c r="Z84" i="308"/>
  <c r="Y84" i="308"/>
  <c r="X84" i="308"/>
  <c r="W84" i="308"/>
  <c r="R84" i="308"/>
  <c r="Q84" i="308"/>
  <c r="N84" i="308"/>
  <c r="J84" i="308"/>
  <c r="I84" i="308"/>
  <c r="H84" i="308"/>
  <c r="G84" i="308"/>
  <c r="E84" i="308"/>
  <c r="D84" i="308"/>
  <c r="C84" i="308"/>
  <c r="B84" i="308"/>
  <c r="AB83" i="308"/>
  <c r="Z83" i="308"/>
  <c r="Y83" i="308"/>
  <c r="X83" i="308"/>
  <c r="W83" i="308"/>
  <c r="R83" i="308"/>
  <c r="J83" i="308"/>
  <c r="I83" i="308"/>
  <c r="H83" i="308"/>
  <c r="E83" i="308"/>
  <c r="D83" i="308"/>
  <c r="C83" i="308"/>
  <c r="B83" i="308"/>
  <c r="AB82" i="308"/>
  <c r="AA82" i="308"/>
  <c r="Z82" i="308"/>
  <c r="Y82" i="308"/>
  <c r="X82" i="308"/>
  <c r="W82" i="308"/>
  <c r="R82" i="308"/>
  <c r="N82" i="308"/>
  <c r="J82" i="308"/>
  <c r="I82" i="308"/>
  <c r="H82" i="308"/>
  <c r="E82" i="308"/>
  <c r="C82" i="308"/>
  <c r="B82" i="308"/>
  <c r="AB81" i="308"/>
  <c r="AA81" i="308"/>
  <c r="Z81" i="308"/>
  <c r="Y81" i="308"/>
  <c r="X81" i="308"/>
  <c r="W81" i="308"/>
  <c r="R81" i="308"/>
  <c r="N81" i="308"/>
  <c r="J81" i="308"/>
  <c r="I81" i="308"/>
  <c r="H81" i="308"/>
  <c r="E81" i="308"/>
  <c r="D81" i="308"/>
  <c r="C81" i="308"/>
  <c r="B81" i="308"/>
  <c r="AB80" i="308"/>
  <c r="AA80" i="308"/>
  <c r="Z80" i="308"/>
  <c r="Y80" i="308"/>
  <c r="X80" i="308"/>
  <c r="W80" i="308"/>
  <c r="R80" i="308"/>
  <c r="Q80" i="308"/>
  <c r="J80" i="308"/>
  <c r="I80" i="308"/>
  <c r="H80" i="308"/>
  <c r="G80" i="308"/>
  <c r="E80" i="308"/>
  <c r="C80" i="308"/>
  <c r="B80" i="308"/>
  <c r="AB79" i="308"/>
  <c r="AA79" i="308"/>
  <c r="Z79" i="308"/>
  <c r="Y79" i="308"/>
  <c r="X79" i="308"/>
  <c r="W79" i="308"/>
  <c r="R79" i="308"/>
  <c r="Q79" i="308"/>
  <c r="J79" i="308"/>
  <c r="I79" i="308"/>
  <c r="H79" i="308"/>
  <c r="G79" i="308"/>
  <c r="E79" i="308"/>
  <c r="D79" i="308"/>
  <c r="C79" i="308"/>
  <c r="B79" i="308"/>
  <c r="AB78" i="308"/>
  <c r="AA78" i="308"/>
  <c r="Z78" i="308"/>
  <c r="Y78" i="308"/>
  <c r="X78" i="308"/>
  <c r="W78" i="308"/>
  <c r="R78" i="308"/>
  <c r="Q78" i="308"/>
  <c r="J78" i="308"/>
  <c r="I78" i="308"/>
  <c r="H78" i="308"/>
  <c r="G78" i="308"/>
  <c r="E78" i="308"/>
  <c r="D78" i="308"/>
  <c r="C78" i="308"/>
  <c r="B78" i="308"/>
  <c r="AB77" i="308"/>
  <c r="AA77" i="308"/>
  <c r="Z77" i="308"/>
  <c r="Y77" i="308"/>
  <c r="X77" i="308"/>
  <c r="W77" i="308"/>
  <c r="R77" i="308"/>
  <c r="Q77" i="308"/>
  <c r="N77" i="308"/>
  <c r="J77" i="308"/>
  <c r="I77" i="308"/>
  <c r="H77" i="308"/>
  <c r="G77" i="308"/>
  <c r="E77" i="308"/>
  <c r="D77" i="308"/>
  <c r="C77" i="308"/>
  <c r="B77" i="308"/>
  <c r="AB76" i="308"/>
  <c r="AA76" i="308"/>
  <c r="Z76" i="308"/>
  <c r="Y76" i="308"/>
  <c r="X76" i="308"/>
  <c r="W76" i="308"/>
  <c r="R76" i="308"/>
  <c r="Q76" i="308"/>
  <c r="N76" i="308"/>
  <c r="J76" i="308"/>
  <c r="I76" i="308"/>
  <c r="H76" i="308"/>
  <c r="G76" i="308"/>
  <c r="E76" i="308"/>
  <c r="C76" i="308"/>
  <c r="B76" i="308"/>
  <c r="AB75" i="308"/>
  <c r="AA75" i="308"/>
  <c r="Z75" i="308"/>
  <c r="Y75" i="308"/>
  <c r="X75" i="308"/>
  <c r="W75" i="308"/>
  <c r="R75" i="308"/>
  <c r="Q75" i="308"/>
  <c r="N75" i="308"/>
  <c r="J75" i="308"/>
  <c r="I75" i="308"/>
  <c r="H75" i="308"/>
  <c r="G75" i="308"/>
  <c r="E75" i="308"/>
  <c r="D75" i="308"/>
  <c r="C75" i="308"/>
  <c r="B75" i="308"/>
  <c r="AB74" i="308"/>
  <c r="AA74" i="308"/>
  <c r="Z74" i="308"/>
  <c r="Y74" i="308"/>
  <c r="X74" i="308"/>
  <c r="W74" i="308"/>
  <c r="R74" i="308"/>
  <c r="N74" i="308"/>
  <c r="J74" i="308"/>
  <c r="I74" i="308"/>
  <c r="H74" i="308"/>
  <c r="G74" i="308"/>
  <c r="E74" i="308"/>
  <c r="D74" i="308"/>
  <c r="C74" i="308"/>
  <c r="B74" i="308"/>
  <c r="AB73" i="308"/>
  <c r="AA73" i="308"/>
  <c r="Z73" i="308"/>
  <c r="Y73" i="308"/>
  <c r="X73" i="308"/>
  <c r="W73" i="308"/>
  <c r="R73" i="308"/>
  <c r="Q73" i="308"/>
  <c r="N73" i="308"/>
  <c r="J73" i="308"/>
  <c r="I73" i="308"/>
  <c r="H73" i="308"/>
  <c r="G73" i="308"/>
  <c r="E73" i="308"/>
  <c r="D73" i="308"/>
  <c r="C73" i="308"/>
  <c r="B73" i="308"/>
  <c r="AB72" i="308"/>
  <c r="AA72" i="308"/>
  <c r="Z72" i="308"/>
  <c r="Y72" i="308"/>
  <c r="X72" i="308"/>
  <c r="W72" i="308"/>
  <c r="R72" i="308"/>
  <c r="Q72" i="308"/>
  <c r="J72" i="308"/>
  <c r="I72" i="308"/>
  <c r="H72" i="308"/>
  <c r="G72" i="308"/>
  <c r="E72" i="308"/>
  <c r="D72" i="308"/>
  <c r="C72" i="308"/>
  <c r="B72" i="308"/>
  <c r="AB71" i="308"/>
  <c r="AA71" i="308"/>
  <c r="Z71" i="308"/>
  <c r="Y71" i="308"/>
  <c r="X71" i="308"/>
  <c r="W71" i="308"/>
  <c r="R71" i="308"/>
  <c r="Q71" i="308"/>
  <c r="N71" i="308"/>
  <c r="J71" i="308"/>
  <c r="I71" i="308"/>
  <c r="H71" i="308"/>
  <c r="G71" i="308"/>
  <c r="E71" i="308"/>
  <c r="D71" i="308"/>
  <c r="C71" i="308"/>
  <c r="B71" i="308"/>
  <c r="AB70" i="308"/>
  <c r="AA70" i="308"/>
  <c r="Z70" i="308"/>
  <c r="Y70" i="308"/>
  <c r="X70" i="308"/>
  <c r="W70" i="308"/>
  <c r="R70" i="308"/>
  <c r="Q70" i="308"/>
  <c r="N70" i="308"/>
  <c r="J70" i="308"/>
  <c r="I70" i="308"/>
  <c r="H70" i="308"/>
  <c r="G70" i="308"/>
  <c r="E70" i="308"/>
  <c r="D70" i="308"/>
  <c r="C70" i="308"/>
  <c r="B70" i="308"/>
  <c r="AB69" i="308"/>
  <c r="AA69" i="308"/>
  <c r="Z69" i="308"/>
  <c r="Y69" i="308"/>
  <c r="X69" i="308"/>
  <c r="W69" i="308"/>
  <c r="R69" i="308"/>
  <c r="Q69" i="308"/>
  <c r="J69" i="308"/>
  <c r="I69" i="308"/>
  <c r="H69" i="308"/>
  <c r="G69" i="308"/>
  <c r="E69" i="308"/>
  <c r="C69" i="308"/>
  <c r="B69" i="308"/>
  <c r="AB68" i="308"/>
  <c r="AA68" i="308"/>
  <c r="Z68" i="308"/>
  <c r="Y68" i="308"/>
  <c r="X68" i="308"/>
  <c r="W68" i="308"/>
  <c r="R68" i="308"/>
  <c r="Q68" i="308"/>
  <c r="N68" i="308"/>
  <c r="J68" i="308"/>
  <c r="I68" i="308"/>
  <c r="H68" i="308"/>
  <c r="G68" i="308"/>
  <c r="E68" i="308"/>
  <c r="D68" i="308"/>
  <c r="C68" i="308"/>
  <c r="B68" i="308"/>
  <c r="AB67" i="308"/>
  <c r="AA67" i="308"/>
  <c r="Z67" i="308"/>
  <c r="Y67" i="308"/>
  <c r="X67" i="308"/>
  <c r="W67" i="308"/>
  <c r="R67" i="308"/>
  <c r="Q67" i="308"/>
  <c r="J67" i="308"/>
  <c r="I67" i="308"/>
  <c r="H67" i="308"/>
  <c r="G67" i="308"/>
  <c r="E67" i="308"/>
  <c r="D67" i="308"/>
  <c r="C67" i="308"/>
  <c r="B67" i="308"/>
  <c r="AB66" i="308"/>
  <c r="AA66" i="308"/>
  <c r="Z66" i="308"/>
  <c r="Y66" i="308"/>
  <c r="X66" i="308"/>
  <c r="W66" i="308"/>
  <c r="R66" i="308"/>
  <c r="Q66" i="308"/>
  <c r="N66" i="308"/>
  <c r="J66" i="308"/>
  <c r="I66" i="308"/>
  <c r="H66" i="308"/>
  <c r="G66" i="308"/>
  <c r="E66" i="308"/>
  <c r="D66" i="308"/>
  <c r="C66" i="308"/>
  <c r="B66" i="308"/>
  <c r="AB65" i="308"/>
  <c r="AA65" i="308"/>
  <c r="Z65" i="308"/>
  <c r="Y65" i="308"/>
  <c r="X65" i="308"/>
  <c r="W65" i="308"/>
  <c r="R65" i="308"/>
  <c r="Q65" i="308"/>
  <c r="J65" i="308"/>
  <c r="I65" i="308"/>
  <c r="H65" i="308"/>
  <c r="G65" i="308"/>
  <c r="E65" i="308"/>
  <c r="C65" i="308"/>
  <c r="B65" i="308"/>
  <c r="AB64" i="308"/>
  <c r="AA64" i="308"/>
  <c r="Z64" i="308"/>
  <c r="Y64" i="308"/>
  <c r="X64" i="308"/>
  <c r="W64" i="308"/>
  <c r="R64" i="308"/>
  <c r="Q64" i="308"/>
  <c r="J64" i="308"/>
  <c r="I64" i="308"/>
  <c r="H64" i="308"/>
  <c r="G64" i="308"/>
  <c r="E64" i="308"/>
  <c r="D64" i="308"/>
  <c r="C64" i="308"/>
  <c r="B64" i="308"/>
  <c r="AB63" i="308"/>
  <c r="AA63" i="308"/>
  <c r="Z63" i="308"/>
  <c r="Y63" i="308"/>
  <c r="X63" i="308"/>
  <c r="W63" i="308"/>
  <c r="R63" i="308"/>
  <c r="Q63" i="308"/>
  <c r="N63" i="308"/>
  <c r="J63" i="308"/>
  <c r="I63" i="308"/>
  <c r="H63" i="308"/>
  <c r="G63" i="308"/>
  <c r="E63" i="308"/>
  <c r="D63" i="308"/>
  <c r="C63" i="308"/>
  <c r="B63" i="308"/>
  <c r="AB62" i="308"/>
  <c r="AA62" i="308"/>
  <c r="Z62" i="308"/>
  <c r="Y62" i="308"/>
  <c r="X62" i="308"/>
  <c r="W62" i="308"/>
  <c r="R62" i="308"/>
  <c r="J62" i="308"/>
  <c r="I62" i="308"/>
  <c r="H62" i="308"/>
  <c r="G62" i="308"/>
  <c r="E62" i="308"/>
  <c r="D62" i="308"/>
  <c r="C62" i="308"/>
  <c r="B62" i="308"/>
  <c r="AB61" i="308"/>
  <c r="Z61" i="308"/>
  <c r="Y61" i="308"/>
  <c r="X61" i="308"/>
  <c r="W61" i="308"/>
  <c r="R61" i="308"/>
  <c r="Q61" i="308"/>
  <c r="J61" i="308"/>
  <c r="I61" i="308"/>
  <c r="H61" i="308"/>
  <c r="G61" i="308"/>
  <c r="E61" i="308"/>
  <c r="D61" i="308"/>
  <c r="C61" i="308"/>
  <c r="B61" i="308"/>
  <c r="AB60" i="308"/>
  <c r="AA60" i="308"/>
  <c r="Z60" i="308"/>
  <c r="Y60" i="308"/>
  <c r="X60" i="308"/>
  <c r="W60" i="308"/>
  <c r="R60" i="308"/>
  <c r="N60" i="308"/>
  <c r="J60" i="308"/>
  <c r="I60" i="308"/>
  <c r="H60" i="308"/>
  <c r="E60" i="308"/>
  <c r="D60" i="308"/>
  <c r="C60" i="308"/>
  <c r="B60" i="308"/>
  <c r="AB59" i="308"/>
  <c r="AA59" i="308"/>
  <c r="Z59" i="308"/>
  <c r="Y59" i="308"/>
  <c r="X59" i="308"/>
  <c r="W59" i="308"/>
  <c r="R59" i="308"/>
  <c r="Q59" i="308"/>
  <c r="N59" i="308"/>
  <c r="J59" i="308"/>
  <c r="I59" i="308"/>
  <c r="H59" i="308"/>
  <c r="G59" i="308"/>
  <c r="E59" i="308"/>
  <c r="D59" i="308"/>
  <c r="C59" i="308"/>
  <c r="B59" i="308"/>
  <c r="AB58" i="308"/>
  <c r="AA58" i="308"/>
  <c r="Z58" i="308"/>
  <c r="Y58" i="308"/>
  <c r="X58" i="308"/>
  <c r="W58" i="308"/>
  <c r="R58" i="308"/>
  <c r="Q58" i="308"/>
  <c r="N58" i="308"/>
  <c r="J58" i="308"/>
  <c r="I58" i="308"/>
  <c r="H58" i="308"/>
  <c r="G58" i="308"/>
  <c r="E58" i="308"/>
  <c r="D58" i="308"/>
  <c r="C58" i="308"/>
  <c r="B58" i="308"/>
  <c r="AB57" i="308"/>
  <c r="AA57" i="308"/>
  <c r="Z57" i="308"/>
  <c r="Y57" i="308"/>
  <c r="X57" i="308"/>
  <c r="W57" i="308"/>
  <c r="R57" i="308"/>
  <c r="Q57" i="308"/>
  <c r="N57" i="308"/>
  <c r="J57" i="308"/>
  <c r="I57" i="308"/>
  <c r="H57" i="308"/>
  <c r="G57" i="308"/>
  <c r="E57" i="308"/>
  <c r="D57" i="308"/>
  <c r="C57" i="308"/>
  <c r="B57" i="308"/>
  <c r="AB56" i="308"/>
  <c r="AA56" i="308"/>
  <c r="Z56" i="308"/>
  <c r="Y56" i="308"/>
  <c r="X56" i="308"/>
  <c r="W56" i="308"/>
  <c r="R56" i="308"/>
  <c r="Q56" i="308"/>
  <c r="J56" i="308"/>
  <c r="I56" i="308"/>
  <c r="H56" i="308"/>
  <c r="G56" i="308"/>
  <c r="E56" i="308"/>
  <c r="D56" i="308"/>
  <c r="C56" i="308"/>
  <c r="B56" i="308"/>
  <c r="AB55" i="308"/>
  <c r="AA55" i="308"/>
  <c r="Z55" i="308"/>
  <c r="Y55" i="308"/>
  <c r="X55" i="308"/>
  <c r="W55" i="308"/>
  <c r="R55" i="308"/>
  <c r="Q55" i="308"/>
  <c r="N55" i="308"/>
  <c r="J55" i="308"/>
  <c r="I55" i="308"/>
  <c r="H55" i="308"/>
  <c r="G55" i="308"/>
  <c r="E55" i="308"/>
  <c r="D55" i="308"/>
  <c r="C55" i="308"/>
  <c r="B55" i="308"/>
  <c r="AB54" i="308"/>
  <c r="Z54" i="308"/>
  <c r="Y54" i="308"/>
  <c r="X54" i="308"/>
  <c r="W54" i="308"/>
  <c r="R54" i="308"/>
  <c r="Q54" i="308"/>
  <c r="J54" i="308"/>
  <c r="I54" i="308"/>
  <c r="H54" i="308"/>
  <c r="G54" i="308"/>
  <c r="E54" i="308"/>
  <c r="D54" i="308"/>
  <c r="C54" i="308"/>
  <c r="B54" i="308"/>
  <c r="AB53" i="308"/>
  <c r="AA53" i="308"/>
  <c r="Z53" i="308"/>
  <c r="Y53" i="308"/>
  <c r="X53" i="308"/>
  <c r="W53" i="308"/>
  <c r="R53" i="308"/>
  <c r="Q53" i="308"/>
  <c r="N53" i="308"/>
  <c r="J53" i="308"/>
  <c r="I53" i="308"/>
  <c r="H53" i="308"/>
  <c r="G53" i="308"/>
  <c r="E53" i="308"/>
  <c r="D53" i="308"/>
  <c r="C53" i="308"/>
  <c r="B53" i="308"/>
  <c r="AB52" i="308"/>
  <c r="AA52" i="308"/>
  <c r="Z52" i="308"/>
  <c r="Y52" i="308"/>
  <c r="X52" i="308"/>
  <c r="W52" i="308"/>
  <c r="R52" i="308"/>
  <c r="Q52" i="308"/>
  <c r="N52" i="308"/>
  <c r="J52" i="308"/>
  <c r="I52" i="308"/>
  <c r="H52" i="308"/>
  <c r="G52" i="308"/>
  <c r="E52" i="308"/>
  <c r="D52" i="308"/>
  <c r="C52" i="308"/>
  <c r="B52" i="308"/>
  <c r="AB51" i="308"/>
  <c r="AA51" i="308"/>
  <c r="Z51" i="308"/>
  <c r="Y51" i="308"/>
  <c r="X51" i="308"/>
  <c r="W51" i="308"/>
  <c r="R51" i="308"/>
  <c r="Q51" i="308"/>
  <c r="N51" i="308"/>
  <c r="J51" i="308"/>
  <c r="I51" i="308"/>
  <c r="H51" i="308"/>
  <c r="G51" i="308"/>
  <c r="E51" i="308"/>
  <c r="D51" i="308"/>
  <c r="C51" i="308"/>
  <c r="B51" i="308"/>
  <c r="AB50" i="308"/>
  <c r="AA50" i="308"/>
  <c r="Z50" i="308"/>
  <c r="Y50" i="308"/>
  <c r="X50" i="308"/>
  <c r="W50" i="308"/>
  <c r="R50" i="308"/>
  <c r="Q50" i="308"/>
  <c r="J50" i="308"/>
  <c r="I50" i="308"/>
  <c r="H50" i="308"/>
  <c r="G50" i="308"/>
  <c r="E50" i="308"/>
  <c r="C50" i="308"/>
  <c r="B50" i="308"/>
  <c r="AB49" i="308"/>
  <c r="AA49" i="308"/>
  <c r="Z49" i="308"/>
  <c r="Y49" i="308"/>
  <c r="X49" i="308"/>
  <c r="W49" i="308"/>
  <c r="R49" i="308"/>
  <c r="Q49" i="308"/>
  <c r="J49" i="308"/>
  <c r="I49" i="308"/>
  <c r="H49" i="308"/>
  <c r="G49" i="308"/>
  <c r="E49" i="308"/>
  <c r="D49" i="308"/>
  <c r="C49" i="308"/>
  <c r="B49" i="308"/>
  <c r="AB48" i="308"/>
  <c r="AA48" i="308"/>
  <c r="Z48" i="308"/>
  <c r="Y48" i="308"/>
  <c r="X48" i="308"/>
  <c r="W48" i="308"/>
  <c r="R48" i="308"/>
  <c r="J48" i="308"/>
  <c r="I48" i="308"/>
  <c r="H48" i="308"/>
  <c r="E48" i="308"/>
  <c r="D48" i="308"/>
  <c r="C48" i="308"/>
  <c r="B48" i="308"/>
  <c r="AB47" i="308"/>
  <c r="AA47" i="308"/>
  <c r="Z47" i="308"/>
  <c r="Y47" i="308"/>
  <c r="X47" i="308"/>
  <c r="W47" i="308"/>
  <c r="R47" i="308"/>
  <c r="Q47" i="308"/>
  <c r="J47" i="308"/>
  <c r="I47" i="308"/>
  <c r="H47" i="308"/>
  <c r="G47" i="308"/>
  <c r="E47" i="308"/>
  <c r="D47" i="308"/>
  <c r="C47" i="308"/>
  <c r="B47" i="308"/>
  <c r="AB46" i="308"/>
  <c r="AA46" i="308"/>
  <c r="Z46" i="308"/>
  <c r="Y46" i="308"/>
  <c r="X46" i="308"/>
  <c r="W46" i="308"/>
  <c r="R46" i="308"/>
  <c r="Q46" i="308"/>
  <c r="J46" i="308"/>
  <c r="I46" i="308"/>
  <c r="H46" i="308"/>
  <c r="G46" i="308"/>
  <c r="E46" i="308"/>
  <c r="D46" i="308"/>
  <c r="C46" i="308"/>
  <c r="B46" i="308"/>
  <c r="AB45" i="308"/>
  <c r="AA45" i="308"/>
  <c r="Z45" i="308"/>
  <c r="Y45" i="308"/>
  <c r="X45" i="308"/>
  <c r="W45" i="308"/>
  <c r="Q45" i="308"/>
  <c r="J45" i="308"/>
  <c r="I45" i="308"/>
  <c r="H45" i="308"/>
  <c r="G45" i="308"/>
  <c r="E45" i="308"/>
  <c r="D45" i="308"/>
  <c r="C45" i="308"/>
  <c r="B45" i="308"/>
  <c r="AB44" i="308"/>
  <c r="AA44" i="308"/>
  <c r="Z44" i="308"/>
  <c r="Y44" i="308"/>
  <c r="X44" i="308"/>
  <c r="W44" i="308"/>
  <c r="Q44" i="308"/>
  <c r="N44" i="308"/>
  <c r="J44" i="308"/>
  <c r="I44" i="308"/>
  <c r="H44" i="308"/>
  <c r="E44" i="308"/>
  <c r="D44" i="308"/>
  <c r="C44" i="308"/>
  <c r="B44" i="308"/>
  <c r="AB43" i="308"/>
  <c r="AA43" i="308"/>
  <c r="Z43" i="308"/>
  <c r="Y43" i="308"/>
  <c r="X43" i="308"/>
  <c r="W43" i="308"/>
  <c r="R43" i="308"/>
  <c r="J43" i="308"/>
  <c r="I43" i="308"/>
  <c r="H43" i="308"/>
  <c r="G43" i="308"/>
  <c r="E43" i="308"/>
  <c r="D43" i="308"/>
  <c r="C43" i="308"/>
  <c r="B43" i="308"/>
  <c r="AB42" i="308"/>
  <c r="AA42" i="308"/>
  <c r="Z42" i="308"/>
  <c r="Y42" i="308"/>
  <c r="X42" i="308"/>
  <c r="W42" i="308"/>
  <c r="R42" i="308"/>
  <c r="Q42" i="308"/>
  <c r="N42" i="308"/>
  <c r="J42" i="308"/>
  <c r="I42" i="308"/>
  <c r="H42" i="308"/>
  <c r="G42" i="308"/>
  <c r="E42" i="308"/>
  <c r="C42" i="308"/>
  <c r="B42" i="308"/>
  <c r="AB41" i="308"/>
  <c r="AA41" i="308"/>
  <c r="Z41" i="308"/>
  <c r="Y41" i="308"/>
  <c r="X41" i="308"/>
  <c r="W41" i="308"/>
  <c r="R41" i="308"/>
  <c r="Q41" i="308"/>
  <c r="N41" i="308"/>
  <c r="J41" i="308"/>
  <c r="I41" i="308"/>
  <c r="H41" i="308"/>
  <c r="G41" i="308"/>
  <c r="E41" i="308"/>
  <c r="D41" i="308"/>
  <c r="C41" i="308"/>
  <c r="B41" i="308"/>
  <c r="AB40" i="308"/>
  <c r="AA40" i="308"/>
  <c r="Z40" i="308"/>
  <c r="Y40" i="308"/>
  <c r="X40" i="308"/>
  <c r="W40" i="308"/>
  <c r="R40" i="308"/>
  <c r="Q40" i="308"/>
  <c r="J40" i="308"/>
  <c r="I40" i="308"/>
  <c r="H40" i="308"/>
  <c r="G40" i="308"/>
  <c r="E40" i="308"/>
  <c r="D40" i="308"/>
  <c r="C40" i="308"/>
  <c r="B40" i="308"/>
  <c r="AB39" i="308"/>
  <c r="AA39" i="308"/>
  <c r="Z39" i="308"/>
  <c r="Y39" i="308"/>
  <c r="X39" i="308"/>
  <c r="W39" i="308"/>
  <c r="R39" i="308"/>
  <c r="Q39" i="308"/>
  <c r="J39" i="308"/>
  <c r="I39" i="308"/>
  <c r="H39" i="308"/>
  <c r="G39" i="308"/>
  <c r="E39" i="308"/>
  <c r="C39" i="308"/>
  <c r="B39" i="308"/>
  <c r="AB38" i="308"/>
  <c r="AA38" i="308"/>
  <c r="Z38" i="308"/>
  <c r="Y38" i="308"/>
  <c r="X38" i="308"/>
  <c r="W38" i="308"/>
  <c r="R38" i="308"/>
  <c r="Q38" i="308"/>
  <c r="J38" i="308"/>
  <c r="I38" i="308"/>
  <c r="H38" i="308"/>
  <c r="G38" i="308"/>
  <c r="E38" i="308"/>
  <c r="C38" i="308"/>
  <c r="B38" i="308"/>
  <c r="AB37" i="308"/>
  <c r="AA37" i="308"/>
  <c r="Z37" i="308"/>
  <c r="Y37" i="308"/>
  <c r="X37" i="308"/>
  <c r="W37" i="308"/>
  <c r="R37" i="308"/>
  <c r="Q37" i="308"/>
  <c r="N37" i="308"/>
  <c r="J37" i="308"/>
  <c r="I37" i="308"/>
  <c r="H37" i="308"/>
  <c r="G37" i="308"/>
  <c r="E37" i="308"/>
  <c r="D37" i="308"/>
  <c r="C37" i="308"/>
  <c r="B37" i="308"/>
  <c r="AB36" i="308"/>
  <c r="AA36" i="308"/>
  <c r="Z36" i="308"/>
  <c r="Y36" i="308"/>
  <c r="X36" i="308"/>
  <c r="W36" i="308"/>
  <c r="R36" i="308"/>
  <c r="Q36" i="308"/>
  <c r="N36" i="308"/>
  <c r="J36" i="308"/>
  <c r="I36" i="308"/>
  <c r="H36" i="308"/>
  <c r="G36" i="308"/>
  <c r="E36" i="308"/>
  <c r="C36" i="308"/>
  <c r="B36" i="308"/>
  <c r="AB35" i="308"/>
  <c r="AA35" i="308"/>
  <c r="Z35" i="308"/>
  <c r="Y35" i="308"/>
  <c r="X35" i="308"/>
  <c r="W35" i="308"/>
  <c r="R35" i="308"/>
  <c r="Q35" i="308"/>
  <c r="N35" i="308"/>
  <c r="J35" i="308"/>
  <c r="I35" i="308"/>
  <c r="H35" i="308"/>
  <c r="G35" i="308"/>
  <c r="E35" i="308"/>
  <c r="C35" i="308"/>
  <c r="B35" i="308"/>
  <c r="AB34" i="308"/>
  <c r="AA34" i="308"/>
  <c r="Z34" i="308"/>
  <c r="Y34" i="308"/>
  <c r="X34" i="308"/>
  <c r="W34" i="308"/>
  <c r="R34" i="308"/>
  <c r="Q34" i="308"/>
  <c r="J34" i="308"/>
  <c r="I34" i="308"/>
  <c r="H34" i="308"/>
  <c r="G34" i="308"/>
  <c r="E34" i="308"/>
  <c r="D34" i="308"/>
  <c r="C34" i="308"/>
  <c r="B34" i="308"/>
  <c r="AB33" i="308"/>
  <c r="AA33" i="308"/>
  <c r="Z33" i="308"/>
  <c r="Y33" i="308"/>
  <c r="X33" i="308"/>
  <c r="W33" i="308"/>
  <c r="R33" i="308"/>
  <c r="Q33" i="308"/>
  <c r="J33" i="308"/>
  <c r="I33" i="308"/>
  <c r="H33" i="308"/>
  <c r="G33" i="308"/>
  <c r="E33" i="308"/>
  <c r="D33" i="308"/>
  <c r="C33" i="308"/>
  <c r="B33" i="308"/>
  <c r="AB32" i="308"/>
  <c r="AA32" i="308"/>
  <c r="Z32" i="308"/>
  <c r="Y32" i="308"/>
  <c r="X32" i="308"/>
  <c r="W32" i="308"/>
  <c r="R32" i="308"/>
  <c r="Q32" i="308"/>
  <c r="J32" i="308"/>
  <c r="I32" i="308"/>
  <c r="H32" i="308"/>
  <c r="G32" i="308"/>
  <c r="E32" i="308"/>
  <c r="C32" i="308"/>
  <c r="B32" i="308"/>
  <c r="AB31" i="308"/>
  <c r="AA31" i="308"/>
  <c r="Z31" i="308"/>
  <c r="Y31" i="308"/>
  <c r="X31" i="308"/>
  <c r="W31" i="308"/>
  <c r="R31" i="308"/>
  <c r="Q31" i="308"/>
  <c r="J31" i="308"/>
  <c r="I31" i="308"/>
  <c r="H31" i="308"/>
  <c r="G31" i="308"/>
  <c r="E31" i="308"/>
  <c r="D31" i="308"/>
  <c r="C31" i="308"/>
  <c r="B31" i="308"/>
  <c r="AB30" i="308"/>
  <c r="Z30" i="308"/>
  <c r="Y30" i="308"/>
  <c r="X30" i="308"/>
  <c r="W30" i="308"/>
  <c r="R30" i="308"/>
  <c r="N30" i="308"/>
  <c r="J30" i="308"/>
  <c r="I30" i="308"/>
  <c r="H30" i="308"/>
  <c r="E30" i="308"/>
  <c r="D30" i="308"/>
  <c r="C30" i="308"/>
  <c r="B30" i="308"/>
  <c r="AB29" i="308"/>
  <c r="AA29" i="308"/>
  <c r="Z29" i="308"/>
  <c r="Y29" i="308"/>
  <c r="X29" i="308"/>
  <c r="W29" i="308"/>
  <c r="R29" i="308"/>
  <c r="Q29" i="308"/>
  <c r="N29" i="308"/>
  <c r="J29" i="308"/>
  <c r="I29" i="308"/>
  <c r="H29" i="308"/>
  <c r="G29" i="308"/>
  <c r="E29" i="308"/>
  <c r="D29" i="308"/>
  <c r="C29" i="308"/>
  <c r="B29" i="308"/>
  <c r="AB28" i="308"/>
  <c r="AA28" i="308"/>
  <c r="Z28" i="308"/>
  <c r="Y28" i="308"/>
  <c r="X28" i="308"/>
  <c r="V28" i="308"/>
  <c r="R28" i="308"/>
  <c r="Q28" i="308"/>
  <c r="N28" i="308"/>
  <c r="J28" i="308"/>
  <c r="I28" i="308"/>
  <c r="H28" i="308"/>
  <c r="G28" i="308"/>
  <c r="E28" i="308"/>
  <c r="D28" i="308"/>
  <c r="C28" i="308"/>
  <c r="B28" i="308"/>
  <c r="AB27" i="308"/>
  <c r="AA27" i="308"/>
  <c r="Z27" i="308"/>
  <c r="Y27" i="308"/>
  <c r="X27" i="308"/>
  <c r="W27" i="308"/>
  <c r="R27" i="308"/>
  <c r="Q27" i="308"/>
  <c r="N27" i="308"/>
  <c r="J27" i="308"/>
  <c r="I27" i="308"/>
  <c r="H27" i="308"/>
  <c r="G27" i="308"/>
  <c r="E27" i="308"/>
  <c r="D27" i="308"/>
  <c r="C27" i="308"/>
  <c r="B27" i="308"/>
  <c r="AB26" i="308"/>
  <c r="AA26" i="308"/>
  <c r="Z26" i="308"/>
  <c r="Y26" i="308"/>
  <c r="X26" i="308"/>
  <c r="W26" i="308"/>
  <c r="R26" i="308"/>
  <c r="Q26" i="308"/>
  <c r="N26" i="308"/>
  <c r="J26" i="308"/>
  <c r="I26" i="308"/>
  <c r="H26" i="308"/>
  <c r="G26" i="308"/>
  <c r="E26" i="308"/>
  <c r="D26" i="308"/>
  <c r="C26" i="308"/>
  <c r="B26" i="308"/>
  <c r="AB25" i="308"/>
  <c r="AA25" i="308"/>
  <c r="Z25" i="308"/>
  <c r="Y25" i="308"/>
  <c r="X25" i="308"/>
  <c r="W25" i="308"/>
  <c r="R25" i="308"/>
  <c r="Q25" i="308"/>
  <c r="J25" i="308"/>
  <c r="I25" i="308"/>
  <c r="H25" i="308"/>
  <c r="G25" i="308"/>
  <c r="E25" i="308"/>
  <c r="D25" i="308"/>
  <c r="C25" i="308"/>
  <c r="B25" i="308"/>
  <c r="AB24" i="308"/>
  <c r="AA24" i="308"/>
  <c r="Z24" i="308"/>
  <c r="Y24" i="308"/>
  <c r="X24" i="308"/>
  <c r="W24" i="308"/>
  <c r="R24" i="308"/>
  <c r="Q24" i="308"/>
  <c r="J24" i="308"/>
  <c r="I24" i="308"/>
  <c r="H24" i="308"/>
  <c r="G24" i="308"/>
  <c r="E24" i="308"/>
  <c r="D24" i="308"/>
  <c r="C24" i="308"/>
  <c r="B24" i="308"/>
  <c r="AB23" i="308"/>
  <c r="AA23" i="308"/>
  <c r="Z23" i="308"/>
  <c r="Y23" i="308"/>
  <c r="X23" i="308"/>
  <c r="W23" i="308"/>
  <c r="R23" i="308"/>
  <c r="Q23" i="308"/>
  <c r="N23" i="308"/>
  <c r="J23" i="308"/>
  <c r="I23" i="308"/>
  <c r="H23" i="308"/>
  <c r="G23" i="308"/>
  <c r="E23" i="308"/>
  <c r="D23" i="308"/>
  <c r="C23" i="308"/>
  <c r="B23" i="308"/>
  <c r="AB22" i="308"/>
  <c r="AA22" i="308"/>
  <c r="Z22" i="308"/>
  <c r="Y22" i="308"/>
  <c r="X22" i="308"/>
  <c r="W22" i="308"/>
  <c r="R22" i="308"/>
  <c r="Q22" i="308"/>
  <c r="J22" i="308"/>
  <c r="I22" i="308"/>
  <c r="H22" i="308"/>
  <c r="G22" i="308"/>
  <c r="E22" i="308"/>
  <c r="D22" i="308"/>
  <c r="C22" i="308"/>
  <c r="B22" i="308"/>
  <c r="AB21" i="308"/>
  <c r="AA21" i="308"/>
  <c r="Z21" i="308"/>
  <c r="Y21" i="308"/>
  <c r="X21" i="308"/>
  <c r="W21" i="308"/>
  <c r="R21" i="308"/>
  <c r="Q21" i="308"/>
  <c r="J21" i="308"/>
  <c r="I21" i="308"/>
  <c r="H21" i="308"/>
  <c r="G21" i="308"/>
  <c r="E21" i="308"/>
  <c r="C21" i="308"/>
  <c r="B21" i="308"/>
  <c r="AB20" i="308"/>
  <c r="AA20" i="308"/>
  <c r="Z20" i="308"/>
  <c r="Y20" i="308"/>
  <c r="X20" i="308"/>
  <c r="W20" i="308"/>
  <c r="R20" i="308"/>
  <c r="Q20" i="308"/>
  <c r="N20" i="308"/>
  <c r="J20" i="308"/>
  <c r="I20" i="308"/>
  <c r="H20" i="308"/>
  <c r="G20" i="308"/>
  <c r="E20" i="308"/>
  <c r="C20" i="308"/>
  <c r="B20" i="308"/>
  <c r="AB19" i="308"/>
  <c r="AA19" i="308"/>
  <c r="Z19" i="308"/>
  <c r="Y19" i="308"/>
  <c r="X19" i="308"/>
  <c r="W19" i="308"/>
  <c r="R19" i="308"/>
  <c r="Q19" i="308"/>
  <c r="N19" i="308"/>
  <c r="J19" i="308"/>
  <c r="I19" i="308"/>
  <c r="H19" i="308"/>
  <c r="G19" i="308"/>
  <c r="E19" i="308"/>
  <c r="C19" i="308"/>
  <c r="B19" i="308"/>
  <c r="AB18" i="308"/>
  <c r="AA18" i="308"/>
  <c r="Z18" i="308"/>
  <c r="Y18" i="308"/>
  <c r="X18" i="308"/>
  <c r="W18" i="308"/>
  <c r="R18" i="308"/>
  <c r="Q18" i="308"/>
  <c r="N18" i="308"/>
  <c r="J18" i="308"/>
  <c r="I18" i="308"/>
  <c r="H18" i="308"/>
  <c r="G18" i="308"/>
  <c r="E18" i="308"/>
  <c r="D18" i="308"/>
  <c r="C18" i="308"/>
  <c r="B18" i="308"/>
  <c r="AB17" i="308"/>
  <c r="AA17" i="308"/>
  <c r="Z17" i="308"/>
  <c r="Y17" i="308"/>
  <c r="X17" i="308"/>
  <c r="W17" i="308"/>
  <c r="R17" i="308"/>
  <c r="Q17" i="308"/>
  <c r="N17" i="308"/>
  <c r="J17" i="308"/>
  <c r="I17" i="308"/>
  <c r="H17" i="308"/>
  <c r="G17" i="308"/>
  <c r="E17" i="308"/>
  <c r="D17" i="308"/>
  <c r="C17" i="308"/>
  <c r="B17" i="308"/>
  <c r="AB16" i="308"/>
  <c r="AA16" i="308"/>
  <c r="Z16" i="308"/>
  <c r="Y16" i="308"/>
  <c r="X16" i="308"/>
  <c r="W16" i="308"/>
  <c r="R16" i="308"/>
  <c r="Q16" i="308"/>
  <c r="N16" i="308"/>
  <c r="J16" i="308"/>
  <c r="I16" i="308"/>
  <c r="H16" i="308"/>
  <c r="G16" i="308"/>
  <c r="E16" i="308"/>
  <c r="D16" i="308"/>
  <c r="C16" i="308"/>
  <c r="B16" i="308"/>
  <c r="AB15" i="308"/>
  <c r="AA15" i="308"/>
  <c r="Z15" i="308"/>
  <c r="Y15" i="308"/>
  <c r="X15" i="308"/>
  <c r="W15" i="308"/>
  <c r="R15" i="308"/>
  <c r="Q15" i="308"/>
  <c r="J15" i="308"/>
  <c r="I15" i="308"/>
  <c r="H15" i="308"/>
  <c r="G15" i="308"/>
  <c r="E15" i="308"/>
  <c r="D15" i="308"/>
  <c r="C15" i="308"/>
  <c r="B15" i="308"/>
  <c r="AB14" i="308"/>
  <c r="AA14" i="308"/>
  <c r="Z14" i="308"/>
  <c r="Y14" i="308"/>
  <c r="X14" i="308"/>
  <c r="W14" i="308"/>
  <c r="R14" i="308"/>
  <c r="Q14" i="308"/>
  <c r="J14" i="308"/>
  <c r="I14" i="308"/>
  <c r="H14" i="308"/>
  <c r="G14" i="308"/>
  <c r="E14" i="308"/>
  <c r="C14" i="308"/>
  <c r="B14" i="308"/>
  <c r="AB13" i="308"/>
  <c r="AA13" i="308"/>
  <c r="Z13" i="308"/>
  <c r="Y13" i="308"/>
  <c r="X13" i="308"/>
  <c r="W13" i="308"/>
  <c r="R13" i="308"/>
  <c r="Q13" i="308"/>
  <c r="N13" i="308"/>
  <c r="J13" i="308"/>
  <c r="I13" i="308"/>
  <c r="H13" i="308"/>
  <c r="G13" i="308"/>
  <c r="E13" i="308"/>
  <c r="C13" i="308"/>
  <c r="B13" i="308"/>
  <c r="AB12" i="308"/>
  <c r="AA12" i="308"/>
  <c r="Z12" i="308"/>
  <c r="Y12" i="308"/>
  <c r="X12" i="308"/>
  <c r="W12" i="308"/>
  <c r="R12" i="308"/>
  <c r="N12" i="308"/>
  <c r="J12" i="308"/>
  <c r="I12" i="308"/>
  <c r="H12" i="308"/>
  <c r="E12" i="308"/>
  <c r="C12" i="308"/>
  <c r="B12" i="308"/>
  <c r="AB11" i="308"/>
  <c r="AA11" i="308"/>
  <c r="Z11" i="308"/>
  <c r="Y11" i="308"/>
  <c r="X11" i="308"/>
  <c r="W11" i="308"/>
  <c r="R11" i="308"/>
  <c r="Q11" i="308"/>
  <c r="J11" i="308"/>
  <c r="I11" i="308"/>
  <c r="H11" i="308"/>
  <c r="G11" i="308"/>
  <c r="E11" i="308"/>
  <c r="C11" i="308"/>
  <c r="B11" i="308"/>
  <c r="AB10" i="308"/>
  <c r="AA10" i="308"/>
  <c r="Z10" i="308"/>
  <c r="Y10" i="308"/>
  <c r="X10" i="308"/>
  <c r="W10" i="308"/>
  <c r="R10" i="308"/>
  <c r="Q10" i="308"/>
  <c r="N10" i="308"/>
  <c r="J10" i="308"/>
  <c r="I10" i="308"/>
  <c r="H10" i="308"/>
  <c r="G10" i="308"/>
  <c r="E10" i="308"/>
  <c r="D10" i="308"/>
  <c r="C10" i="308"/>
  <c r="B10" i="308"/>
  <c r="AB9" i="308"/>
  <c r="AA9" i="308"/>
  <c r="Z9" i="308"/>
  <c r="Y9" i="308"/>
  <c r="X9" i="308"/>
  <c r="W9" i="308"/>
  <c r="R9" i="308"/>
  <c r="Q9" i="308"/>
  <c r="J9" i="308"/>
  <c r="I9" i="308"/>
  <c r="H9" i="308"/>
  <c r="G9" i="308"/>
  <c r="E9" i="308"/>
  <c r="C9" i="308"/>
  <c r="B9" i="308"/>
  <c r="AB8" i="308"/>
  <c r="AA8" i="308"/>
  <c r="Z8" i="308"/>
  <c r="Y8" i="308"/>
  <c r="X8" i="308"/>
  <c r="W8" i="308"/>
  <c r="R8" i="308"/>
  <c r="Q8" i="308"/>
  <c r="N8" i="308"/>
  <c r="J8" i="308"/>
  <c r="I8" i="308"/>
  <c r="H8" i="308"/>
  <c r="G8" i="308"/>
  <c r="E8" i="308"/>
  <c r="C8" i="308"/>
  <c r="B8" i="308"/>
  <c r="AB7" i="308"/>
  <c r="AA7" i="308"/>
  <c r="Z7" i="308"/>
  <c r="Y7" i="308"/>
  <c r="X7" i="308"/>
  <c r="W7" i="308"/>
  <c r="R7" i="308"/>
  <c r="Q7" i="308"/>
  <c r="N7" i="308"/>
  <c r="J7" i="308"/>
  <c r="I7" i="308"/>
  <c r="H7" i="308"/>
  <c r="G7" i="308"/>
  <c r="E7" i="308"/>
  <c r="D7" i="308"/>
  <c r="C7" i="308"/>
  <c r="B7" i="308"/>
  <c r="AB6" i="308"/>
  <c r="AA6" i="308"/>
  <c r="Z6" i="308"/>
  <c r="Y6" i="308"/>
  <c r="X6" i="308"/>
  <c r="W6" i="308"/>
  <c r="R6" i="308"/>
  <c r="Q6" i="308"/>
  <c r="N6" i="308"/>
  <c r="J6" i="308"/>
  <c r="I6" i="308"/>
  <c r="H6" i="308"/>
  <c r="G6" i="308"/>
  <c r="E6" i="308"/>
  <c r="D6" i="308"/>
  <c r="C6" i="308"/>
  <c r="B6" i="308"/>
  <c r="A6" i="308"/>
  <c r="A7" i="308" s="1"/>
  <c r="A8" i="308" s="1"/>
  <c r="A9" i="308" s="1"/>
  <c r="A10" i="308" s="1"/>
  <c r="A11" i="308" s="1"/>
  <c r="A12" i="308" s="1"/>
  <c r="A13" i="308" s="1"/>
  <c r="A14" i="308" s="1"/>
  <c r="A15" i="308" s="1"/>
  <c r="A16" i="308" s="1"/>
  <c r="A17" i="308" s="1"/>
  <c r="A18" i="308" s="1"/>
  <c r="A19" i="308" s="1"/>
  <c r="A20" i="308" s="1"/>
  <c r="A21" i="308" s="1"/>
  <c r="A22" i="308" s="1"/>
  <c r="A23" i="308" s="1"/>
  <c r="A24" i="308" s="1"/>
  <c r="A25" i="308" s="1"/>
  <c r="A26" i="308" s="1"/>
  <c r="A27" i="308" s="1"/>
  <c r="A28" i="308" s="1"/>
  <c r="A29" i="308" s="1"/>
  <c r="A30" i="308" s="1"/>
  <c r="A31" i="308" s="1"/>
  <c r="A32" i="308" s="1"/>
  <c r="A33" i="308" s="1"/>
  <c r="A34" i="308" s="1"/>
  <c r="A35" i="308" s="1"/>
  <c r="A36" i="308" s="1"/>
  <c r="A37" i="308" s="1"/>
  <c r="A38" i="308" s="1"/>
  <c r="A39" i="308" s="1"/>
  <c r="A40" i="308" s="1"/>
  <c r="A41" i="308" s="1"/>
  <c r="A42" i="308" s="1"/>
  <c r="A43" i="308" s="1"/>
  <c r="A44" i="308" s="1"/>
  <c r="A45" i="308" s="1"/>
  <c r="A46" i="308" s="1"/>
  <c r="A47" i="308" s="1"/>
  <c r="A48" i="308" s="1"/>
  <c r="A49" i="308" s="1"/>
  <c r="A50" i="308" s="1"/>
  <c r="A51" i="308" s="1"/>
  <c r="A52" i="308" s="1"/>
  <c r="A53" i="308" s="1"/>
  <c r="A54" i="308" s="1"/>
  <c r="A55" i="308" s="1"/>
  <c r="A56" i="308" s="1"/>
  <c r="A57" i="308" s="1"/>
  <c r="A58" i="308" s="1"/>
  <c r="A59" i="308" s="1"/>
  <c r="A60" i="308" s="1"/>
  <c r="A61" i="308" s="1"/>
  <c r="A62" i="308" s="1"/>
  <c r="A63" i="308" s="1"/>
  <c r="A64" i="308" s="1"/>
  <c r="A65" i="308" s="1"/>
  <c r="A66" i="308" s="1"/>
  <c r="A67" i="308" s="1"/>
  <c r="A68" i="308" s="1"/>
  <c r="A69" i="308" s="1"/>
  <c r="A70" i="308" s="1"/>
  <c r="A71" i="308" s="1"/>
  <c r="A72" i="308" s="1"/>
  <c r="A73" i="308" s="1"/>
  <c r="A74" i="308" s="1"/>
  <c r="A75" i="308" s="1"/>
  <c r="A76" i="308" s="1"/>
  <c r="A77" i="308" s="1"/>
  <c r="A78" i="308" s="1"/>
  <c r="A79" i="308" s="1"/>
  <c r="A80" i="308" s="1"/>
  <c r="A81" i="308" s="1"/>
  <c r="A82" i="308" s="1"/>
  <c r="A83" i="308" s="1"/>
  <c r="A84" i="308" s="1"/>
  <c r="A85" i="308" s="1"/>
  <c r="A86" i="308" s="1"/>
  <c r="A87" i="308" s="1"/>
  <c r="A88" i="308" s="1"/>
  <c r="A89" i="308" s="1"/>
  <c r="A90" i="308" s="1"/>
  <c r="A91" i="308" s="1"/>
  <c r="A92" i="308" s="1"/>
  <c r="A93" i="308" s="1"/>
  <c r="A94" i="308" s="1"/>
  <c r="A95" i="308" s="1"/>
  <c r="A96" i="308" s="1"/>
  <c r="A97" i="308" s="1"/>
  <c r="A98" i="308" s="1"/>
  <c r="A99" i="308" s="1"/>
  <c r="A100" i="308" s="1"/>
  <c r="A101" i="308" s="1"/>
  <c r="A102" i="308" s="1"/>
  <c r="A103" i="308" s="1"/>
  <c r="A104" i="308" s="1"/>
  <c r="A105" i="308" s="1"/>
  <c r="A106" i="308" s="1"/>
  <c r="A107" i="308" s="1"/>
  <c r="A108" i="308" s="1"/>
  <c r="A109" i="308" s="1"/>
  <c r="A110" i="308" s="1"/>
  <c r="A111" i="308" s="1"/>
  <c r="A116" i="308" s="1"/>
  <c r="A117" i="308" s="1"/>
  <c r="A118" i="308" s="1"/>
  <c r="A119" i="308" s="1"/>
  <c r="A120" i="308" s="1"/>
  <c r="A121" i="308" s="1"/>
  <c r="A122" i="308" s="1"/>
  <c r="A123" i="308" s="1"/>
  <c r="A124" i="308" s="1"/>
  <c r="A125" i="308" s="1"/>
  <c r="A126" i="308" s="1"/>
  <c r="A127" i="308" s="1"/>
  <c r="A128" i="308" s="1"/>
  <c r="A130" i="308" s="1"/>
  <c r="AB5" i="308"/>
  <c r="AB112" i="308" s="1"/>
  <c r="AA5" i="308"/>
  <c r="Z5" i="308"/>
  <c r="Y5" i="308"/>
  <c r="Y112" i="308" s="1"/>
  <c r="X5" i="308"/>
  <c r="X112" i="308" s="1"/>
  <c r="W5" i="308"/>
  <c r="R5" i="308"/>
  <c r="Q5" i="308"/>
  <c r="J5" i="308"/>
  <c r="J112" i="308" s="1"/>
  <c r="I5" i="308"/>
  <c r="I112" i="308" s="1"/>
  <c r="H5" i="308"/>
  <c r="H112" i="308" s="1"/>
  <c r="G5" i="308"/>
  <c r="E5" i="308"/>
  <c r="C5" i="308"/>
  <c r="B5" i="308"/>
  <c r="Z129" i="274"/>
  <c r="Y129" i="274"/>
  <c r="Y130" i="274" s="1"/>
  <c r="E15" i="68" s="1"/>
  <c r="X129" i="274"/>
  <c r="X130" i="274" s="1"/>
  <c r="W129" i="274"/>
  <c r="R129" i="274"/>
  <c r="J129" i="274"/>
  <c r="J130" i="274" s="1"/>
  <c r="I129" i="274"/>
  <c r="H129" i="274"/>
  <c r="H130" i="274" s="1"/>
  <c r="E129" i="274"/>
  <c r="Q128" i="274"/>
  <c r="L128" i="274"/>
  <c r="P128" i="274" s="1"/>
  <c r="K128" i="274"/>
  <c r="F128" i="274"/>
  <c r="S127" i="274"/>
  <c r="K127" i="274"/>
  <c r="F127" i="274"/>
  <c r="S126" i="274"/>
  <c r="K126" i="274"/>
  <c r="F126" i="274"/>
  <c r="Q125" i="274"/>
  <c r="S125" i="274" s="1"/>
  <c r="K125" i="274"/>
  <c r="G125" i="274"/>
  <c r="F125" i="274"/>
  <c r="S124" i="274"/>
  <c r="K124" i="274"/>
  <c r="F124" i="274"/>
  <c r="S123" i="274"/>
  <c r="K123" i="274"/>
  <c r="L123" i="274" s="1"/>
  <c r="F123" i="274"/>
  <c r="AA122" i="274"/>
  <c r="S122" i="274"/>
  <c r="Q122" i="274"/>
  <c r="N122" i="274"/>
  <c r="K122" i="274"/>
  <c r="G122" i="274"/>
  <c r="D122" i="274"/>
  <c r="S121" i="274"/>
  <c r="Q121" i="274"/>
  <c r="L121" i="274"/>
  <c r="K121" i="274"/>
  <c r="G121" i="274"/>
  <c r="F121" i="274"/>
  <c r="AA120" i="274"/>
  <c r="Q120" i="274"/>
  <c r="N120" i="274"/>
  <c r="L120" i="274"/>
  <c r="K120" i="274"/>
  <c r="G120" i="274"/>
  <c r="F120" i="274"/>
  <c r="S119" i="274"/>
  <c r="Q119" i="274"/>
  <c r="L119" i="274"/>
  <c r="K119" i="274"/>
  <c r="G119" i="274"/>
  <c r="F119" i="274"/>
  <c r="D119" i="274"/>
  <c r="S118" i="274"/>
  <c r="L118" i="274"/>
  <c r="P118" i="274" s="1"/>
  <c r="K118" i="274"/>
  <c r="F118" i="274"/>
  <c r="AA117" i="274"/>
  <c r="AA129" i="274" s="1"/>
  <c r="S117" i="274"/>
  <c r="Q117" i="274"/>
  <c r="N117" i="274"/>
  <c r="N129" i="274" s="1"/>
  <c r="L117" i="274"/>
  <c r="K117" i="274"/>
  <c r="G117" i="274"/>
  <c r="G129" i="274" s="1"/>
  <c r="F117" i="274"/>
  <c r="S116" i="274"/>
  <c r="L116" i="274"/>
  <c r="P116" i="274" s="1"/>
  <c r="K116" i="274"/>
  <c r="F116" i="274"/>
  <c r="P115" i="274"/>
  <c r="P114" i="274"/>
  <c r="AB112" i="274"/>
  <c r="Y112" i="274"/>
  <c r="X112" i="274"/>
  <c r="J112" i="274"/>
  <c r="I112" i="274"/>
  <c r="I130" i="274" s="1"/>
  <c r="H112" i="274"/>
  <c r="E112" i="274"/>
  <c r="E130" i="274" s="1"/>
  <c r="C8" i="12" s="1"/>
  <c r="S111" i="274"/>
  <c r="K111" i="274"/>
  <c r="F111" i="274"/>
  <c r="S110" i="274"/>
  <c r="L110" i="274"/>
  <c r="P110" i="274" s="1"/>
  <c r="K110" i="274"/>
  <c r="F110" i="274"/>
  <c r="S109" i="274"/>
  <c r="N109" i="274"/>
  <c r="L109" i="274"/>
  <c r="K109" i="274"/>
  <c r="F109" i="274"/>
  <c r="D109" i="274"/>
  <c r="S108" i="274"/>
  <c r="N108" i="274"/>
  <c r="K108" i="274"/>
  <c r="F108" i="274"/>
  <c r="S107" i="274"/>
  <c r="L107" i="274"/>
  <c r="P107" i="274" s="1"/>
  <c r="K107" i="274"/>
  <c r="F107" i="274"/>
  <c r="S106" i="274"/>
  <c r="K106" i="274"/>
  <c r="L106" i="274" s="1"/>
  <c r="F106" i="274"/>
  <c r="AA105" i="274"/>
  <c r="S105" i="274"/>
  <c r="N105" i="274"/>
  <c r="L105" i="274"/>
  <c r="K105" i="274"/>
  <c r="F105" i="274"/>
  <c r="AA104" i="274"/>
  <c r="S104" i="274"/>
  <c r="N104" i="274"/>
  <c r="K104" i="274"/>
  <c r="F104" i="274"/>
  <c r="S103" i="274"/>
  <c r="L103" i="274"/>
  <c r="P103" i="274" s="1"/>
  <c r="K103" i="274"/>
  <c r="F103" i="274"/>
  <c r="S102" i="274"/>
  <c r="K102" i="274"/>
  <c r="L102" i="274" s="1"/>
  <c r="D102" i="274"/>
  <c r="Z101" i="274"/>
  <c r="Z112" i="274" s="1"/>
  <c r="Z130" i="274" s="1"/>
  <c r="E16" i="68" s="1"/>
  <c r="S101" i="274"/>
  <c r="N101" i="274"/>
  <c r="K101" i="274"/>
  <c r="D101" i="274"/>
  <c r="F101" i="274" s="1"/>
  <c r="AA100" i="274"/>
  <c r="S100" i="274"/>
  <c r="Q100" i="274"/>
  <c r="N100" i="274"/>
  <c r="L100" i="274"/>
  <c r="K100" i="274"/>
  <c r="G100" i="274"/>
  <c r="F100" i="274"/>
  <c r="S99" i="274"/>
  <c r="Q99" i="274"/>
  <c r="K99" i="274"/>
  <c r="F99" i="274"/>
  <c r="S98" i="274"/>
  <c r="Q98" i="274"/>
  <c r="K98" i="274"/>
  <c r="F98" i="274"/>
  <c r="S97" i="274"/>
  <c r="N97" i="274"/>
  <c r="K97" i="274"/>
  <c r="D97" i="274"/>
  <c r="F97" i="274" s="1"/>
  <c r="Q96" i="274"/>
  <c r="N96" i="274"/>
  <c r="K96" i="274"/>
  <c r="L96" i="274" s="1"/>
  <c r="G96" i="274"/>
  <c r="F96" i="274"/>
  <c r="D96" i="274"/>
  <c r="S95" i="274"/>
  <c r="L95" i="274"/>
  <c r="P95" i="274" s="1"/>
  <c r="K95" i="274"/>
  <c r="F95" i="274"/>
  <c r="S94" i="274"/>
  <c r="K94" i="274"/>
  <c r="L94" i="274" s="1"/>
  <c r="F94" i="274"/>
  <c r="S93" i="274"/>
  <c r="L93" i="274"/>
  <c r="P93" i="274" s="1"/>
  <c r="K93" i="274"/>
  <c r="F93" i="274"/>
  <c r="S92" i="274"/>
  <c r="N92" i="274"/>
  <c r="L92" i="274"/>
  <c r="K92" i="274"/>
  <c r="F92" i="274"/>
  <c r="Q91" i="274"/>
  <c r="N91" i="274"/>
  <c r="L91" i="274"/>
  <c r="F91" i="274"/>
  <c r="D91" i="274"/>
  <c r="S90" i="274"/>
  <c r="Q90" i="274"/>
  <c r="N90" i="274"/>
  <c r="L90" i="274"/>
  <c r="K90" i="274"/>
  <c r="F90" i="274"/>
  <c r="D90" i="274"/>
  <c r="S89" i="274"/>
  <c r="Q89" i="274"/>
  <c r="N89" i="274"/>
  <c r="L89" i="274"/>
  <c r="D89" i="274"/>
  <c r="Q88" i="274"/>
  <c r="N88" i="274"/>
  <c r="L88" i="274"/>
  <c r="F88" i="274"/>
  <c r="Q87" i="274"/>
  <c r="L87" i="274"/>
  <c r="P87" i="274" s="1"/>
  <c r="K87" i="274"/>
  <c r="F87" i="274"/>
  <c r="D87" i="274"/>
  <c r="S86" i="274"/>
  <c r="N86" i="274"/>
  <c r="K86" i="274"/>
  <c r="L86" i="274" s="1"/>
  <c r="D86" i="274"/>
  <c r="S85" i="274"/>
  <c r="K85" i="274"/>
  <c r="L85" i="274" s="1"/>
  <c r="F85" i="274"/>
  <c r="S84" i="274"/>
  <c r="L84" i="274"/>
  <c r="P84" i="274" s="1"/>
  <c r="K84" i="274"/>
  <c r="F84" i="274"/>
  <c r="AA83" i="274"/>
  <c r="S83" i="274"/>
  <c r="Q83" i="274"/>
  <c r="N83" i="274"/>
  <c r="L83" i="274"/>
  <c r="K83" i="274"/>
  <c r="G83" i="274"/>
  <c r="F83" i="274"/>
  <c r="S82" i="274"/>
  <c r="Q82" i="274"/>
  <c r="K82" i="274"/>
  <c r="G82" i="274"/>
  <c r="F82" i="274"/>
  <c r="D82" i="274"/>
  <c r="S81" i="274"/>
  <c r="Q81" i="274"/>
  <c r="K81" i="274"/>
  <c r="L81" i="274" s="1"/>
  <c r="G81" i="274"/>
  <c r="F81" i="274"/>
  <c r="S80" i="274"/>
  <c r="N80" i="274"/>
  <c r="L80" i="274"/>
  <c r="K80" i="274"/>
  <c r="F80" i="274"/>
  <c r="D80" i="274"/>
  <c r="S79" i="274"/>
  <c r="N79" i="274"/>
  <c r="K79" i="274"/>
  <c r="F79" i="274"/>
  <c r="S78" i="274"/>
  <c r="N78" i="274"/>
  <c r="K78" i="274"/>
  <c r="F78" i="274"/>
  <c r="S77" i="274"/>
  <c r="L77" i="274"/>
  <c r="P77" i="274" s="1"/>
  <c r="K77" i="274"/>
  <c r="F77" i="274"/>
  <c r="S76" i="274"/>
  <c r="K76" i="274"/>
  <c r="L76" i="274" s="1"/>
  <c r="D76" i="274"/>
  <c r="S75" i="274"/>
  <c r="K75" i="274"/>
  <c r="L75" i="274" s="1"/>
  <c r="F75" i="274"/>
  <c r="S74" i="274"/>
  <c r="Q74" i="274"/>
  <c r="K74" i="274"/>
  <c r="L74" i="274" s="1"/>
  <c r="F74" i="274"/>
  <c r="S73" i="274"/>
  <c r="L73" i="274"/>
  <c r="P73" i="274" s="1"/>
  <c r="K73" i="274"/>
  <c r="F73" i="274"/>
  <c r="S72" i="274"/>
  <c r="N72" i="274"/>
  <c r="L72" i="274"/>
  <c r="K72" i="274"/>
  <c r="F72" i="274"/>
  <c r="S71" i="274"/>
  <c r="K71" i="274"/>
  <c r="F71" i="274"/>
  <c r="S70" i="274"/>
  <c r="L70" i="274"/>
  <c r="P70" i="274" s="1"/>
  <c r="K70" i="274"/>
  <c r="F70" i="274"/>
  <c r="S69" i="274"/>
  <c r="N69" i="274"/>
  <c r="L69" i="274"/>
  <c r="K69" i="274"/>
  <c r="F69" i="274"/>
  <c r="D69" i="274"/>
  <c r="S68" i="274"/>
  <c r="L68" i="274"/>
  <c r="P68" i="274" s="1"/>
  <c r="K68" i="274"/>
  <c r="F68" i="274"/>
  <c r="S67" i="274"/>
  <c r="N67" i="274"/>
  <c r="L67" i="274"/>
  <c r="K67" i="274"/>
  <c r="F67" i="274"/>
  <c r="S66" i="274"/>
  <c r="K66" i="274"/>
  <c r="L66" i="274" s="1"/>
  <c r="F66" i="274"/>
  <c r="S65" i="274"/>
  <c r="N65" i="274"/>
  <c r="K65" i="274"/>
  <c r="L65" i="274" s="1"/>
  <c r="D65" i="274"/>
  <c r="S64" i="274"/>
  <c r="N64" i="274"/>
  <c r="L64" i="274"/>
  <c r="K64" i="274"/>
  <c r="F64" i="274"/>
  <c r="S63" i="274"/>
  <c r="K63" i="274"/>
  <c r="L63" i="274" s="1"/>
  <c r="F63" i="274"/>
  <c r="S62" i="274"/>
  <c r="Q62" i="274"/>
  <c r="N62" i="274"/>
  <c r="L62" i="274"/>
  <c r="K62" i="274"/>
  <c r="F62" i="274"/>
  <c r="AA61" i="274"/>
  <c r="S61" i="274"/>
  <c r="N61" i="274"/>
  <c r="K61" i="274"/>
  <c r="F61" i="274"/>
  <c r="S60" i="274"/>
  <c r="Q60" i="274"/>
  <c r="K60" i="274"/>
  <c r="G60" i="274"/>
  <c r="F60" i="274"/>
  <c r="S59" i="274"/>
  <c r="K59" i="274"/>
  <c r="F59" i="274"/>
  <c r="S58" i="274"/>
  <c r="L58" i="274"/>
  <c r="P58" i="274" s="1"/>
  <c r="K58" i="274"/>
  <c r="F58" i="274"/>
  <c r="S57" i="274"/>
  <c r="K57" i="274"/>
  <c r="L57" i="274" s="1"/>
  <c r="F57" i="274"/>
  <c r="S56" i="274"/>
  <c r="N56" i="274"/>
  <c r="K56" i="274"/>
  <c r="L56" i="274" s="1"/>
  <c r="F56" i="274"/>
  <c r="S55" i="274"/>
  <c r="L55" i="274"/>
  <c r="P55" i="274" s="1"/>
  <c r="K55" i="274"/>
  <c r="F55" i="274"/>
  <c r="AA54" i="274"/>
  <c r="S54" i="274"/>
  <c r="N54" i="274"/>
  <c r="K54" i="274"/>
  <c r="L54" i="274" s="1"/>
  <c r="F54" i="274"/>
  <c r="S53" i="274"/>
  <c r="L53" i="274"/>
  <c r="P53" i="274" s="1"/>
  <c r="K53" i="274"/>
  <c r="F53" i="274"/>
  <c r="S52" i="274"/>
  <c r="K52" i="274"/>
  <c r="F52" i="274"/>
  <c r="S51" i="274"/>
  <c r="L51" i="274"/>
  <c r="P51" i="274" s="1"/>
  <c r="K51" i="274"/>
  <c r="F51" i="274"/>
  <c r="S50" i="274"/>
  <c r="N50" i="274"/>
  <c r="L50" i="274"/>
  <c r="K50" i="274"/>
  <c r="F50" i="274"/>
  <c r="D50" i="274"/>
  <c r="S49" i="274"/>
  <c r="N49" i="274"/>
  <c r="K49" i="274"/>
  <c r="F49" i="274"/>
  <c r="S48" i="274"/>
  <c r="Q48" i="274"/>
  <c r="N48" i="274"/>
  <c r="L48" i="274"/>
  <c r="K48" i="274"/>
  <c r="G48" i="274"/>
  <c r="F48" i="274"/>
  <c r="S47" i="274"/>
  <c r="N47" i="274"/>
  <c r="K47" i="274"/>
  <c r="L47" i="274" s="1"/>
  <c r="F47" i="274"/>
  <c r="S46" i="274"/>
  <c r="N46" i="274"/>
  <c r="K46" i="274"/>
  <c r="L46" i="274" s="1"/>
  <c r="F46" i="274"/>
  <c r="S45" i="274"/>
  <c r="R45" i="274"/>
  <c r="N45" i="274"/>
  <c r="L45" i="274"/>
  <c r="K45" i="274"/>
  <c r="F45" i="274"/>
  <c r="R44" i="274"/>
  <c r="R112" i="274" s="1"/>
  <c r="R130" i="274" s="1"/>
  <c r="L44" i="274"/>
  <c r="K44" i="274"/>
  <c r="G44" i="274"/>
  <c r="F44" i="274"/>
  <c r="S43" i="274"/>
  <c r="Q43" i="274"/>
  <c r="N43" i="274"/>
  <c r="L43" i="274"/>
  <c r="K43" i="274"/>
  <c r="F43" i="274"/>
  <c r="S42" i="274"/>
  <c r="K42" i="274"/>
  <c r="D42" i="274"/>
  <c r="S41" i="274"/>
  <c r="K41" i="274"/>
  <c r="F41" i="274"/>
  <c r="S40" i="274"/>
  <c r="N40" i="274"/>
  <c r="K40" i="274"/>
  <c r="F40" i="274"/>
  <c r="S39" i="274"/>
  <c r="N39" i="274"/>
  <c r="K39" i="274"/>
  <c r="D39" i="274"/>
  <c r="F39" i="274" s="1"/>
  <c r="S38" i="274"/>
  <c r="N38" i="274"/>
  <c r="L38" i="274"/>
  <c r="K38" i="274"/>
  <c r="F38" i="274"/>
  <c r="D38" i="274"/>
  <c r="S37" i="274"/>
  <c r="L37" i="274"/>
  <c r="P37" i="274" s="1"/>
  <c r="K37" i="274"/>
  <c r="F37" i="274"/>
  <c r="S36" i="274"/>
  <c r="K36" i="274"/>
  <c r="D36" i="274"/>
  <c r="S35" i="274"/>
  <c r="K35" i="274"/>
  <c r="D35" i="274"/>
  <c r="S34" i="274"/>
  <c r="N34" i="274"/>
  <c r="L34" i="274"/>
  <c r="K34" i="274"/>
  <c r="F34" i="274"/>
  <c r="S33" i="274"/>
  <c r="N33" i="274"/>
  <c r="L33" i="274"/>
  <c r="K33" i="274"/>
  <c r="F33" i="274"/>
  <c r="S32" i="274"/>
  <c r="N32" i="274"/>
  <c r="L32" i="274"/>
  <c r="K32" i="274"/>
  <c r="F32" i="274"/>
  <c r="D32" i="274"/>
  <c r="S31" i="274"/>
  <c r="N31" i="274"/>
  <c r="K31" i="274"/>
  <c r="L31" i="274" s="1"/>
  <c r="F31" i="274"/>
  <c r="AA30" i="274"/>
  <c r="Q30" i="274"/>
  <c r="S30" i="274" s="1"/>
  <c r="L30" i="274"/>
  <c r="K30" i="274"/>
  <c r="G30" i="274"/>
  <c r="F30" i="274"/>
  <c r="S29" i="274"/>
  <c r="L29" i="274"/>
  <c r="P29" i="274" s="1"/>
  <c r="K29" i="274"/>
  <c r="F29" i="274"/>
  <c r="S28" i="274"/>
  <c r="K28" i="274"/>
  <c r="L28" i="274" s="1"/>
  <c r="F28" i="274"/>
  <c r="S27" i="274"/>
  <c r="L27" i="274"/>
  <c r="P27" i="274" s="1"/>
  <c r="K27" i="274"/>
  <c r="K7" i="299" s="1"/>
  <c r="F27" i="274"/>
  <c r="F7" i="299" s="1"/>
  <c r="S26" i="274"/>
  <c r="K26" i="274"/>
  <c r="F26" i="274"/>
  <c r="F6" i="299" s="1"/>
  <c r="S25" i="274"/>
  <c r="N25" i="274"/>
  <c r="N25" i="299" s="1"/>
  <c r="BB25" i="299" s="1"/>
  <c r="K25" i="274"/>
  <c r="F25" i="274"/>
  <c r="F25" i="299" s="1"/>
  <c r="S24" i="274"/>
  <c r="N24" i="274"/>
  <c r="N24" i="299" s="1"/>
  <c r="BB24" i="299" s="1"/>
  <c r="K24" i="274"/>
  <c r="F24" i="274"/>
  <c r="F24" i="299" s="1"/>
  <c r="S23" i="274"/>
  <c r="L23" i="274"/>
  <c r="P23" i="274" s="1"/>
  <c r="K23" i="274"/>
  <c r="F23" i="274"/>
  <c r="F23" i="299" s="1"/>
  <c r="S22" i="274"/>
  <c r="N22" i="274"/>
  <c r="N22" i="299" s="1"/>
  <c r="L22" i="274"/>
  <c r="K22" i="274"/>
  <c r="F22" i="274"/>
  <c r="F22" i="299" s="1"/>
  <c r="S21" i="274"/>
  <c r="N21" i="274"/>
  <c r="N21" i="299" s="1"/>
  <c r="BB21" i="299" s="1"/>
  <c r="L21" i="274"/>
  <c r="L21" i="299" s="1"/>
  <c r="K21" i="274"/>
  <c r="K21" i="299" s="1"/>
  <c r="F21" i="274"/>
  <c r="F21" i="299" s="1"/>
  <c r="D21" i="274"/>
  <c r="D21" i="299" s="1"/>
  <c r="S20" i="274"/>
  <c r="S20" i="299" s="1"/>
  <c r="L20" i="274"/>
  <c r="L20" i="299" s="1"/>
  <c r="K20" i="274"/>
  <c r="K20" i="299" s="1"/>
  <c r="F20" i="274"/>
  <c r="F20" i="299" s="1"/>
  <c r="D20" i="274"/>
  <c r="D20" i="299" s="1"/>
  <c r="S19" i="274"/>
  <c r="S19" i="299" s="1"/>
  <c r="L19" i="274"/>
  <c r="L19" i="299" s="1"/>
  <c r="K19" i="274"/>
  <c r="K19" i="299" s="1"/>
  <c r="F19" i="274"/>
  <c r="F19" i="299" s="1"/>
  <c r="D19" i="274"/>
  <c r="D19" i="299" s="1"/>
  <c r="S18" i="274"/>
  <c r="S63" i="299" s="1"/>
  <c r="L18" i="274"/>
  <c r="L63" i="299" s="1"/>
  <c r="K18" i="274"/>
  <c r="K63" i="299" s="1"/>
  <c r="F18" i="274"/>
  <c r="F63" i="299" s="1"/>
  <c r="S17" i="274"/>
  <c r="S62" i="299" s="1"/>
  <c r="K17" i="274"/>
  <c r="K62" i="299" s="1"/>
  <c r="F17" i="274"/>
  <c r="F62" i="299" s="1"/>
  <c r="S16" i="274"/>
  <c r="S108" i="299" s="1"/>
  <c r="L16" i="274"/>
  <c r="L108" i="299" s="1"/>
  <c r="K16" i="274"/>
  <c r="K108" i="299" s="1"/>
  <c r="F16" i="274"/>
  <c r="F108" i="299" s="1"/>
  <c r="S15" i="274"/>
  <c r="S18" i="299" s="1"/>
  <c r="N15" i="274"/>
  <c r="N18" i="299" s="1"/>
  <c r="L15" i="274"/>
  <c r="L18" i="299" s="1"/>
  <c r="K15" i="274"/>
  <c r="K18" i="299" s="1"/>
  <c r="F15" i="274"/>
  <c r="F18" i="299" s="1"/>
  <c r="S14" i="274"/>
  <c r="S17" i="299" s="1"/>
  <c r="N14" i="274"/>
  <c r="N17" i="299" s="1"/>
  <c r="L14" i="274"/>
  <c r="L17" i="299" s="1"/>
  <c r="K14" i="274"/>
  <c r="K17" i="299" s="1"/>
  <c r="F14" i="274"/>
  <c r="F17" i="299" s="1"/>
  <c r="D14" i="274"/>
  <c r="D17" i="299" s="1"/>
  <c r="S13" i="274"/>
  <c r="S134" i="299" s="1"/>
  <c r="S135" i="299" s="1"/>
  <c r="L13" i="274"/>
  <c r="L134" i="299" s="1"/>
  <c r="L135" i="299" s="1"/>
  <c r="K13" i="274"/>
  <c r="K134" i="299" s="1"/>
  <c r="K135" i="299" s="1"/>
  <c r="F13" i="274"/>
  <c r="F134" i="299" s="1"/>
  <c r="F135" i="299" s="1"/>
  <c r="D13" i="274"/>
  <c r="D134" i="299" s="1"/>
  <c r="D135" i="299" s="1"/>
  <c r="S12" i="274"/>
  <c r="S16" i="299" s="1"/>
  <c r="Q12" i="274"/>
  <c r="Q16" i="299" s="1"/>
  <c r="K12" i="274"/>
  <c r="K16" i="299" s="1"/>
  <c r="G12" i="274"/>
  <c r="G16" i="299" s="1"/>
  <c r="F12" i="274"/>
  <c r="F16" i="299" s="1"/>
  <c r="D12" i="274"/>
  <c r="D16" i="299" s="1"/>
  <c r="S11" i="274"/>
  <c r="S15" i="299" s="1"/>
  <c r="N11" i="274"/>
  <c r="N15" i="299" s="1"/>
  <c r="K11" i="274"/>
  <c r="K15" i="299" s="1"/>
  <c r="D11" i="274"/>
  <c r="D15" i="299" s="1"/>
  <c r="S10" i="274"/>
  <c r="S14" i="299" s="1"/>
  <c r="K10" i="274"/>
  <c r="K14" i="299" s="1"/>
  <c r="F10" i="274"/>
  <c r="F14" i="299" s="1"/>
  <c r="S9" i="274"/>
  <c r="S13" i="299" s="1"/>
  <c r="N9" i="274"/>
  <c r="N13" i="299" s="1"/>
  <c r="K9" i="274"/>
  <c r="K13" i="299" s="1"/>
  <c r="D9" i="274"/>
  <c r="D13" i="299" s="1"/>
  <c r="S8" i="274"/>
  <c r="S5" i="299" s="1"/>
  <c r="K8" i="274"/>
  <c r="K5" i="299" s="1"/>
  <c r="D8" i="274"/>
  <c r="D5" i="299" s="1"/>
  <c r="S7" i="274"/>
  <c r="S67" i="299" s="1"/>
  <c r="S68" i="299" s="1"/>
  <c r="K7" i="274"/>
  <c r="K67" i="299" s="1"/>
  <c r="K68" i="299" s="1"/>
  <c r="F7" i="274"/>
  <c r="F67" i="299" s="1"/>
  <c r="F68" i="299" s="1"/>
  <c r="A7" i="274"/>
  <c r="A8" i="274" s="1"/>
  <c r="A9" i="274" s="1"/>
  <c r="A10" i="274" s="1"/>
  <c r="A11" i="274" s="1"/>
  <c r="A12" i="274" s="1"/>
  <c r="A13" i="274" s="1"/>
  <c r="A14" i="274" s="1"/>
  <c r="A15" i="274" s="1"/>
  <c r="A16" i="274" s="1"/>
  <c r="A17" i="274" s="1"/>
  <c r="A18" i="274" s="1"/>
  <c r="A19" i="274" s="1"/>
  <c r="A20" i="274" s="1"/>
  <c r="A21" i="274" s="1"/>
  <c r="A22" i="274" s="1"/>
  <c r="A23" i="274" s="1"/>
  <c r="A24" i="274" s="1"/>
  <c r="A25" i="274" s="1"/>
  <c r="A26" i="274" s="1"/>
  <c r="A27" i="274" s="1"/>
  <c r="A28" i="274" s="1"/>
  <c r="A29" i="274" s="1"/>
  <c r="A30" i="274" s="1"/>
  <c r="A31" i="274" s="1"/>
  <c r="A32" i="274" s="1"/>
  <c r="A33" i="274" s="1"/>
  <c r="A34" i="274" s="1"/>
  <c r="A35" i="274" s="1"/>
  <c r="A36" i="274" s="1"/>
  <c r="A37" i="274" s="1"/>
  <c r="A38" i="274" s="1"/>
  <c r="A39" i="274" s="1"/>
  <c r="A40" i="274" s="1"/>
  <c r="A41" i="274" s="1"/>
  <c r="A42" i="274" s="1"/>
  <c r="A43" i="274" s="1"/>
  <c r="A44" i="274" s="1"/>
  <c r="A45" i="274" s="1"/>
  <c r="A46" i="274" s="1"/>
  <c r="A47" i="274" s="1"/>
  <c r="A48" i="274" s="1"/>
  <c r="A49" i="274" s="1"/>
  <c r="A50" i="274" s="1"/>
  <c r="A51" i="274" s="1"/>
  <c r="A52" i="274" s="1"/>
  <c r="A53" i="274" s="1"/>
  <c r="A54" i="274" s="1"/>
  <c r="A55" i="274" s="1"/>
  <c r="A56" i="274" s="1"/>
  <c r="A57" i="274" s="1"/>
  <c r="A58" i="274" s="1"/>
  <c r="A59" i="274" s="1"/>
  <c r="A60" i="274" s="1"/>
  <c r="A61" i="274" s="1"/>
  <c r="A62" i="274" s="1"/>
  <c r="A63" i="274" s="1"/>
  <c r="A64" i="274" s="1"/>
  <c r="A65" i="274" s="1"/>
  <c r="A66" i="274" s="1"/>
  <c r="A67" i="274" s="1"/>
  <c r="A68" i="274" s="1"/>
  <c r="A69" i="274" s="1"/>
  <c r="A70" i="274" s="1"/>
  <c r="A71" i="274" s="1"/>
  <c r="A72" i="274" s="1"/>
  <c r="A73" i="274" s="1"/>
  <c r="A74" i="274" s="1"/>
  <c r="A75" i="274" s="1"/>
  <c r="A76" i="274" s="1"/>
  <c r="A77" i="274" s="1"/>
  <c r="A78" i="274" s="1"/>
  <c r="A79" i="274" s="1"/>
  <c r="A80" i="274" s="1"/>
  <c r="A81" i="274" s="1"/>
  <c r="A82" i="274" s="1"/>
  <c r="A83" i="274" s="1"/>
  <c r="A84" i="274" s="1"/>
  <c r="A85" i="274" s="1"/>
  <c r="A86" i="274" s="1"/>
  <c r="A87" i="274" s="1"/>
  <c r="A88" i="274" s="1"/>
  <c r="A89" i="274" s="1"/>
  <c r="A90" i="274" s="1"/>
  <c r="A91" i="274" s="1"/>
  <c r="A92" i="274" s="1"/>
  <c r="A93" i="274" s="1"/>
  <c r="A94" i="274" s="1"/>
  <c r="A95" i="274" s="1"/>
  <c r="A96" i="274" s="1"/>
  <c r="A97" i="274" s="1"/>
  <c r="A98" i="274" s="1"/>
  <c r="A99" i="274" s="1"/>
  <c r="A100" i="274" s="1"/>
  <c r="A101" i="274" s="1"/>
  <c r="A102" i="274" s="1"/>
  <c r="A103" i="274" s="1"/>
  <c r="A104" i="274" s="1"/>
  <c r="A105" i="274" s="1"/>
  <c r="A106" i="274" s="1"/>
  <c r="A107" i="274" s="1"/>
  <c r="A108" i="274" s="1"/>
  <c r="A109" i="274" s="1"/>
  <c r="A110" i="274" s="1"/>
  <c r="A111" i="274" s="1"/>
  <c r="A116" i="274" s="1"/>
  <c r="A117" i="274" s="1"/>
  <c r="A118" i="274" s="1"/>
  <c r="A119" i="274" s="1"/>
  <c r="A120" i="274" s="1"/>
  <c r="A121" i="274" s="1"/>
  <c r="A122" i="274" s="1"/>
  <c r="A123" i="274" s="1"/>
  <c r="A124" i="274" s="1"/>
  <c r="A125" i="274" s="1"/>
  <c r="A126" i="274" s="1"/>
  <c r="A127" i="274" s="1"/>
  <c r="A128" i="274" s="1"/>
  <c r="A130" i="274" s="1"/>
  <c r="F7" i="68" s="1"/>
  <c r="S6" i="274"/>
  <c r="S12" i="299" s="1"/>
  <c r="L6" i="274"/>
  <c r="L12" i="299" s="1"/>
  <c r="K6" i="274"/>
  <c r="K12" i="299" s="1"/>
  <c r="F6" i="274"/>
  <c r="F12" i="299" s="1"/>
  <c r="A6" i="274"/>
  <c r="S5" i="274"/>
  <c r="S11" i="299" s="1"/>
  <c r="N5" i="274"/>
  <c r="N11" i="299" s="1"/>
  <c r="L5" i="274"/>
  <c r="L11" i="299" s="1"/>
  <c r="K5" i="274"/>
  <c r="K11" i="299" s="1"/>
  <c r="F5" i="274"/>
  <c r="F11" i="299" s="1"/>
  <c r="D5" i="274"/>
  <c r="D11" i="299" s="1"/>
  <c r="AV94" i="298"/>
  <c r="AV93" i="298"/>
  <c r="AV95" i="298" s="1"/>
  <c r="AX80" i="298"/>
  <c r="AV80" i="298"/>
  <c r="AG80" i="298"/>
  <c r="AF80" i="298"/>
  <c r="AE80" i="298"/>
  <c r="AD80" i="298"/>
  <c r="Y79" i="298"/>
  <c r="Q79" i="298"/>
  <c r="I79" i="298"/>
  <c r="E79" i="298"/>
  <c r="E80" i="298" s="1"/>
  <c r="AJ78" i="298"/>
  <c r="AC78" i="298"/>
  <c r="AB78" i="298"/>
  <c r="AA78" i="298"/>
  <c r="AA79" i="298" s="1"/>
  <c r="AA80" i="298" s="1"/>
  <c r="Z78" i="298"/>
  <c r="Z79" i="298" s="1"/>
  <c r="Y78" i="298"/>
  <c r="X78" i="298"/>
  <c r="X79" i="298" s="1"/>
  <c r="W78" i="298"/>
  <c r="W79" i="298" s="1"/>
  <c r="W80" i="298" s="1"/>
  <c r="R78" i="298"/>
  <c r="R79" i="298" s="1"/>
  <c r="Q78" i="298"/>
  <c r="N78" i="298"/>
  <c r="N79" i="298" s="1"/>
  <c r="J78" i="298"/>
  <c r="J79" i="298" s="1"/>
  <c r="J80" i="298" s="1"/>
  <c r="I78" i="298"/>
  <c r="H78" i="298"/>
  <c r="H79" i="298" s="1"/>
  <c r="G78" i="298"/>
  <c r="G79" i="298" s="1"/>
  <c r="E78" i="298"/>
  <c r="C78" i="298"/>
  <c r="B78" i="298"/>
  <c r="AC76" i="298"/>
  <c r="AB76" i="298"/>
  <c r="AA76" i="298"/>
  <c r="Z76" i="298"/>
  <c r="Y76" i="298"/>
  <c r="X76" i="298"/>
  <c r="W76" i="298"/>
  <c r="R76" i="298"/>
  <c r="Q76" i="298"/>
  <c r="N76" i="298"/>
  <c r="J76" i="298"/>
  <c r="I76" i="298"/>
  <c r="H76" i="298"/>
  <c r="G76" i="298"/>
  <c r="E76" i="298"/>
  <c r="D76" i="298"/>
  <c r="C76" i="298"/>
  <c r="B76" i="298"/>
  <c r="AC75" i="298"/>
  <c r="AB75" i="298"/>
  <c r="AA75" i="298"/>
  <c r="Z75" i="298"/>
  <c r="Y75" i="298"/>
  <c r="X75" i="298"/>
  <c r="W75" i="298"/>
  <c r="T75" i="298"/>
  <c r="S75" i="298"/>
  <c r="R75" i="298"/>
  <c r="Q75" i="298"/>
  <c r="P75" i="298"/>
  <c r="M75" i="298"/>
  <c r="L75" i="298"/>
  <c r="K75" i="298"/>
  <c r="J75" i="298"/>
  <c r="I75" i="298"/>
  <c r="H75" i="298"/>
  <c r="G75" i="298"/>
  <c r="E75" i="298"/>
  <c r="D75" i="298"/>
  <c r="C75" i="298"/>
  <c r="B75" i="298"/>
  <c r="AC74" i="298"/>
  <c r="AB74" i="298"/>
  <c r="AA74" i="298"/>
  <c r="Z74" i="298"/>
  <c r="Y74" i="298"/>
  <c r="X74" i="298"/>
  <c r="W74" i="298"/>
  <c r="T74" i="298"/>
  <c r="S74" i="298"/>
  <c r="R74" i="298"/>
  <c r="Q74" i="298"/>
  <c r="P74" i="298"/>
  <c r="M74" i="298"/>
  <c r="L74" i="298"/>
  <c r="K74" i="298"/>
  <c r="J74" i="298"/>
  <c r="I74" i="298"/>
  <c r="H74" i="298"/>
  <c r="G74" i="298"/>
  <c r="E74" i="298"/>
  <c r="D74" i="298"/>
  <c r="C74" i="298"/>
  <c r="B74" i="298"/>
  <c r="AJ73" i="298"/>
  <c r="AC73" i="298"/>
  <c r="AB73" i="298"/>
  <c r="AA73" i="298"/>
  <c r="Z73" i="298"/>
  <c r="Y73" i="298"/>
  <c r="X73" i="298"/>
  <c r="W73" i="298"/>
  <c r="R73" i="298"/>
  <c r="Q73" i="298"/>
  <c r="N73" i="298"/>
  <c r="J73" i="298"/>
  <c r="I73" i="298"/>
  <c r="H73" i="298"/>
  <c r="G73" i="298"/>
  <c r="E73" i="298"/>
  <c r="D73" i="298"/>
  <c r="C73" i="298"/>
  <c r="B73" i="298"/>
  <c r="AJ72" i="298"/>
  <c r="AC72" i="298"/>
  <c r="AB72" i="298"/>
  <c r="AA72" i="298"/>
  <c r="Z72" i="298"/>
  <c r="Y72" i="298"/>
  <c r="X72" i="298"/>
  <c r="W72" i="298"/>
  <c r="R72" i="298"/>
  <c r="Q72" i="298"/>
  <c r="N72" i="298"/>
  <c r="J72" i="298"/>
  <c r="I72" i="298"/>
  <c r="H72" i="298"/>
  <c r="G72" i="298"/>
  <c r="E72" i="298"/>
  <c r="D72" i="298"/>
  <c r="C72" i="298"/>
  <c r="B72" i="298"/>
  <c r="AJ71" i="298"/>
  <c r="AC71" i="298"/>
  <c r="AB71" i="298"/>
  <c r="AA71" i="298"/>
  <c r="Z71" i="298"/>
  <c r="Y71" i="298"/>
  <c r="X71" i="298"/>
  <c r="W71" i="298"/>
  <c r="R71" i="298"/>
  <c r="Q71" i="298"/>
  <c r="N71" i="298"/>
  <c r="J71" i="298"/>
  <c r="I71" i="298"/>
  <c r="H71" i="298"/>
  <c r="G71" i="298"/>
  <c r="E71" i="298"/>
  <c r="D71" i="298"/>
  <c r="C71" i="298"/>
  <c r="B71" i="298"/>
  <c r="AO70" i="298"/>
  <c r="AJ70" i="298"/>
  <c r="AH70" i="298"/>
  <c r="AC70" i="298"/>
  <c r="AB70" i="298"/>
  <c r="AA70" i="298"/>
  <c r="Z70" i="298"/>
  <c r="Y70" i="298"/>
  <c r="X70" i="298"/>
  <c r="W70" i="298"/>
  <c r="R70" i="298"/>
  <c r="Q70" i="298"/>
  <c r="N70" i="298"/>
  <c r="J70" i="298"/>
  <c r="I70" i="298"/>
  <c r="H70" i="298"/>
  <c r="G70" i="298"/>
  <c r="E70" i="298"/>
  <c r="D70" i="298"/>
  <c r="C70" i="298"/>
  <c r="B70" i="298"/>
  <c r="AC69" i="298"/>
  <c r="AB69" i="298"/>
  <c r="AA69" i="298"/>
  <c r="Z69" i="298"/>
  <c r="Y69" i="298"/>
  <c r="X69" i="298"/>
  <c r="W69" i="298"/>
  <c r="T69" i="298"/>
  <c r="S69" i="298"/>
  <c r="R69" i="298"/>
  <c r="Q69" i="298"/>
  <c r="P69" i="298"/>
  <c r="M69" i="298"/>
  <c r="L69" i="298"/>
  <c r="K69" i="298"/>
  <c r="J69" i="298"/>
  <c r="I69" i="298"/>
  <c r="H69" i="298"/>
  <c r="G69" i="298"/>
  <c r="E69" i="298"/>
  <c r="D69" i="298"/>
  <c r="C69" i="298"/>
  <c r="B69" i="298"/>
  <c r="AC68" i="298"/>
  <c r="AB68" i="298"/>
  <c r="AA68" i="298"/>
  <c r="Z68" i="298"/>
  <c r="Y68" i="298"/>
  <c r="X68" i="298"/>
  <c r="W68" i="298"/>
  <c r="R68" i="298"/>
  <c r="Q68" i="298"/>
  <c r="J68" i="298"/>
  <c r="I68" i="298"/>
  <c r="H68" i="298"/>
  <c r="G68" i="298"/>
  <c r="E68" i="298"/>
  <c r="D68" i="298"/>
  <c r="C68" i="298"/>
  <c r="B68" i="298"/>
  <c r="AC67" i="298"/>
  <c r="AB67" i="298"/>
  <c r="AA67" i="298"/>
  <c r="Z67" i="298"/>
  <c r="Y67" i="298"/>
  <c r="X67" i="298"/>
  <c r="W67" i="298"/>
  <c r="R67" i="298"/>
  <c r="Q67" i="298"/>
  <c r="J67" i="298"/>
  <c r="I67" i="298"/>
  <c r="H67" i="298"/>
  <c r="G67" i="298"/>
  <c r="E67" i="298"/>
  <c r="D67" i="298"/>
  <c r="C67" i="298"/>
  <c r="B67" i="298"/>
  <c r="AC66" i="298"/>
  <c r="AB66" i="298"/>
  <c r="AA66" i="298"/>
  <c r="Z66" i="298"/>
  <c r="Y66" i="298"/>
  <c r="X66" i="298"/>
  <c r="W66" i="298"/>
  <c r="R66" i="298"/>
  <c r="Q66" i="298"/>
  <c r="J66" i="298"/>
  <c r="I66" i="298"/>
  <c r="H66" i="298"/>
  <c r="G66" i="298"/>
  <c r="E66" i="298"/>
  <c r="D66" i="298"/>
  <c r="C66" i="298"/>
  <c r="B66" i="298"/>
  <c r="AJ65" i="298"/>
  <c r="AC65" i="298"/>
  <c r="AB65" i="298"/>
  <c r="AA65" i="298"/>
  <c r="Z65" i="298"/>
  <c r="Y65" i="298"/>
  <c r="X65" i="298"/>
  <c r="W65" i="298"/>
  <c r="R65" i="298"/>
  <c r="Q65" i="298"/>
  <c r="N65" i="298"/>
  <c r="J65" i="298"/>
  <c r="I65" i="298"/>
  <c r="H65" i="298"/>
  <c r="G65" i="298"/>
  <c r="E65" i="298"/>
  <c r="D65" i="298"/>
  <c r="C65" i="298"/>
  <c r="B65" i="298"/>
  <c r="AJ64" i="298"/>
  <c r="AC64" i="298"/>
  <c r="AB64" i="298"/>
  <c r="AA64" i="298"/>
  <c r="Z64" i="298"/>
  <c r="Y64" i="298"/>
  <c r="X64" i="298"/>
  <c r="W64" i="298"/>
  <c r="R64" i="298"/>
  <c r="Q64" i="298"/>
  <c r="N64" i="298"/>
  <c r="K64" i="298"/>
  <c r="J64" i="298"/>
  <c r="I64" i="298"/>
  <c r="H64" i="298"/>
  <c r="G64" i="298"/>
  <c r="E64" i="298"/>
  <c r="D64" i="298"/>
  <c r="C64" i="298"/>
  <c r="B64" i="298"/>
  <c r="AJ63" i="298"/>
  <c r="AC63" i="298"/>
  <c r="AB63" i="298"/>
  <c r="AA63" i="298"/>
  <c r="Z63" i="298"/>
  <c r="Y63" i="298"/>
  <c r="X63" i="298"/>
  <c r="W63" i="298"/>
  <c r="R63" i="298"/>
  <c r="Q63" i="298"/>
  <c r="J63" i="298"/>
  <c r="I63" i="298"/>
  <c r="H63" i="298"/>
  <c r="G63" i="298"/>
  <c r="E63" i="298"/>
  <c r="D63" i="298"/>
  <c r="C63" i="298"/>
  <c r="B63" i="298"/>
  <c r="AJ62" i="298"/>
  <c r="AC62" i="298"/>
  <c r="AB62" i="298"/>
  <c r="AA62" i="298"/>
  <c r="Z62" i="298"/>
  <c r="Y62" i="298"/>
  <c r="X62" i="298"/>
  <c r="W62" i="298"/>
  <c r="R62" i="298"/>
  <c r="Q62" i="298"/>
  <c r="N62" i="298"/>
  <c r="J62" i="298"/>
  <c r="I62" i="298"/>
  <c r="H62" i="298"/>
  <c r="G62" i="298"/>
  <c r="E62" i="298"/>
  <c r="D62" i="298"/>
  <c r="C62" i="298"/>
  <c r="B62" i="298"/>
  <c r="AO61" i="298"/>
  <c r="AJ61" i="298"/>
  <c r="AC61" i="298"/>
  <c r="AB61" i="298"/>
  <c r="AA61" i="298"/>
  <c r="Z61" i="298"/>
  <c r="Y61" i="298"/>
  <c r="X61" i="298"/>
  <c r="W61" i="298"/>
  <c r="R61" i="298"/>
  <c r="Q61" i="298"/>
  <c r="N61" i="298"/>
  <c r="J61" i="298"/>
  <c r="I61" i="298"/>
  <c r="H61" i="298"/>
  <c r="G61" i="298"/>
  <c r="E61" i="298"/>
  <c r="D61" i="298"/>
  <c r="C61" i="298"/>
  <c r="B61" i="298"/>
  <c r="AJ60" i="298"/>
  <c r="AC60" i="298"/>
  <c r="AB60" i="298"/>
  <c r="AA60" i="298"/>
  <c r="Z60" i="298"/>
  <c r="Y60" i="298"/>
  <c r="X60" i="298"/>
  <c r="W60" i="298"/>
  <c r="R60" i="298"/>
  <c r="Q60" i="298"/>
  <c r="J60" i="298"/>
  <c r="I60" i="298"/>
  <c r="H60" i="298"/>
  <c r="E60" i="298"/>
  <c r="D60" i="298"/>
  <c r="C60" i="298"/>
  <c r="B60" i="298"/>
  <c r="AJ59" i="298"/>
  <c r="AC59" i="298"/>
  <c r="AB59" i="298"/>
  <c r="AA59" i="298"/>
  <c r="Z59" i="298"/>
  <c r="Y59" i="298"/>
  <c r="X59" i="298"/>
  <c r="W59" i="298"/>
  <c r="R59" i="298"/>
  <c r="Q59" i="298"/>
  <c r="J59" i="298"/>
  <c r="I59" i="298"/>
  <c r="H59" i="298"/>
  <c r="G59" i="298"/>
  <c r="E59" i="298"/>
  <c r="C59" i="298"/>
  <c r="B59" i="298"/>
  <c r="AJ58" i="298"/>
  <c r="AC58" i="298"/>
  <c r="AB58" i="298"/>
  <c r="AA58" i="298"/>
  <c r="Z58" i="298"/>
  <c r="Y58" i="298"/>
  <c r="X58" i="298"/>
  <c r="W58" i="298"/>
  <c r="R58" i="298"/>
  <c r="Q58" i="298"/>
  <c r="J58" i="298"/>
  <c r="I58" i="298"/>
  <c r="H58" i="298"/>
  <c r="G58" i="298"/>
  <c r="E58" i="298"/>
  <c r="C58" i="298"/>
  <c r="B58" i="298"/>
  <c r="AJ57" i="298"/>
  <c r="AC57" i="298"/>
  <c r="AB57" i="298"/>
  <c r="AA57" i="298"/>
  <c r="Z57" i="298"/>
  <c r="Y57" i="298"/>
  <c r="X57" i="298"/>
  <c r="W57" i="298"/>
  <c r="R57" i="298"/>
  <c r="Q57" i="298"/>
  <c r="N57" i="298"/>
  <c r="J57" i="298"/>
  <c r="I57" i="298"/>
  <c r="H57" i="298"/>
  <c r="G57" i="298"/>
  <c r="E57" i="298"/>
  <c r="D57" i="298"/>
  <c r="C57" i="298"/>
  <c r="B57" i="298"/>
  <c r="AJ56" i="298"/>
  <c r="AC56" i="298"/>
  <c r="AB56" i="298"/>
  <c r="AA56" i="298"/>
  <c r="Z56" i="298"/>
  <c r="Y56" i="298"/>
  <c r="X56" i="298"/>
  <c r="W56" i="298"/>
  <c r="R56" i="298"/>
  <c r="Q56" i="298"/>
  <c r="J56" i="298"/>
  <c r="I56" i="298"/>
  <c r="H56" i="298"/>
  <c r="G56" i="298"/>
  <c r="E56" i="298"/>
  <c r="D56" i="298"/>
  <c r="C56" i="298"/>
  <c r="B56" i="298"/>
  <c r="AZ55" i="298"/>
  <c r="AW55" i="298"/>
  <c r="AJ55" i="298"/>
  <c r="AC55" i="298"/>
  <c r="AB55" i="298"/>
  <c r="AA55" i="298"/>
  <c r="Z55" i="298"/>
  <c r="Y55" i="298"/>
  <c r="X55" i="298"/>
  <c r="W55" i="298"/>
  <c r="R55" i="298"/>
  <c r="Q55" i="298"/>
  <c r="J55" i="298"/>
  <c r="I55" i="298"/>
  <c r="H55" i="298"/>
  <c r="G55" i="298"/>
  <c r="E55" i="298"/>
  <c r="D55" i="298"/>
  <c r="C55" i="298"/>
  <c r="B55" i="298"/>
  <c r="AO54" i="298"/>
  <c r="AJ54" i="298"/>
  <c r="AC54" i="298"/>
  <c r="AB54" i="298"/>
  <c r="AA54" i="298"/>
  <c r="Z54" i="298"/>
  <c r="Y54" i="298"/>
  <c r="X54" i="298"/>
  <c r="W54" i="298"/>
  <c r="R54" i="298"/>
  <c r="Q54" i="298"/>
  <c r="J54" i="298"/>
  <c r="I54" i="298"/>
  <c r="H54" i="298"/>
  <c r="G54" i="298"/>
  <c r="E54" i="298"/>
  <c r="D54" i="298"/>
  <c r="C54" i="298"/>
  <c r="B54" i="298"/>
  <c r="AJ53" i="298"/>
  <c r="AC53" i="298"/>
  <c r="AB53" i="298"/>
  <c r="AA53" i="298"/>
  <c r="Z53" i="298"/>
  <c r="Y53" i="298"/>
  <c r="X53" i="298"/>
  <c r="W53" i="298"/>
  <c r="R53" i="298"/>
  <c r="Q53" i="298"/>
  <c r="N53" i="298"/>
  <c r="J53" i="298"/>
  <c r="I53" i="298"/>
  <c r="H53" i="298"/>
  <c r="G53" i="298"/>
  <c r="E53" i="298"/>
  <c r="D53" i="298"/>
  <c r="C53" i="298"/>
  <c r="B53" i="298"/>
  <c r="AJ52" i="298"/>
  <c r="AC52" i="298"/>
  <c r="AB52" i="298"/>
  <c r="AA52" i="298"/>
  <c r="Z52" i="298"/>
  <c r="Y52" i="298"/>
  <c r="X52" i="298"/>
  <c r="W52" i="298"/>
  <c r="R52" i="298"/>
  <c r="Q52" i="298"/>
  <c r="N52" i="298"/>
  <c r="J52" i="298"/>
  <c r="I52" i="298"/>
  <c r="H52" i="298"/>
  <c r="E52" i="298"/>
  <c r="C52" i="298"/>
  <c r="B52" i="298"/>
  <c r="AJ51" i="298"/>
  <c r="AC51" i="298"/>
  <c r="AB51" i="298"/>
  <c r="AA51" i="298"/>
  <c r="Z51" i="298"/>
  <c r="Y51" i="298"/>
  <c r="X51" i="298"/>
  <c r="W51" i="298"/>
  <c r="R51" i="298"/>
  <c r="Q51" i="298"/>
  <c r="N51" i="298"/>
  <c r="J51" i="298"/>
  <c r="I51" i="298"/>
  <c r="H51" i="298"/>
  <c r="G51" i="298"/>
  <c r="E51" i="298"/>
  <c r="D51" i="298"/>
  <c r="C51" i="298"/>
  <c r="B51" i="298"/>
  <c r="AO50" i="298"/>
  <c r="AJ50" i="298"/>
  <c r="AC50" i="298"/>
  <c r="AB50" i="298"/>
  <c r="AA50" i="298"/>
  <c r="Z50" i="298"/>
  <c r="Y50" i="298"/>
  <c r="X50" i="298"/>
  <c r="W50" i="298"/>
  <c r="R50" i="298"/>
  <c r="Q50" i="298"/>
  <c r="J50" i="298"/>
  <c r="I50" i="298"/>
  <c r="H50" i="298"/>
  <c r="G50" i="298"/>
  <c r="E50" i="298"/>
  <c r="D50" i="298"/>
  <c r="C50" i="298"/>
  <c r="B50" i="298"/>
  <c r="AO49" i="298"/>
  <c r="AJ49" i="298"/>
  <c r="AC49" i="298"/>
  <c r="AB49" i="298"/>
  <c r="AA49" i="298"/>
  <c r="Z49" i="298"/>
  <c r="Y49" i="298"/>
  <c r="X49" i="298"/>
  <c r="W49" i="298"/>
  <c r="R49" i="298"/>
  <c r="Q49" i="298"/>
  <c r="N49" i="298"/>
  <c r="J49" i="298"/>
  <c r="I49" i="298"/>
  <c r="H49" i="298"/>
  <c r="G49" i="298"/>
  <c r="E49" i="298"/>
  <c r="D49" i="298"/>
  <c r="C49" i="298"/>
  <c r="B49" i="298"/>
  <c r="AO48" i="298"/>
  <c r="AJ48" i="298"/>
  <c r="AC48" i="298"/>
  <c r="AB48" i="298"/>
  <c r="AA48" i="298"/>
  <c r="Z48" i="298"/>
  <c r="Y48" i="298"/>
  <c r="X48" i="298"/>
  <c r="W48" i="298"/>
  <c r="R48" i="298"/>
  <c r="Q48" i="298"/>
  <c r="N48" i="298"/>
  <c r="J48" i="298"/>
  <c r="I48" i="298"/>
  <c r="H48" i="298"/>
  <c r="G48" i="298"/>
  <c r="E48" i="298"/>
  <c r="D48" i="298"/>
  <c r="C48" i="298"/>
  <c r="B48" i="298"/>
  <c r="AO47" i="298"/>
  <c r="AJ47" i="298"/>
  <c r="AC47" i="298"/>
  <c r="AB47" i="298"/>
  <c r="AA47" i="298"/>
  <c r="Z47" i="298"/>
  <c r="Y47" i="298"/>
  <c r="X47" i="298"/>
  <c r="W47" i="298"/>
  <c r="R47" i="298"/>
  <c r="Q47" i="298"/>
  <c r="J47" i="298"/>
  <c r="I47" i="298"/>
  <c r="H47" i="298"/>
  <c r="E47" i="298"/>
  <c r="C47" i="298"/>
  <c r="B47" i="298"/>
  <c r="AJ46" i="298"/>
  <c r="AC46" i="298"/>
  <c r="AB46" i="298"/>
  <c r="AA46" i="298"/>
  <c r="Z46" i="298"/>
  <c r="Y46" i="298"/>
  <c r="X46" i="298"/>
  <c r="W46" i="298"/>
  <c r="R46" i="298"/>
  <c r="Q46" i="298"/>
  <c r="J46" i="298"/>
  <c r="I46" i="298"/>
  <c r="H46" i="298"/>
  <c r="G46" i="298"/>
  <c r="E46" i="298"/>
  <c r="C46" i="298"/>
  <c r="B46" i="298"/>
  <c r="AJ45" i="298"/>
  <c r="AC45" i="298"/>
  <c r="AB45" i="298"/>
  <c r="AA45" i="298"/>
  <c r="Z45" i="298"/>
  <c r="Y45" i="298"/>
  <c r="X45" i="298"/>
  <c r="W45" i="298"/>
  <c r="R45" i="298"/>
  <c r="Q45" i="298"/>
  <c r="N45" i="298"/>
  <c r="J45" i="298"/>
  <c r="I45" i="298"/>
  <c r="H45" i="298"/>
  <c r="E45" i="298"/>
  <c r="D45" i="298"/>
  <c r="C45" i="298"/>
  <c r="B45" i="298"/>
  <c r="AJ44" i="298"/>
  <c r="AC44" i="298"/>
  <c r="AB44" i="298"/>
  <c r="AA44" i="298"/>
  <c r="Z44" i="298"/>
  <c r="Y44" i="298"/>
  <c r="X44" i="298"/>
  <c r="W44" i="298"/>
  <c r="R44" i="298"/>
  <c r="Q44" i="298"/>
  <c r="N44" i="298"/>
  <c r="J44" i="298"/>
  <c r="I44" i="298"/>
  <c r="H44" i="298"/>
  <c r="G44" i="298"/>
  <c r="E44" i="298"/>
  <c r="D44" i="298"/>
  <c r="C44" i="298"/>
  <c r="B44" i="298"/>
  <c r="AJ43" i="298"/>
  <c r="AC43" i="298"/>
  <c r="AB43" i="298"/>
  <c r="AA43" i="298"/>
  <c r="Z43" i="298"/>
  <c r="Y43" i="298"/>
  <c r="X43" i="298"/>
  <c r="W43" i="298"/>
  <c r="R43" i="298"/>
  <c r="J43" i="298"/>
  <c r="I43" i="298"/>
  <c r="H43" i="298"/>
  <c r="G43" i="298"/>
  <c r="E43" i="298"/>
  <c r="C43" i="298"/>
  <c r="B43" i="298"/>
  <c r="AO42" i="298"/>
  <c r="AJ42" i="298"/>
  <c r="AC42" i="298"/>
  <c r="AB42" i="298"/>
  <c r="AA42" i="298"/>
  <c r="Z42" i="298"/>
  <c r="Y42" i="298"/>
  <c r="X42" i="298"/>
  <c r="W42" i="298"/>
  <c r="R42" i="298"/>
  <c r="Q42" i="298"/>
  <c r="N42" i="298"/>
  <c r="J42" i="298"/>
  <c r="I42" i="298"/>
  <c r="H42" i="298"/>
  <c r="G42" i="298"/>
  <c r="E42" i="298"/>
  <c r="D42" i="298"/>
  <c r="C42" i="298"/>
  <c r="B42" i="298"/>
  <c r="AO41" i="298"/>
  <c r="AJ41" i="298"/>
  <c r="AC41" i="298"/>
  <c r="AB41" i="298"/>
  <c r="AA41" i="298"/>
  <c r="Z41" i="298"/>
  <c r="Y41" i="298"/>
  <c r="X41" i="298"/>
  <c r="W41" i="298"/>
  <c r="R41" i="298"/>
  <c r="Q41" i="298"/>
  <c r="N41" i="298"/>
  <c r="J41" i="298"/>
  <c r="I41" i="298"/>
  <c r="H41" i="298"/>
  <c r="G41" i="298"/>
  <c r="E41" i="298"/>
  <c r="D41" i="298"/>
  <c r="C41" i="298"/>
  <c r="B41" i="298"/>
  <c r="AH40" i="298"/>
  <c r="AJ40" i="298" s="1"/>
  <c r="AC40" i="298"/>
  <c r="AB40" i="298"/>
  <c r="AA40" i="298"/>
  <c r="AA77" i="298" s="1"/>
  <c r="Z40" i="298"/>
  <c r="Z77" i="298" s="1"/>
  <c r="Y40" i="298"/>
  <c r="Y77" i="298" s="1"/>
  <c r="X40" i="298"/>
  <c r="X77" i="298" s="1"/>
  <c r="W40" i="298"/>
  <c r="W77" i="298" s="1"/>
  <c r="R40" i="298"/>
  <c r="R77" i="298" s="1"/>
  <c r="Q40" i="298"/>
  <c r="N40" i="298"/>
  <c r="J40" i="298"/>
  <c r="J77" i="298" s="1"/>
  <c r="I40" i="298"/>
  <c r="I77" i="298" s="1"/>
  <c r="H40" i="298"/>
  <c r="H77" i="298" s="1"/>
  <c r="G40" i="298"/>
  <c r="E40" i="298"/>
  <c r="E77" i="298" s="1"/>
  <c r="C40" i="298"/>
  <c r="B40" i="298"/>
  <c r="AC38" i="298"/>
  <c r="AB38" i="298"/>
  <c r="AA38" i="298"/>
  <c r="Z38" i="298"/>
  <c r="Y38" i="298"/>
  <c r="X38" i="298"/>
  <c r="W38" i="298"/>
  <c r="T38" i="298"/>
  <c r="S38" i="298"/>
  <c r="R38" i="298"/>
  <c r="Q38" i="298"/>
  <c r="P38" i="298"/>
  <c r="M38" i="298"/>
  <c r="L38" i="298"/>
  <c r="K38" i="298"/>
  <c r="J38" i="298"/>
  <c r="I38" i="298"/>
  <c r="H38" i="298"/>
  <c r="G38" i="298"/>
  <c r="E38" i="298"/>
  <c r="D38" i="298"/>
  <c r="C38" i="298"/>
  <c r="B38" i="298"/>
  <c r="AC37" i="298"/>
  <c r="AB37" i="298"/>
  <c r="AA37" i="298"/>
  <c r="Z37" i="298"/>
  <c r="Y37" i="298"/>
  <c r="X37" i="298"/>
  <c r="W37" i="298"/>
  <c r="T37" i="298"/>
  <c r="S37" i="298"/>
  <c r="R37" i="298"/>
  <c r="Q37" i="298"/>
  <c r="P37" i="298"/>
  <c r="M37" i="298"/>
  <c r="L37" i="298"/>
  <c r="K37" i="298"/>
  <c r="J37" i="298"/>
  <c r="I37" i="298"/>
  <c r="H37" i="298"/>
  <c r="G37" i="298"/>
  <c r="E37" i="298"/>
  <c r="D37" i="298"/>
  <c r="C37" i="298"/>
  <c r="B37" i="298"/>
  <c r="AC36" i="298"/>
  <c r="AB36" i="298"/>
  <c r="AA36" i="298"/>
  <c r="Z36" i="298"/>
  <c r="Y36" i="298"/>
  <c r="X36" i="298"/>
  <c r="W36" i="298"/>
  <c r="R36" i="298"/>
  <c r="Q36" i="298"/>
  <c r="J36" i="298"/>
  <c r="I36" i="298"/>
  <c r="H36" i="298"/>
  <c r="G36" i="298"/>
  <c r="E36" i="298"/>
  <c r="D36" i="298"/>
  <c r="C36" i="298"/>
  <c r="B36" i="298"/>
  <c r="AZ35" i="298"/>
  <c r="AW35" i="298"/>
  <c r="AJ35" i="298"/>
  <c r="AC35" i="298"/>
  <c r="AB35" i="298"/>
  <c r="AA35" i="298"/>
  <c r="Z35" i="298"/>
  <c r="Y35" i="298"/>
  <c r="X35" i="298"/>
  <c r="W35" i="298"/>
  <c r="R35" i="298"/>
  <c r="Q35" i="298"/>
  <c r="J35" i="298"/>
  <c r="I35" i="298"/>
  <c r="H35" i="298"/>
  <c r="G35" i="298"/>
  <c r="E35" i="298"/>
  <c r="D35" i="298"/>
  <c r="C35" i="298"/>
  <c r="B35" i="298"/>
  <c r="AJ34" i="298"/>
  <c r="AC34" i="298"/>
  <c r="AB34" i="298"/>
  <c r="AA34" i="298"/>
  <c r="Z34" i="298"/>
  <c r="Y34" i="298"/>
  <c r="X34" i="298"/>
  <c r="W34" i="298"/>
  <c r="R34" i="298"/>
  <c r="Q34" i="298"/>
  <c r="J34" i="298"/>
  <c r="I34" i="298"/>
  <c r="H34" i="298"/>
  <c r="G34" i="298"/>
  <c r="E34" i="298"/>
  <c r="D34" i="298"/>
  <c r="C34" i="298"/>
  <c r="B34" i="298"/>
  <c r="AJ33" i="298"/>
  <c r="AC33" i="298"/>
  <c r="AB33" i="298"/>
  <c r="AA33" i="298"/>
  <c r="Z33" i="298"/>
  <c r="Y33" i="298"/>
  <c r="X33" i="298"/>
  <c r="W33" i="298"/>
  <c r="R33" i="298"/>
  <c r="Q33" i="298"/>
  <c r="N33" i="298"/>
  <c r="J33" i="298"/>
  <c r="I33" i="298"/>
  <c r="H33" i="298"/>
  <c r="G33" i="298"/>
  <c r="E33" i="298"/>
  <c r="D33" i="298"/>
  <c r="C33" i="298"/>
  <c r="B33" i="298"/>
  <c r="AJ32" i="298"/>
  <c r="AC32" i="298"/>
  <c r="AB32" i="298"/>
  <c r="AA32" i="298"/>
  <c r="Z32" i="298"/>
  <c r="Y32" i="298"/>
  <c r="X32" i="298"/>
  <c r="W32" i="298"/>
  <c r="R32" i="298"/>
  <c r="Q32" i="298"/>
  <c r="J32" i="298"/>
  <c r="I32" i="298"/>
  <c r="H32" i="298"/>
  <c r="G32" i="298"/>
  <c r="E32" i="298"/>
  <c r="D32" i="298"/>
  <c r="C32" i="298"/>
  <c r="B32" i="298"/>
  <c r="AZ31" i="298"/>
  <c r="AW31" i="298"/>
  <c r="AJ31" i="298"/>
  <c r="AC31" i="298"/>
  <c r="AB31" i="298"/>
  <c r="AA31" i="298"/>
  <c r="Z31" i="298"/>
  <c r="Y31" i="298"/>
  <c r="X31" i="298"/>
  <c r="W31" i="298"/>
  <c r="R31" i="298"/>
  <c r="Q31" i="298"/>
  <c r="J31" i="298"/>
  <c r="I31" i="298"/>
  <c r="H31" i="298"/>
  <c r="G31" i="298"/>
  <c r="E31" i="298"/>
  <c r="C31" i="298"/>
  <c r="B31" i="298"/>
  <c r="AO30" i="298"/>
  <c r="AJ30" i="298"/>
  <c r="AC30" i="298"/>
  <c r="AB30" i="298"/>
  <c r="AA30" i="298"/>
  <c r="Z30" i="298"/>
  <c r="Y30" i="298"/>
  <c r="X30" i="298"/>
  <c r="W30" i="298"/>
  <c r="R30" i="298"/>
  <c r="Q30" i="298"/>
  <c r="J30" i="298"/>
  <c r="I30" i="298"/>
  <c r="H30" i="298"/>
  <c r="G30" i="298"/>
  <c r="E30" i="298"/>
  <c r="D30" i="298"/>
  <c r="C30" i="298"/>
  <c r="B30" i="298"/>
  <c r="AJ29" i="298"/>
  <c r="AC29" i="298"/>
  <c r="AB29" i="298"/>
  <c r="AA29" i="298"/>
  <c r="Z29" i="298"/>
  <c r="Y29" i="298"/>
  <c r="X29" i="298"/>
  <c r="W29" i="298"/>
  <c r="R29" i="298"/>
  <c r="Q29" i="298"/>
  <c r="J29" i="298"/>
  <c r="I29" i="298"/>
  <c r="H29" i="298"/>
  <c r="G29" i="298"/>
  <c r="E29" i="298"/>
  <c r="D29" i="298"/>
  <c r="C29" i="298"/>
  <c r="B29" i="298"/>
  <c r="AJ28" i="298"/>
  <c r="AC28" i="298"/>
  <c r="AB28" i="298"/>
  <c r="AA28" i="298"/>
  <c r="Z28" i="298"/>
  <c r="Y28" i="298"/>
  <c r="X28" i="298"/>
  <c r="W28" i="298"/>
  <c r="R28" i="298"/>
  <c r="Q28" i="298"/>
  <c r="J28" i="298"/>
  <c r="I28" i="298"/>
  <c r="H28" i="298"/>
  <c r="G28" i="298"/>
  <c r="E28" i="298"/>
  <c r="D28" i="298"/>
  <c r="C28" i="298"/>
  <c r="B28" i="298"/>
  <c r="AJ27" i="298"/>
  <c r="AC27" i="298"/>
  <c r="AB27" i="298"/>
  <c r="AA27" i="298"/>
  <c r="Z27" i="298"/>
  <c r="Y27" i="298"/>
  <c r="X27" i="298"/>
  <c r="W27" i="298"/>
  <c r="R27" i="298"/>
  <c r="Q27" i="298"/>
  <c r="N27" i="298"/>
  <c r="J27" i="298"/>
  <c r="I27" i="298"/>
  <c r="H27" i="298"/>
  <c r="G27" i="298"/>
  <c r="E27" i="298"/>
  <c r="D27" i="298"/>
  <c r="C27" i="298"/>
  <c r="B27" i="298"/>
  <c r="AJ26" i="298"/>
  <c r="AC26" i="298"/>
  <c r="AB26" i="298"/>
  <c r="AA26" i="298"/>
  <c r="Z26" i="298"/>
  <c r="Y26" i="298"/>
  <c r="X26" i="298"/>
  <c r="W26" i="298"/>
  <c r="R26" i="298"/>
  <c r="Q26" i="298"/>
  <c r="J26" i="298"/>
  <c r="I26" i="298"/>
  <c r="H26" i="298"/>
  <c r="G26" i="298"/>
  <c r="E26" i="298"/>
  <c r="D26" i="298"/>
  <c r="C26" i="298"/>
  <c r="B26" i="298"/>
  <c r="AJ25" i="298"/>
  <c r="AC25" i="298"/>
  <c r="AB25" i="298"/>
  <c r="AA25" i="298"/>
  <c r="Z25" i="298"/>
  <c r="Y25" i="298"/>
  <c r="X25" i="298"/>
  <c r="W25" i="298"/>
  <c r="R25" i="298"/>
  <c r="Q25" i="298"/>
  <c r="N25" i="298"/>
  <c r="J25" i="298"/>
  <c r="I25" i="298"/>
  <c r="H25" i="298"/>
  <c r="G25" i="298"/>
  <c r="E25" i="298"/>
  <c r="D25" i="298"/>
  <c r="C25" i="298"/>
  <c r="B25" i="298"/>
  <c r="AZ24" i="298"/>
  <c r="AZ80" i="298" s="1"/>
  <c r="AW24" i="298"/>
  <c r="AW80" i="298" s="1"/>
  <c r="AJ24" i="298"/>
  <c r="AC24" i="298"/>
  <c r="AB24" i="298"/>
  <c r="AA24" i="298"/>
  <c r="Z24" i="298"/>
  <c r="Y24" i="298"/>
  <c r="X24" i="298"/>
  <c r="W24" i="298"/>
  <c r="R24" i="298"/>
  <c r="Q24" i="298"/>
  <c r="J24" i="298"/>
  <c r="I24" i="298"/>
  <c r="H24" i="298"/>
  <c r="G24" i="298"/>
  <c r="E24" i="298"/>
  <c r="C24" i="298"/>
  <c r="B24" i="298"/>
  <c r="AO23" i="298"/>
  <c r="AJ23" i="298"/>
  <c r="AC23" i="298"/>
  <c r="AB23" i="298"/>
  <c r="AA23" i="298"/>
  <c r="Z23" i="298"/>
  <c r="Y23" i="298"/>
  <c r="X23" i="298"/>
  <c r="W23" i="298"/>
  <c r="R23" i="298"/>
  <c r="Q23" i="298"/>
  <c r="N23" i="298"/>
  <c r="J23" i="298"/>
  <c r="I23" i="298"/>
  <c r="H23" i="298"/>
  <c r="G23" i="298"/>
  <c r="E23" i="298"/>
  <c r="D23" i="298"/>
  <c r="C23" i="298"/>
  <c r="B23" i="298"/>
  <c r="AO22" i="298"/>
  <c r="AJ22" i="298"/>
  <c r="AC22" i="298"/>
  <c r="AB22" i="298"/>
  <c r="AA22" i="298"/>
  <c r="Z22" i="298"/>
  <c r="Y22" i="298"/>
  <c r="X22" i="298"/>
  <c r="W22" i="298"/>
  <c r="R22" i="298"/>
  <c r="Q22" i="298"/>
  <c r="N22" i="298"/>
  <c r="J22" i="298"/>
  <c r="I22" i="298"/>
  <c r="H22" i="298"/>
  <c r="G22" i="298"/>
  <c r="E22" i="298"/>
  <c r="D22" i="298"/>
  <c r="C22" i="298"/>
  <c r="B22" i="298"/>
  <c r="AJ21" i="298"/>
  <c r="AC21" i="298"/>
  <c r="AB21" i="298"/>
  <c r="AA21" i="298"/>
  <c r="Z21" i="298"/>
  <c r="Y21" i="298"/>
  <c r="X21" i="298"/>
  <c r="W21" i="298"/>
  <c r="R21" i="298"/>
  <c r="Q21" i="298"/>
  <c r="J21" i="298"/>
  <c r="I21" i="298"/>
  <c r="H21" i="298"/>
  <c r="G21" i="298"/>
  <c r="E21" i="298"/>
  <c r="D21" i="298"/>
  <c r="C21" i="298"/>
  <c r="B21" i="298"/>
  <c r="AJ20" i="298"/>
  <c r="AC20" i="298"/>
  <c r="AB20" i="298"/>
  <c r="AA20" i="298"/>
  <c r="Z20" i="298"/>
  <c r="Y20" i="298"/>
  <c r="X20" i="298"/>
  <c r="W20" i="298"/>
  <c r="R20" i="298"/>
  <c r="Q20" i="298"/>
  <c r="N20" i="298"/>
  <c r="J20" i="298"/>
  <c r="I20" i="298"/>
  <c r="H20" i="298"/>
  <c r="G20" i="298"/>
  <c r="E20" i="298"/>
  <c r="D20" i="298"/>
  <c r="C20" i="298"/>
  <c r="B20" i="298"/>
  <c r="AJ19" i="298"/>
  <c r="AC19" i="298"/>
  <c r="AB19" i="298"/>
  <c r="AA19" i="298"/>
  <c r="Z19" i="298"/>
  <c r="Y19" i="298"/>
  <c r="X19" i="298"/>
  <c r="W19" i="298"/>
  <c r="R19" i="298"/>
  <c r="Q19" i="298"/>
  <c r="N19" i="298"/>
  <c r="J19" i="298"/>
  <c r="I19" i="298"/>
  <c r="H19" i="298"/>
  <c r="G19" i="298"/>
  <c r="E19" i="298"/>
  <c r="D19" i="298"/>
  <c r="C19" i="298"/>
  <c r="B19" i="298"/>
  <c r="AO18" i="298"/>
  <c r="AJ18" i="298"/>
  <c r="AC18" i="298"/>
  <c r="AB18" i="298"/>
  <c r="AA18" i="298"/>
  <c r="Z18" i="298"/>
  <c r="Y18" i="298"/>
  <c r="X18" i="298"/>
  <c r="W18" i="298"/>
  <c r="R18" i="298"/>
  <c r="Q18" i="298"/>
  <c r="N18" i="298"/>
  <c r="J18" i="298"/>
  <c r="I18" i="298"/>
  <c r="H18" i="298"/>
  <c r="G18" i="298"/>
  <c r="E18" i="298"/>
  <c r="D18" i="298"/>
  <c r="C18" i="298"/>
  <c r="B18" i="298"/>
  <c r="AJ17" i="298"/>
  <c r="AC17" i="298"/>
  <c r="AB17" i="298"/>
  <c r="AA17" i="298"/>
  <c r="Z17" i="298"/>
  <c r="Y17" i="298"/>
  <c r="X17" i="298"/>
  <c r="W17" i="298"/>
  <c r="R17" i="298"/>
  <c r="Q17" i="298"/>
  <c r="J17" i="298"/>
  <c r="I17" i="298"/>
  <c r="H17" i="298"/>
  <c r="G17" i="298"/>
  <c r="E17" i="298"/>
  <c r="D17" i="298"/>
  <c r="C17" i="298"/>
  <c r="B17" i="298"/>
  <c r="AO16" i="298"/>
  <c r="AJ16" i="298"/>
  <c r="AC16" i="298"/>
  <c r="AB16" i="298"/>
  <c r="AA16" i="298"/>
  <c r="Z16" i="298"/>
  <c r="Y16" i="298"/>
  <c r="X16" i="298"/>
  <c r="W16" i="298"/>
  <c r="R16" i="298"/>
  <c r="Q16" i="298"/>
  <c r="J16" i="298"/>
  <c r="I16" i="298"/>
  <c r="H16" i="298"/>
  <c r="G16" i="298"/>
  <c r="E16" i="298"/>
  <c r="D16" i="298"/>
  <c r="C16" i="298"/>
  <c r="B16" i="298"/>
  <c r="AJ15" i="298"/>
  <c r="AC15" i="298"/>
  <c r="AB15" i="298"/>
  <c r="AA15" i="298"/>
  <c r="Z15" i="298"/>
  <c r="Y15" i="298"/>
  <c r="X15" i="298"/>
  <c r="W15" i="298"/>
  <c r="R15" i="298"/>
  <c r="Q15" i="298"/>
  <c r="N15" i="298"/>
  <c r="J15" i="298"/>
  <c r="I15" i="298"/>
  <c r="H15" i="298"/>
  <c r="G15" i="298"/>
  <c r="E15" i="298"/>
  <c r="D15" i="298"/>
  <c r="C15" i="298"/>
  <c r="B15" i="298"/>
  <c r="AJ14" i="298"/>
  <c r="AC14" i="298"/>
  <c r="AB14" i="298"/>
  <c r="AA14" i="298"/>
  <c r="Z14" i="298"/>
  <c r="Y14" i="298"/>
  <c r="X14" i="298"/>
  <c r="W14" i="298"/>
  <c r="R14" i="298"/>
  <c r="Q14" i="298"/>
  <c r="J14" i="298"/>
  <c r="I14" i="298"/>
  <c r="H14" i="298"/>
  <c r="G14" i="298"/>
  <c r="E14" i="298"/>
  <c r="D14" i="298"/>
  <c r="C14" i="298"/>
  <c r="B14" i="298"/>
  <c r="AJ13" i="298"/>
  <c r="AC13" i="298"/>
  <c r="AB13" i="298"/>
  <c r="AA13" i="298"/>
  <c r="Z13" i="298"/>
  <c r="Y13" i="298"/>
  <c r="X13" i="298"/>
  <c r="W13" i="298"/>
  <c r="R13" i="298"/>
  <c r="Q13" i="298"/>
  <c r="J13" i="298"/>
  <c r="I13" i="298"/>
  <c r="H13" i="298"/>
  <c r="G13" i="298"/>
  <c r="E13" i="298"/>
  <c r="D13" i="298"/>
  <c r="C13" i="298"/>
  <c r="B13" i="298"/>
  <c r="AO12" i="298"/>
  <c r="AJ12" i="298"/>
  <c r="AC12" i="298"/>
  <c r="AB12" i="298"/>
  <c r="AA12" i="298"/>
  <c r="Z12" i="298"/>
  <c r="Y12" i="298"/>
  <c r="X12" i="298"/>
  <c r="W12" i="298"/>
  <c r="R12" i="298"/>
  <c r="Q12" i="298"/>
  <c r="J12" i="298"/>
  <c r="I12" i="298"/>
  <c r="H12" i="298"/>
  <c r="G12" i="298"/>
  <c r="E12" i="298"/>
  <c r="D12" i="298"/>
  <c r="C12" i="298"/>
  <c r="B12" i="298"/>
  <c r="AJ11" i="298"/>
  <c r="AC11" i="298"/>
  <c r="AB11" i="298"/>
  <c r="AA11" i="298"/>
  <c r="Z11" i="298"/>
  <c r="Y11" i="298"/>
  <c r="X11" i="298"/>
  <c r="W11" i="298"/>
  <c r="R11" i="298"/>
  <c r="Q11" i="298"/>
  <c r="J11" i="298"/>
  <c r="I11" i="298"/>
  <c r="H11" i="298"/>
  <c r="G11" i="298"/>
  <c r="E11" i="298"/>
  <c r="D11" i="298"/>
  <c r="C11" i="298"/>
  <c r="B11" i="298"/>
  <c r="AJ10" i="298"/>
  <c r="AC10" i="298"/>
  <c r="AB10" i="298"/>
  <c r="AA10" i="298"/>
  <c r="Z10" i="298"/>
  <c r="Y10" i="298"/>
  <c r="X10" i="298"/>
  <c r="W10" i="298"/>
  <c r="R10" i="298"/>
  <c r="Q10" i="298"/>
  <c r="J10" i="298"/>
  <c r="I10" i="298"/>
  <c r="H10" i="298"/>
  <c r="G10" i="298"/>
  <c r="E10" i="298"/>
  <c r="D10" i="298"/>
  <c r="C10" i="298"/>
  <c r="B10" i="298"/>
  <c r="AJ9" i="298"/>
  <c r="AC9" i="298"/>
  <c r="AB9" i="298"/>
  <c r="AA9" i="298"/>
  <c r="Z9" i="298"/>
  <c r="Y9" i="298"/>
  <c r="X9" i="298"/>
  <c r="W9" i="298"/>
  <c r="R9" i="298"/>
  <c r="Q9" i="298"/>
  <c r="J9" i="298"/>
  <c r="I9" i="298"/>
  <c r="H9" i="298"/>
  <c r="G9" i="298"/>
  <c r="E9" i="298"/>
  <c r="C9" i="298"/>
  <c r="B9" i="298"/>
  <c r="AO8" i="298"/>
  <c r="AJ8" i="298"/>
  <c r="AC8" i="298"/>
  <c r="AB8" i="298"/>
  <c r="AA8" i="298"/>
  <c r="Z8" i="298"/>
  <c r="Y8" i="298"/>
  <c r="X8" i="298"/>
  <c r="W8" i="298"/>
  <c r="R8" i="298"/>
  <c r="Q8" i="298"/>
  <c r="J8" i="298"/>
  <c r="I8" i="298"/>
  <c r="H8" i="298"/>
  <c r="E8" i="298"/>
  <c r="C8" i="298"/>
  <c r="B8" i="298"/>
  <c r="AI7" i="298"/>
  <c r="AI80" i="298" s="1"/>
  <c r="AH7" i="298"/>
  <c r="AC7" i="298"/>
  <c r="AB7" i="298"/>
  <c r="AA7" i="298"/>
  <c r="Z7" i="298"/>
  <c r="Y7" i="298"/>
  <c r="X7" i="298"/>
  <c r="W7" i="298"/>
  <c r="R7" i="298"/>
  <c r="Q7" i="298"/>
  <c r="N7" i="298"/>
  <c r="J7" i="298"/>
  <c r="I7" i="298"/>
  <c r="H7" i="298"/>
  <c r="E7" i="298"/>
  <c r="D7" i="298"/>
  <c r="C7" i="298"/>
  <c r="B7" i="298"/>
  <c r="AJ6" i="298"/>
  <c r="AC6" i="298"/>
  <c r="AB6" i="298"/>
  <c r="AA6" i="298"/>
  <c r="Z6" i="298"/>
  <c r="Y6" i="298"/>
  <c r="X6" i="298"/>
  <c r="W6" i="298"/>
  <c r="R6" i="298"/>
  <c r="Q6" i="298"/>
  <c r="J6" i="298"/>
  <c r="I6" i="298"/>
  <c r="H6" i="298"/>
  <c r="G6" i="298"/>
  <c r="E6" i="298"/>
  <c r="D6" i="298"/>
  <c r="C6" i="298"/>
  <c r="B6" i="298"/>
  <c r="A6" i="298"/>
  <c r="A7" i="298" s="1"/>
  <c r="A8" i="298" s="1"/>
  <c r="A9" i="298" s="1"/>
  <c r="A10" i="298" s="1"/>
  <c r="A11" i="298" s="1"/>
  <c r="A12" i="298" s="1"/>
  <c r="A13" i="298" s="1"/>
  <c r="A14" i="298" s="1"/>
  <c r="A15" i="298" s="1"/>
  <c r="A16" i="298" s="1"/>
  <c r="A17" i="298" s="1"/>
  <c r="A18" i="298" s="1"/>
  <c r="A19" i="298" s="1"/>
  <c r="A20" i="298" s="1"/>
  <c r="A21" i="298" s="1"/>
  <c r="A22" i="298" s="1"/>
  <c r="A23" i="298" s="1"/>
  <c r="A24" i="298" s="1"/>
  <c r="A25" i="298" s="1"/>
  <c r="A26" i="298" s="1"/>
  <c r="A27" i="298" s="1"/>
  <c r="A28" i="298" s="1"/>
  <c r="A29" i="298" s="1"/>
  <c r="A30" i="298" s="1"/>
  <c r="A31" i="298" s="1"/>
  <c r="A32" i="298" s="1"/>
  <c r="A33" i="298" s="1"/>
  <c r="A34" i="298" s="1"/>
  <c r="A35" i="298" s="1"/>
  <c r="A36" i="298" s="1"/>
  <c r="A37" i="298" s="1"/>
  <c r="A38" i="298" s="1"/>
  <c r="A40" i="298" s="1"/>
  <c r="A41" i="298" s="1"/>
  <c r="A42" i="298" s="1"/>
  <c r="A43" i="298" s="1"/>
  <c r="A44" i="298" s="1"/>
  <c r="A45" i="298" s="1"/>
  <c r="A46" i="298" s="1"/>
  <c r="A47" i="298" s="1"/>
  <c r="A48" i="298" s="1"/>
  <c r="A49" i="298" s="1"/>
  <c r="A50" i="298" s="1"/>
  <c r="A51" i="298" s="1"/>
  <c r="A52" i="298" s="1"/>
  <c r="A53" i="298" s="1"/>
  <c r="A54" i="298" s="1"/>
  <c r="A55" i="298" s="1"/>
  <c r="A56" i="298" s="1"/>
  <c r="A57" i="298" s="1"/>
  <c r="A58" i="298" s="1"/>
  <c r="A59" i="298" s="1"/>
  <c r="A60" i="298" s="1"/>
  <c r="A61" i="298" s="1"/>
  <c r="A62" i="298" s="1"/>
  <c r="A63" i="298" s="1"/>
  <c r="A64" i="298" s="1"/>
  <c r="A65" i="298" s="1"/>
  <c r="A66" i="298" s="1"/>
  <c r="A67" i="298" s="1"/>
  <c r="A68" i="298" s="1"/>
  <c r="A69" i="298" s="1"/>
  <c r="A70" i="298" s="1"/>
  <c r="A71" i="298" s="1"/>
  <c r="A72" i="298" s="1"/>
  <c r="A73" i="298" s="1"/>
  <c r="A74" i="298" s="1"/>
  <c r="A75" i="298" s="1"/>
  <c r="A76" i="298" s="1"/>
  <c r="A78" i="298" s="1"/>
  <c r="A80" i="298" s="1"/>
  <c r="AO5" i="298"/>
  <c r="AH5" i="298"/>
  <c r="AJ5" i="298" s="1"/>
  <c r="AC5" i="298"/>
  <c r="AB5" i="298"/>
  <c r="AA5" i="298"/>
  <c r="AA39" i="298" s="1"/>
  <c r="Z5" i="298"/>
  <c r="Z39" i="298" s="1"/>
  <c r="Y5" i="298"/>
  <c r="Y39" i="298" s="1"/>
  <c r="X5" i="298"/>
  <c r="X39" i="298" s="1"/>
  <c r="W5" i="298"/>
  <c r="W39" i="298" s="1"/>
  <c r="R5" i="298"/>
  <c r="R39" i="298" s="1"/>
  <c r="Q5" i="298"/>
  <c r="Q39" i="298" s="1"/>
  <c r="N5" i="298"/>
  <c r="J5" i="298"/>
  <c r="J39" i="298" s="1"/>
  <c r="I5" i="298"/>
  <c r="I39" i="298" s="1"/>
  <c r="H5" i="298"/>
  <c r="H39" i="298" s="1"/>
  <c r="G5" i="298"/>
  <c r="E5" i="298"/>
  <c r="E39" i="298" s="1"/>
  <c r="C5" i="298"/>
  <c r="B5" i="298"/>
  <c r="AB77" i="272"/>
  <c r="AA77" i="272"/>
  <c r="Z77" i="272"/>
  <c r="Y77" i="272"/>
  <c r="X77" i="272"/>
  <c r="W77" i="272"/>
  <c r="R77" i="272"/>
  <c r="J77" i="272"/>
  <c r="I77" i="272"/>
  <c r="H77" i="272"/>
  <c r="E77" i="272"/>
  <c r="U76" i="272"/>
  <c r="V76" i="272" s="1"/>
  <c r="V38" i="298" s="1"/>
  <c r="O76" i="272"/>
  <c r="O38" i="298" s="1"/>
  <c r="N76" i="272"/>
  <c r="N38" i="298" s="1"/>
  <c r="AY38" i="298" s="1"/>
  <c r="F76" i="272"/>
  <c r="F38" i="298" s="1"/>
  <c r="N75" i="272"/>
  <c r="O75" i="272" s="1"/>
  <c r="O37" i="298" s="1"/>
  <c r="F75" i="272"/>
  <c r="F37" i="298" s="1"/>
  <c r="S74" i="272"/>
  <c r="S76" i="298" s="1"/>
  <c r="K74" i="272"/>
  <c r="K76" i="298" s="1"/>
  <c r="F74" i="272"/>
  <c r="F76" i="298" s="1"/>
  <c r="U73" i="272"/>
  <c r="U75" i="298" s="1"/>
  <c r="O73" i="272"/>
  <c r="O75" i="298" s="1"/>
  <c r="N73" i="272"/>
  <c r="N75" i="298" s="1"/>
  <c r="F73" i="272"/>
  <c r="F75" i="298" s="1"/>
  <c r="N72" i="272"/>
  <c r="U72" i="272" s="1"/>
  <c r="F72" i="272"/>
  <c r="F74" i="298" s="1"/>
  <c r="O71" i="272"/>
  <c r="O69" i="298" s="1"/>
  <c r="N71" i="272"/>
  <c r="U71" i="272" s="1"/>
  <c r="F71" i="272"/>
  <c r="F69" i="298" s="1"/>
  <c r="S70" i="272"/>
  <c r="S68" i="298" s="1"/>
  <c r="N70" i="272"/>
  <c r="N68" i="298" s="1"/>
  <c r="AY68" i="298" s="1"/>
  <c r="L70" i="272"/>
  <c r="P70" i="272" s="1"/>
  <c r="K70" i="272"/>
  <c r="K68" i="298" s="1"/>
  <c r="F70" i="272"/>
  <c r="F68" i="298" s="1"/>
  <c r="S69" i="272"/>
  <c r="S67" i="298" s="1"/>
  <c r="N69" i="272"/>
  <c r="N67" i="298" s="1"/>
  <c r="L69" i="272"/>
  <c r="P69" i="272" s="1"/>
  <c r="K69" i="272"/>
  <c r="K67" i="298" s="1"/>
  <c r="F69" i="272"/>
  <c r="F67" i="298" s="1"/>
  <c r="S68" i="272"/>
  <c r="S66" i="298" s="1"/>
  <c r="N68" i="272"/>
  <c r="N66" i="298" s="1"/>
  <c r="L68" i="272"/>
  <c r="L66" i="298" s="1"/>
  <c r="K68" i="272"/>
  <c r="K66" i="298" s="1"/>
  <c r="F68" i="272"/>
  <c r="F66" i="298" s="1"/>
  <c r="S67" i="272"/>
  <c r="S36" i="298" s="1"/>
  <c r="N67" i="272"/>
  <c r="N36" i="298" s="1"/>
  <c r="L67" i="272"/>
  <c r="L36" i="298" s="1"/>
  <c r="K67" i="272"/>
  <c r="K36" i="298" s="1"/>
  <c r="F67" i="272"/>
  <c r="F36" i="298" s="1"/>
  <c r="S66" i="272"/>
  <c r="S72" i="298" s="1"/>
  <c r="K66" i="272"/>
  <c r="L66" i="272" s="1"/>
  <c r="F66" i="272"/>
  <c r="F72" i="298" s="1"/>
  <c r="S65" i="272"/>
  <c r="S71" i="298" s="1"/>
  <c r="K65" i="272"/>
  <c r="K71" i="298" s="1"/>
  <c r="F65" i="272"/>
  <c r="F71" i="298" s="1"/>
  <c r="S64" i="272"/>
  <c r="S35" i="298" s="1"/>
  <c r="N64" i="272"/>
  <c r="K64" i="272"/>
  <c r="K35" i="298" s="1"/>
  <c r="F64" i="272"/>
  <c r="F35" i="298" s="1"/>
  <c r="S63" i="272"/>
  <c r="S34" i="298" s="1"/>
  <c r="N63" i="272"/>
  <c r="K63" i="272"/>
  <c r="K34" i="298" s="1"/>
  <c r="F63" i="272"/>
  <c r="F34" i="298" s="1"/>
  <c r="S62" i="272"/>
  <c r="S65" i="298" s="1"/>
  <c r="L62" i="272"/>
  <c r="K62" i="272"/>
  <c r="K65" i="298" s="1"/>
  <c r="F62" i="272"/>
  <c r="F65" i="298" s="1"/>
  <c r="S61" i="272"/>
  <c r="S64" i="298" s="1"/>
  <c r="L61" i="272"/>
  <c r="L64" i="298" s="1"/>
  <c r="F61" i="272"/>
  <c r="F64" i="298" s="1"/>
  <c r="S60" i="272"/>
  <c r="S63" i="298" s="1"/>
  <c r="N60" i="272"/>
  <c r="N63" i="298" s="1"/>
  <c r="K60" i="272"/>
  <c r="L60" i="272" s="1"/>
  <c r="F60" i="272"/>
  <c r="F63" i="298" s="1"/>
  <c r="S59" i="272"/>
  <c r="S62" i="298" s="1"/>
  <c r="K59" i="272"/>
  <c r="K62" i="298" s="1"/>
  <c r="F59" i="272"/>
  <c r="F62" i="298" s="1"/>
  <c r="S58" i="272"/>
  <c r="S61" i="298" s="1"/>
  <c r="L58" i="272"/>
  <c r="K58" i="272"/>
  <c r="K61" i="298" s="1"/>
  <c r="F58" i="272"/>
  <c r="F61" i="298" s="1"/>
  <c r="S57" i="272"/>
  <c r="S33" i="298" s="1"/>
  <c r="L57" i="272"/>
  <c r="L33" i="298" s="1"/>
  <c r="K57" i="272"/>
  <c r="K33" i="298" s="1"/>
  <c r="F57" i="272"/>
  <c r="F33" i="298" s="1"/>
  <c r="S56" i="272"/>
  <c r="S32" i="298" s="1"/>
  <c r="N56" i="272"/>
  <c r="N32" i="298" s="1"/>
  <c r="L56" i="272"/>
  <c r="P56" i="272" s="1"/>
  <c r="K56" i="272"/>
  <c r="K32" i="298" s="1"/>
  <c r="F56" i="272"/>
  <c r="F32" i="298" s="1"/>
  <c r="S55" i="272"/>
  <c r="S31" i="298" s="1"/>
  <c r="N55" i="272"/>
  <c r="N31" i="298" s="1"/>
  <c r="L55" i="272"/>
  <c r="P55" i="272" s="1"/>
  <c r="K55" i="272"/>
  <c r="K31" i="298" s="1"/>
  <c r="D55" i="272"/>
  <c r="S54" i="272"/>
  <c r="S60" i="298" s="1"/>
  <c r="N54" i="272"/>
  <c r="N60" i="298" s="1"/>
  <c r="L54" i="272"/>
  <c r="L60" i="298" s="1"/>
  <c r="K54" i="272"/>
  <c r="K60" i="298" s="1"/>
  <c r="G54" i="272"/>
  <c r="G60" i="298" s="1"/>
  <c r="F54" i="272"/>
  <c r="F60" i="298" s="1"/>
  <c r="S53" i="272"/>
  <c r="S30" i="298" s="1"/>
  <c r="N53" i="272"/>
  <c r="K53" i="272"/>
  <c r="K30" i="298" s="1"/>
  <c r="F53" i="272"/>
  <c r="F30" i="298" s="1"/>
  <c r="S52" i="272"/>
  <c r="S59" i="298" s="1"/>
  <c r="N52" i="272"/>
  <c r="K52" i="272"/>
  <c r="K59" i="298" s="1"/>
  <c r="F52" i="272"/>
  <c r="F59" i="298" s="1"/>
  <c r="D52" i="272"/>
  <c r="S51" i="272"/>
  <c r="S58" i="298" s="1"/>
  <c r="N51" i="272"/>
  <c r="N58" i="298" s="1"/>
  <c r="K51" i="272"/>
  <c r="L51" i="272" s="1"/>
  <c r="F51" i="272"/>
  <c r="F58" i="298" s="1"/>
  <c r="D51" i="272"/>
  <c r="D58" i="298" s="1"/>
  <c r="S50" i="272"/>
  <c r="S57" i="298" s="1"/>
  <c r="K50" i="272"/>
  <c r="K57" i="298" s="1"/>
  <c r="F50" i="272"/>
  <c r="F57" i="298" s="1"/>
  <c r="S49" i="272"/>
  <c r="S29" i="298" s="1"/>
  <c r="N49" i="272"/>
  <c r="K49" i="272"/>
  <c r="L49" i="272" s="1"/>
  <c r="F49" i="272"/>
  <c r="F29" i="298" s="1"/>
  <c r="S48" i="272"/>
  <c r="S28" i="298" s="1"/>
  <c r="N48" i="272"/>
  <c r="K48" i="272"/>
  <c r="L48" i="272" s="1"/>
  <c r="F48" i="272"/>
  <c r="F28" i="298" s="1"/>
  <c r="S47" i="272"/>
  <c r="S27" i="298" s="1"/>
  <c r="K47" i="272"/>
  <c r="K27" i="298" s="1"/>
  <c r="F47" i="272"/>
  <c r="F27" i="298" s="1"/>
  <c r="S46" i="272"/>
  <c r="S26" i="298" s="1"/>
  <c r="N46" i="272"/>
  <c r="K46" i="272"/>
  <c r="K26" i="298" s="1"/>
  <c r="F46" i="272"/>
  <c r="F26" i="298" s="1"/>
  <c r="S45" i="272"/>
  <c r="S56" i="298" s="1"/>
  <c r="N45" i="272"/>
  <c r="K45" i="272"/>
  <c r="K56" i="298" s="1"/>
  <c r="F45" i="272"/>
  <c r="F56" i="298" s="1"/>
  <c r="S44" i="272"/>
  <c r="S55" i="298" s="1"/>
  <c r="N44" i="272"/>
  <c r="N55" i="298" s="1"/>
  <c r="AY55" i="298" s="1"/>
  <c r="K44" i="272"/>
  <c r="K55" i="298" s="1"/>
  <c r="F44" i="272"/>
  <c r="F55" i="298" s="1"/>
  <c r="S43" i="272"/>
  <c r="S25" i="298" s="1"/>
  <c r="L43" i="272"/>
  <c r="K43" i="272"/>
  <c r="K25" i="298" s="1"/>
  <c r="F43" i="272"/>
  <c r="F25" i="298" s="1"/>
  <c r="S42" i="272"/>
  <c r="S24" i="298" s="1"/>
  <c r="N42" i="272"/>
  <c r="N24" i="298" s="1"/>
  <c r="AY24" i="298" s="1"/>
  <c r="L42" i="272"/>
  <c r="P42" i="272" s="1"/>
  <c r="K42" i="272"/>
  <c r="K24" i="298" s="1"/>
  <c r="D42" i="272"/>
  <c r="F42" i="272" s="1"/>
  <c r="F24" i="298" s="1"/>
  <c r="S41" i="272"/>
  <c r="S23" i="298" s="1"/>
  <c r="L41" i="272"/>
  <c r="K41" i="272"/>
  <c r="K23" i="298" s="1"/>
  <c r="F41" i="272"/>
  <c r="F23" i="298" s="1"/>
  <c r="S40" i="272"/>
  <c r="S22" i="298" s="1"/>
  <c r="K40" i="272"/>
  <c r="L40" i="272" s="1"/>
  <c r="F40" i="272"/>
  <c r="F22" i="298" s="1"/>
  <c r="S39" i="272"/>
  <c r="S21" i="298" s="1"/>
  <c r="N39" i="272"/>
  <c r="N21" i="298" s="1"/>
  <c r="K39" i="272"/>
  <c r="K21" i="298" s="1"/>
  <c r="F39" i="272"/>
  <c r="F21" i="298" s="1"/>
  <c r="S38" i="272"/>
  <c r="S54" i="298" s="1"/>
  <c r="N38" i="272"/>
  <c r="N54" i="298" s="1"/>
  <c r="K38" i="272"/>
  <c r="L38" i="272" s="1"/>
  <c r="F38" i="272"/>
  <c r="F54" i="298" s="1"/>
  <c r="S37" i="272"/>
  <c r="S53" i="298" s="1"/>
  <c r="K37" i="272"/>
  <c r="K53" i="298" s="1"/>
  <c r="F37" i="272"/>
  <c r="F53" i="298" s="1"/>
  <c r="S36" i="272"/>
  <c r="S20" i="298" s="1"/>
  <c r="K36" i="272"/>
  <c r="K20" i="298" s="1"/>
  <c r="F36" i="272"/>
  <c r="F20" i="298" s="1"/>
  <c r="S35" i="272"/>
  <c r="S19" i="298" s="1"/>
  <c r="L35" i="272"/>
  <c r="K35" i="272"/>
  <c r="K19" i="298" s="1"/>
  <c r="F35" i="272"/>
  <c r="F19" i="298" s="1"/>
  <c r="S34" i="272"/>
  <c r="S18" i="298" s="1"/>
  <c r="K34" i="272"/>
  <c r="L34" i="272" s="1"/>
  <c r="F34" i="272"/>
  <c r="F18" i="298" s="1"/>
  <c r="S33" i="272"/>
  <c r="S17" i="298" s="1"/>
  <c r="N33" i="272"/>
  <c r="N17" i="298" s="1"/>
  <c r="K33" i="272"/>
  <c r="K17" i="298" s="1"/>
  <c r="F33" i="272"/>
  <c r="F17" i="298" s="1"/>
  <c r="S32" i="272"/>
  <c r="S16" i="298" s="1"/>
  <c r="N32" i="272"/>
  <c r="N16" i="298" s="1"/>
  <c r="K32" i="272"/>
  <c r="K16" i="298" s="1"/>
  <c r="F32" i="272"/>
  <c r="F16" i="298" s="1"/>
  <c r="S31" i="272"/>
  <c r="S52" i="298" s="1"/>
  <c r="K31" i="272"/>
  <c r="L31" i="272" s="1"/>
  <c r="L52" i="298" s="1"/>
  <c r="G31" i="272"/>
  <c r="P31" i="272" s="1"/>
  <c r="D31" i="272"/>
  <c r="D52" i="298" s="1"/>
  <c r="S30" i="272"/>
  <c r="S51" i="298" s="1"/>
  <c r="K30" i="272"/>
  <c r="K51" i="298" s="1"/>
  <c r="F30" i="272"/>
  <c r="F51" i="298" s="1"/>
  <c r="S29" i="272"/>
  <c r="S50" i="298" s="1"/>
  <c r="N29" i="272"/>
  <c r="N50" i="298" s="1"/>
  <c r="K29" i="272"/>
  <c r="L29" i="272" s="1"/>
  <c r="F29" i="272"/>
  <c r="F50" i="298" s="1"/>
  <c r="S28" i="272"/>
  <c r="S15" i="298" s="1"/>
  <c r="L28" i="272"/>
  <c r="L15" i="298" s="1"/>
  <c r="K28" i="272"/>
  <c r="K15" i="298" s="1"/>
  <c r="F28" i="272"/>
  <c r="F15" i="298" s="1"/>
  <c r="S27" i="272"/>
  <c r="S73" i="298" s="1"/>
  <c r="K27" i="272"/>
  <c r="K73" i="298" s="1"/>
  <c r="F27" i="272"/>
  <c r="F73" i="298" s="1"/>
  <c r="S26" i="272"/>
  <c r="S14" i="298" s="1"/>
  <c r="N26" i="272"/>
  <c r="N14" i="298" s="1"/>
  <c r="L26" i="272"/>
  <c r="K26" i="272"/>
  <c r="K14" i="298" s="1"/>
  <c r="F26" i="272"/>
  <c r="F14" i="298" s="1"/>
  <c r="S25" i="272"/>
  <c r="S78" i="298" s="1"/>
  <c r="S79" i="298" s="1"/>
  <c r="K25" i="272"/>
  <c r="K78" i="298" s="1"/>
  <c r="K79" i="298" s="1"/>
  <c r="D25" i="272"/>
  <c r="D78" i="298" s="1"/>
  <c r="D79" i="298" s="1"/>
  <c r="S24" i="272"/>
  <c r="S13" i="298" s="1"/>
  <c r="N24" i="272"/>
  <c r="N13" i="298" s="1"/>
  <c r="L24" i="272"/>
  <c r="L13" i="298" s="1"/>
  <c r="K24" i="272"/>
  <c r="K13" i="298" s="1"/>
  <c r="F24" i="272"/>
  <c r="F13" i="298" s="1"/>
  <c r="S23" i="272"/>
  <c r="S49" i="298" s="1"/>
  <c r="K23" i="272"/>
  <c r="K49" i="298" s="1"/>
  <c r="F23" i="272"/>
  <c r="F49" i="298" s="1"/>
  <c r="S22" i="272"/>
  <c r="S12" i="298" s="1"/>
  <c r="N22" i="272"/>
  <c r="N12" i="298" s="1"/>
  <c r="K22" i="272"/>
  <c r="K12" i="298" s="1"/>
  <c r="F22" i="272"/>
  <c r="F12" i="298" s="1"/>
  <c r="S21" i="272"/>
  <c r="S48" i="298" s="1"/>
  <c r="L21" i="272"/>
  <c r="L48" i="298" s="1"/>
  <c r="K21" i="272"/>
  <c r="K48" i="298" s="1"/>
  <c r="F21" i="272"/>
  <c r="F48" i="298" s="1"/>
  <c r="S20" i="272"/>
  <c r="S11" i="298" s="1"/>
  <c r="N20" i="272"/>
  <c r="N11" i="298" s="1"/>
  <c r="L20" i="272"/>
  <c r="L11" i="298" s="1"/>
  <c r="K20" i="272"/>
  <c r="K11" i="298" s="1"/>
  <c r="F20" i="272"/>
  <c r="F11" i="298" s="1"/>
  <c r="S19" i="272"/>
  <c r="S10" i="298" s="1"/>
  <c r="N19" i="272"/>
  <c r="N10" i="298" s="1"/>
  <c r="AY10" i="298" s="1"/>
  <c r="L19" i="272"/>
  <c r="L10" i="298" s="1"/>
  <c r="K19" i="272"/>
  <c r="K10" i="298" s="1"/>
  <c r="F19" i="272"/>
  <c r="F10" i="298" s="1"/>
  <c r="S18" i="272"/>
  <c r="S9" i="298" s="1"/>
  <c r="N18" i="272"/>
  <c r="N9" i="298" s="1"/>
  <c r="L18" i="272"/>
  <c r="L9" i="298" s="1"/>
  <c r="K18" i="272"/>
  <c r="K9" i="298" s="1"/>
  <c r="F18" i="272"/>
  <c r="F9" i="298" s="1"/>
  <c r="D18" i="272"/>
  <c r="D9" i="298" s="1"/>
  <c r="S17" i="272"/>
  <c r="S47" i="298" s="1"/>
  <c r="N17" i="272"/>
  <c r="N47" i="298" s="1"/>
  <c r="AY47" i="298" s="1"/>
  <c r="K17" i="272"/>
  <c r="K47" i="298" s="1"/>
  <c r="G17" i="272"/>
  <c r="G47" i="298" s="1"/>
  <c r="F17" i="272"/>
  <c r="F47" i="298" s="1"/>
  <c r="D17" i="272"/>
  <c r="D47" i="298" s="1"/>
  <c r="S16" i="272"/>
  <c r="S46" i="298" s="1"/>
  <c r="N16" i="272"/>
  <c r="N46" i="298" s="1"/>
  <c r="K16" i="272"/>
  <c r="K46" i="298" s="1"/>
  <c r="D16" i="272"/>
  <c r="D46" i="298" s="1"/>
  <c r="S15" i="272"/>
  <c r="S8" i="298" s="1"/>
  <c r="N15" i="272"/>
  <c r="N8" i="298" s="1"/>
  <c r="L15" i="272"/>
  <c r="L8" i="298" s="1"/>
  <c r="K15" i="272"/>
  <c r="K8" i="298" s="1"/>
  <c r="G15" i="272"/>
  <c r="G8" i="298" s="1"/>
  <c r="D15" i="272"/>
  <c r="D8" i="298" s="1"/>
  <c r="S14" i="272"/>
  <c r="S45" i="298" s="1"/>
  <c r="K14" i="272"/>
  <c r="K45" i="298" s="1"/>
  <c r="G14" i="272"/>
  <c r="G45" i="298" s="1"/>
  <c r="F14" i="272"/>
  <c r="F45" i="298" s="1"/>
  <c r="S13" i="272"/>
  <c r="S7" i="298" s="1"/>
  <c r="K13" i="272"/>
  <c r="K7" i="298" s="1"/>
  <c r="G13" i="272"/>
  <c r="F13" i="272"/>
  <c r="F7" i="298" s="1"/>
  <c r="S12" i="272"/>
  <c r="S44" i="298" s="1"/>
  <c r="K12" i="272"/>
  <c r="K44" i="298" s="1"/>
  <c r="F12" i="272"/>
  <c r="F44" i="298" s="1"/>
  <c r="S11" i="272"/>
  <c r="S43" i="298" s="1"/>
  <c r="Q11" i="272"/>
  <c r="N11" i="272"/>
  <c r="N43" i="298" s="1"/>
  <c r="L11" i="272"/>
  <c r="L43" i="298" s="1"/>
  <c r="K11" i="272"/>
  <c r="K43" i="298" s="1"/>
  <c r="F11" i="272"/>
  <c r="F43" i="298" s="1"/>
  <c r="D11" i="272"/>
  <c r="D43" i="298" s="1"/>
  <c r="S10" i="272"/>
  <c r="S6" i="298" s="1"/>
  <c r="N10" i="272"/>
  <c r="K10" i="272"/>
  <c r="K6" i="298" s="1"/>
  <c r="F10" i="272"/>
  <c r="F6" i="298" s="1"/>
  <c r="S9" i="272"/>
  <c r="S70" i="298" s="1"/>
  <c r="L9" i="272"/>
  <c r="L70" i="298" s="1"/>
  <c r="K9" i="272"/>
  <c r="K70" i="298" s="1"/>
  <c r="F9" i="272"/>
  <c r="F70" i="298" s="1"/>
  <c r="S8" i="272"/>
  <c r="S42" i="298" s="1"/>
  <c r="K8" i="272"/>
  <c r="K42" i="298" s="1"/>
  <c r="F8" i="272"/>
  <c r="F42" i="298" s="1"/>
  <c r="S7" i="272"/>
  <c r="S41" i="298" s="1"/>
  <c r="L7" i="272"/>
  <c r="L41" i="298" s="1"/>
  <c r="K7" i="272"/>
  <c r="K41" i="298" s="1"/>
  <c r="F7" i="272"/>
  <c r="F41" i="298" s="1"/>
  <c r="S6" i="272"/>
  <c r="S40" i="298" s="1"/>
  <c r="K6" i="272"/>
  <c r="K40" i="298" s="1"/>
  <c r="D6" i="272"/>
  <c r="D40" i="298" s="1"/>
  <c r="A6" i="272"/>
  <c r="A7" i="272" s="1"/>
  <c r="A8" i="272" s="1"/>
  <c r="A9" i="272" s="1"/>
  <c r="A10" i="272" s="1"/>
  <c r="A11" i="272" s="1"/>
  <c r="A12" i="272" s="1"/>
  <c r="A13" i="272" s="1"/>
  <c r="A14" i="272" s="1"/>
  <c r="A15" i="272" s="1"/>
  <c r="A16" i="272" s="1"/>
  <c r="A17" i="272" s="1"/>
  <c r="A18" i="272" s="1"/>
  <c r="A19" i="272" s="1"/>
  <c r="A20" i="272" s="1"/>
  <c r="A21" i="272" s="1"/>
  <c r="A22" i="272" s="1"/>
  <c r="A23" i="272" s="1"/>
  <c r="A24" i="272" s="1"/>
  <c r="A25" i="272" s="1"/>
  <c r="A26" i="272" s="1"/>
  <c r="A27" i="272" s="1"/>
  <c r="A28" i="272" s="1"/>
  <c r="A29" i="272" s="1"/>
  <c r="A30" i="272" s="1"/>
  <c r="A31" i="272" s="1"/>
  <c r="A32" i="272" s="1"/>
  <c r="A33" i="272" s="1"/>
  <c r="A34" i="272" s="1"/>
  <c r="A35" i="272" s="1"/>
  <c r="A36" i="272" s="1"/>
  <c r="A37" i="272" s="1"/>
  <c r="A38" i="272" s="1"/>
  <c r="A39" i="272" s="1"/>
  <c r="A40" i="272" s="1"/>
  <c r="A41" i="272" s="1"/>
  <c r="A42" i="272" s="1"/>
  <c r="A43" i="272" s="1"/>
  <c r="A44" i="272" s="1"/>
  <c r="A45" i="272" s="1"/>
  <c r="A46" i="272" s="1"/>
  <c r="A47" i="272" s="1"/>
  <c r="A48" i="272" s="1"/>
  <c r="A49" i="272" s="1"/>
  <c r="A50" i="272" s="1"/>
  <c r="A51" i="272" s="1"/>
  <c r="A52" i="272" s="1"/>
  <c r="A53" i="272" s="1"/>
  <c r="A54" i="272" s="1"/>
  <c r="A55" i="272" s="1"/>
  <c r="A56" i="272" s="1"/>
  <c r="A57" i="272" s="1"/>
  <c r="A58" i="272" s="1"/>
  <c r="A59" i="272" s="1"/>
  <c r="A60" i="272" s="1"/>
  <c r="A61" i="272" s="1"/>
  <c r="A62" i="272" s="1"/>
  <c r="A63" i="272" s="1"/>
  <c r="A64" i="272" s="1"/>
  <c r="A65" i="272" s="1"/>
  <c r="A66" i="272" s="1"/>
  <c r="A67" i="272" s="1"/>
  <c r="A68" i="272" s="1"/>
  <c r="A69" i="272" s="1"/>
  <c r="A70" i="272" s="1"/>
  <c r="A71" i="272" s="1"/>
  <c r="A72" i="272" s="1"/>
  <c r="A73" i="272" s="1"/>
  <c r="A74" i="272" s="1"/>
  <c r="A75" i="272" s="1"/>
  <c r="A76" i="272" s="1"/>
  <c r="A77" i="272" s="1"/>
  <c r="S5" i="272"/>
  <c r="K5" i="272"/>
  <c r="D5" i="272"/>
  <c r="E13" i="67"/>
  <c r="M16" i="44"/>
  <c r="L16" i="44"/>
  <c r="I16" i="44"/>
  <c r="F16" i="44"/>
  <c r="E16" i="44"/>
  <c r="D16" i="44"/>
  <c r="O15" i="44"/>
  <c r="O14" i="44"/>
  <c r="O13" i="44"/>
  <c r="B12" i="44"/>
  <c r="B16" i="44" s="1"/>
  <c r="F10" i="43" s="1"/>
  <c r="O11" i="44"/>
  <c r="R11" i="44" s="1"/>
  <c r="O10" i="44"/>
  <c r="R10" i="44" s="1"/>
  <c r="O9" i="44"/>
  <c r="O8" i="44"/>
  <c r="H8" i="44"/>
  <c r="D8" i="44"/>
  <c r="O7" i="44"/>
  <c r="R7" i="44" s="1"/>
  <c r="M6" i="44"/>
  <c r="K6" i="44"/>
  <c r="K16" i="44" s="1"/>
  <c r="H6" i="44"/>
  <c r="G6" i="44"/>
  <c r="D6" i="44"/>
  <c r="C6" i="44"/>
  <c r="M5" i="44"/>
  <c r="J5" i="44"/>
  <c r="H5" i="44"/>
  <c r="H16" i="44" s="1"/>
  <c r="F12" i="43" s="1"/>
  <c r="G5" i="44"/>
  <c r="G16" i="44" s="1"/>
  <c r="D5" i="44"/>
  <c r="O5" i="44" s="1"/>
  <c r="B5" i="44"/>
  <c r="M4" i="44"/>
  <c r="J4" i="44"/>
  <c r="O4" i="44" s="1"/>
  <c r="H4" i="44"/>
  <c r="X24" i="97"/>
  <c r="W24" i="97"/>
  <c r="V24" i="97"/>
  <c r="Y19" i="97"/>
  <c r="X19" i="97"/>
  <c r="W19" i="97"/>
  <c r="V19" i="97"/>
  <c r="U19" i="97"/>
  <c r="Q19" i="97"/>
  <c r="P19" i="97"/>
  <c r="O19" i="97"/>
  <c r="L19" i="97"/>
  <c r="H19" i="97"/>
  <c r="G19" i="97"/>
  <c r="F19" i="97"/>
  <c r="E19" i="97"/>
  <c r="D19" i="97"/>
  <c r="C19" i="97"/>
  <c r="B19" i="97"/>
  <c r="Y18" i="97"/>
  <c r="X18" i="97"/>
  <c r="W18" i="97"/>
  <c r="V18" i="97"/>
  <c r="O18" i="97"/>
  <c r="G18" i="97"/>
  <c r="F18" i="97"/>
  <c r="E18" i="97"/>
  <c r="C18" i="97"/>
  <c r="B18" i="97"/>
  <c r="X17" i="97"/>
  <c r="V17" i="97"/>
  <c r="U17" i="97"/>
  <c r="T17" i="97"/>
  <c r="Q17" i="97"/>
  <c r="P17" i="97"/>
  <c r="O17" i="97"/>
  <c r="J17" i="97"/>
  <c r="I17" i="97"/>
  <c r="H17" i="97"/>
  <c r="F17" i="97"/>
  <c r="E17" i="97"/>
  <c r="C17" i="97"/>
  <c r="B17" i="97"/>
  <c r="Y16" i="97"/>
  <c r="X16" i="97"/>
  <c r="W16" i="97"/>
  <c r="V16" i="97"/>
  <c r="P16" i="97"/>
  <c r="O16" i="97"/>
  <c r="H16" i="97"/>
  <c r="G16" i="97"/>
  <c r="F16" i="97"/>
  <c r="E16" i="97"/>
  <c r="C16" i="97"/>
  <c r="Y15" i="97"/>
  <c r="W15" i="97"/>
  <c r="V15" i="97"/>
  <c r="H15" i="97"/>
  <c r="G15" i="97"/>
  <c r="F15" i="97"/>
  <c r="E15" i="97"/>
  <c r="C15" i="97"/>
  <c r="Y14" i="97"/>
  <c r="X14" i="97"/>
  <c r="W14" i="97"/>
  <c r="V14" i="97"/>
  <c r="P14" i="97"/>
  <c r="L14" i="97"/>
  <c r="H14" i="97"/>
  <c r="G14" i="97"/>
  <c r="F14" i="97"/>
  <c r="E14" i="97"/>
  <c r="C14" i="97"/>
  <c r="B14" i="97"/>
  <c r="Y13" i="97"/>
  <c r="X13" i="97"/>
  <c r="W13" i="97"/>
  <c r="V13" i="97"/>
  <c r="P13" i="97"/>
  <c r="H13" i="97"/>
  <c r="G13" i="97"/>
  <c r="F13" i="97"/>
  <c r="C13" i="97"/>
  <c r="B13" i="97"/>
  <c r="W12" i="97"/>
  <c r="G12" i="97"/>
  <c r="C12" i="97"/>
  <c r="X9" i="97"/>
  <c r="P9" i="97"/>
  <c r="H9" i="97"/>
  <c r="G9" i="97"/>
  <c r="V8" i="97"/>
  <c r="H8" i="97"/>
  <c r="C8" i="97"/>
  <c r="Y7" i="97"/>
  <c r="X7" i="97"/>
  <c r="V7" i="97"/>
  <c r="P7" i="97"/>
  <c r="H7" i="97"/>
  <c r="F7" i="97"/>
  <c r="Y6" i="97"/>
  <c r="V6" i="97"/>
  <c r="T6" i="97"/>
  <c r="F6" i="97"/>
  <c r="X21" i="12"/>
  <c r="W21" i="12"/>
  <c r="V21" i="12"/>
  <c r="Z15" i="12"/>
  <c r="Y15" i="12"/>
  <c r="Q15" i="44" s="1"/>
  <c r="R15" i="44" s="1"/>
  <c r="X15" i="12"/>
  <c r="W15" i="12"/>
  <c r="V15" i="12"/>
  <c r="P15" i="12"/>
  <c r="O15" i="12"/>
  <c r="I15" i="12"/>
  <c r="H15" i="12"/>
  <c r="G15" i="12"/>
  <c r="F15" i="12"/>
  <c r="E15" i="12"/>
  <c r="C15" i="12"/>
  <c r="Z14" i="12"/>
  <c r="Y14" i="12"/>
  <c r="Q14" i="44" s="1"/>
  <c r="R14" i="44" s="1"/>
  <c r="X14" i="12"/>
  <c r="W14" i="12"/>
  <c r="V14" i="12"/>
  <c r="U14" i="12"/>
  <c r="Q14" i="12"/>
  <c r="P14" i="12"/>
  <c r="O14" i="12"/>
  <c r="L14" i="12"/>
  <c r="H14" i="12"/>
  <c r="G14" i="12"/>
  <c r="F14" i="12"/>
  <c r="E14" i="12"/>
  <c r="D14" i="12"/>
  <c r="C14" i="12"/>
  <c r="B14" i="12"/>
  <c r="Z13" i="12"/>
  <c r="Y13" i="12"/>
  <c r="Q13" i="44" s="1"/>
  <c r="X13" i="12"/>
  <c r="W13" i="12"/>
  <c r="V13" i="12"/>
  <c r="T13" i="12"/>
  <c r="P13" i="12"/>
  <c r="O13" i="12"/>
  <c r="L13" i="12"/>
  <c r="H13" i="12"/>
  <c r="G13" i="12"/>
  <c r="F13" i="12"/>
  <c r="C13" i="12"/>
  <c r="Z12" i="12"/>
  <c r="Y12" i="12"/>
  <c r="Q12" i="44" s="1"/>
  <c r="X12" i="12"/>
  <c r="W12" i="12"/>
  <c r="V12" i="12"/>
  <c r="U12" i="12"/>
  <c r="Q12" i="12"/>
  <c r="O12" i="12"/>
  <c r="L12" i="12"/>
  <c r="H12" i="12"/>
  <c r="G12" i="12"/>
  <c r="F12" i="12"/>
  <c r="E12" i="12"/>
  <c r="C12" i="12"/>
  <c r="B12" i="12"/>
  <c r="Z11" i="12"/>
  <c r="Y11" i="12"/>
  <c r="Q9" i="44" s="1"/>
  <c r="R9" i="44" s="1"/>
  <c r="X11" i="12"/>
  <c r="W11" i="12"/>
  <c r="V11" i="12"/>
  <c r="P11" i="12"/>
  <c r="O11" i="12"/>
  <c r="L11" i="12"/>
  <c r="H11" i="12"/>
  <c r="G11" i="12"/>
  <c r="F11" i="12"/>
  <c r="C11" i="12"/>
  <c r="Z10" i="12"/>
  <c r="Y10" i="12"/>
  <c r="Q8" i="44" s="1"/>
  <c r="R8" i="44" s="1"/>
  <c r="X10" i="12"/>
  <c r="W10" i="12"/>
  <c r="V10" i="12"/>
  <c r="T10" i="12"/>
  <c r="P10" i="12"/>
  <c r="O10" i="12"/>
  <c r="H10" i="12"/>
  <c r="G10" i="12"/>
  <c r="F10" i="12"/>
  <c r="C10" i="12"/>
  <c r="Z9" i="12"/>
  <c r="X9" i="12"/>
  <c r="W9" i="12"/>
  <c r="V9" i="12"/>
  <c r="H9" i="12"/>
  <c r="G9" i="12"/>
  <c r="F9" i="12"/>
  <c r="Z8" i="12"/>
  <c r="X8" i="12"/>
  <c r="W8" i="12"/>
  <c r="V8" i="12"/>
  <c r="P8" i="12"/>
  <c r="H8" i="12"/>
  <c r="G8" i="12"/>
  <c r="F8" i="12"/>
  <c r="Y7" i="12"/>
  <c r="Q4" i="44" s="1"/>
  <c r="R4" i="44" s="1"/>
  <c r="X7" i="12"/>
  <c r="W7" i="12"/>
  <c r="V7" i="12"/>
  <c r="V16" i="12" s="1"/>
  <c r="U7" i="12"/>
  <c r="P7" i="12"/>
  <c r="H7" i="12"/>
  <c r="G7" i="12"/>
  <c r="F7" i="12"/>
  <c r="F16" i="12" s="1"/>
  <c r="F29" i="97" s="1"/>
  <c r="C7" i="12"/>
  <c r="G14" i="43"/>
  <c r="F8" i="43"/>
  <c r="F7" i="43"/>
  <c r="H22" i="38"/>
  <c r="G22" i="38"/>
  <c r="F22" i="38"/>
  <c r="H21" i="38"/>
  <c r="H20" i="38"/>
  <c r="C20" i="38"/>
  <c r="E20" i="38" s="1"/>
  <c r="H19" i="38"/>
  <c r="E19" i="38"/>
  <c r="C19" i="38"/>
  <c r="H18" i="38"/>
  <c r="G17" i="38"/>
  <c r="F17" i="38"/>
  <c r="H16" i="38"/>
  <c r="E16" i="38"/>
  <c r="H15" i="38"/>
  <c r="E15" i="38"/>
  <c r="H14" i="38"/>
  <c r="E14" i="38"/>
  <c r="D14" i="38"/>
  <c r="H13" i="38"/>
  <c r="D13" i="38"/>
  <c r="E13" i="38" s="1"/>
  <c r="H12" i="38"/>
  <c r="H11" i="38"/>
  <c r="E11" i="38"/>
  <c r="H10" i="38"/>
  <c r="C10" i="38"/>
  <c r="E10" i="38" s="1"/>
  <c r="H9" i="38"/>
  <c r="H17" i="38" s="1"/>
  <c r="E9" i="38"/>
  <c r="C9" i="38"/>
  <c r="C17" i="38" s="1"/>
  <c r="G14" i="100"/>
  <c r="G17" i="42"/>
  <c r="G10" i="42"/>
  <c r="F21" i="61"/>
  <c r="G25" i="40"/>
  <c r="I22" i="40"/>
  <c r="H22" i="40"/>
  <c r="G22" i="40"/>
  <c r="F22" i="40"/>
  <c r="E22" i="40"/>
  <c r="D22" i="40"/>
  <c r="J22" i="40" s="1"/>
  <c r="D15" i="40"/>
  <c r="V22" i="12" l="1"/>
  <c r="V29" i="97"/>
  <c r="E17" i="38"/>
  <c r="C22" i="38"/>
  <c r="C21" i="38"/>
  <c r="H7" i="67"/>
  <c r="Z7" i="12"/>
  <c r="Z16" i="12" s="1"/>
  <c r="D17" i="38"/>
  <c r="O12" i="44"/>
  <c r="R12" i="44" s="1"/>
  <c r="C16" i="44"/>
  <c r="K19" i="44" s="1"/>
  <c r="F5" i="272"/>
  <c r="F6" i="272"/>
  <c r="F40" i="298" s="1"/>
  <c r="P7" i="272"/>
  <c r="L8" i="272"/>
  <c r="N77" i="272"/>
  <c r="L7" i="12" s="1"/>
  <c r="N6" i="298"/>
  <c r="Q77" i="272"/>
  <c r="O7" i="12" s="1"/>
  <c r="O16" i="12" s="1"/>
  <c r="Q43" i="298"/>
  <c r="L12" i="272"/>
  <c r="L13" i="272"/>
  <c r="L14" i="272"/>
  <c r="F16" i="272"/>
  <c r="F46" i="298" s="1"/>
  <c r="L17" i="272"/>
  <c r="P21" i="272"/>
  <c r="L22" i="272"/>
  <c r="L23" i="272"/>
  <c r="L25" i="272"/>
  <c r="P29" i="272"/>
  <c r="L50" i="298"/>
  <c r="L54" i="298"/>
  <c r="P38" i="272"/>
  <c r="L22" i="298"/>
  <c r="P40" i="272"/>
  <c r="T42" i="272"/>
  <c r="T24" i="298" s="1"/>
  <c r="M42" i="272"/>
  <c r="M24" i="298" s="1"/>
  <c r="P24" i="298"/>
  <c r="M56" i="272"/>
  <c r="M32" i="298" s="1"/>
  <c r="P32" i="298"/>
  <c r="T56" i="272"/>
  <c r="M70" i="272"/>
  <c r="M68" i="298" s="1"/>
  <c r="P68" i="298"/>
  <c r="U69" i="298"/>
  <c r="V71" i="272"/>
  <c r="V69" i="298" s="1"/>
  <c r="R80" i="298"/>
  <c r="Z80" i="298"/>
  <c r="Y80" i="298"/>
  <c r="L55" i="299"/>
  <c r="P28" i="274"/>
  <c r="L28" i="308"/>
  <c r="P26" i="299"/>
  <c r="P29" i="308"/>
  <c r="T29" i="274"/>
  <c r="M29" i="274"/>
  <c r="P111" i="299"/>
  <c r="P37" i="308"/>
  <c r="M37" i="274"/>
  <c r="T37" i="274" s="1"/>
  <c r="F39" i="308"/>
  <c r="F31" i="299"/>
  <c r="L35" i="299"/>
  <c r="L46" i="308"/>
  <c r="P46" i="274"/>
  <c r="L36" i="299"/>
  <c r="L47" i="308"/>
  <c r="P47" i="274"/>
  <c r="L54" i="308"/>
  <c r="L71" i="299"/>
  <c r="P54" i="274"/>
  <c r="P42" i="299"/>
  <c r="P68" i="308"/>
  <c r="T68" i="274"/>
  <c r="M68" i="274"/>
  <c r="L75" i="299"/>
  <c r="L76" i="308"/>
  <c r="P76" i="274"/>
  <c r="P76" i="299"/>
  <c r="P77" i="308"/>
  <c r="M77" i="274"/>
  <c r="L80" i="299"/>
  <c r="L85" i="308"/>
  <c r="P85" i="274"/>
  <c r="L59" i="299"/>
  <c r="L102" i="308"/>
  <c r="P102" i="274"/>
  <c r="P88" i="299"/>
  <c r="P103" i="308"/>
  <c r="T103" i="274"/>
  <c r="M103" i="274"/>
  <c r="P129" i="299"/>
  <c r="P110" i="308"/>
  <c r="T110" i="274"/>
  <c r="M110" i="274"/>
  <c r="P52" i="299"/>
  <c r="P116" i="308"/>
  <c r="M116" i="274"/>
  <c r="P118" i="308"/>
  <c r="P61" i="299"/>
  <c r="M118" i="274"/>
  <c r="G16" i="12"/>
  <c r="W16" i="12"/>
  <c r="K5" i="298"/>
  <c r="K77" i="272"/>
  <c r="P15" i="272"/>
  <c r="P18" i="272"/>
  <c r="P19" i="272"/>
  <c r="P20" i="272"/>
  <c r="L72" i="298"/>
  <c r="P66" i="272"/>
  <c r="Q77" i="298"/>
  <c r="P7" i="299"/>
  <c r="M27" i="274"/>
  <c r="T27" i="274" s="1"/>
  <c r="P27" i="308"/>
  <c r="L102" i="299"/>
  <c r="L31" i="308"/>
  <c r="P31" i="274"/>
  <c r="P112" i="299"/>
  <c r="P53" i="308"/>
  <c r="M53" i="274"/>
  <c r="T53" i="274" s="1"/>
  <c r="L113" i="299"/>
  <c r="L56" i="308"/>
  <c r="P56" i="274"/>
  <c r="L114" i="299"/>
  <c r="L57" i="308"/>
  <c r="P57" i="274"/>
  <c r="P126" i="299"/>
  <c r="P58" i="308"/>
  <c r="M58" i="274"/>
  <c r="T58" i="274" s="1"/>
  <c r="L74" i="308"/>
  <c r="L65" i="299"/>
  <c r="L66" i="299" s="1"/>
  <c r="P74" i="274"/>
  <c r="L75" i="308"/>
  <c r="L74" i="299"/>
  <c r="P75" i="274"/>
  <c r="P9" i="299"/>
  <c r="P84" i="308"/>
  <c r="M84" i="274"/>
  <c r="P47" i="299"/>
  <c r="P87" i="308"/>
  <c r="H16" i="12"/>
  <c r="H29" i="97" s="1"/>
  <c r="X16" i="12"/>
  <c r="J16" i="44"/>
  <c r="L5" i="272"/>
  <c r="S5" i="298"/>
  <c r="S39" i="298" s="1"/>
  <c r="S77" i="272"/>
  <c r="Q7" i="12" s="1"/>
  <c r="L6" i="272"/>
  <c r="S77" i="298"/>
  <c r="P9" i="272"/>
  <c r="L10" i="272"/>
  <c r="G7" i="298"/>
  <c r="G77" i="272"/>
  <c r="F15" i="272"/>
  <c r="F8" i="298" s="1"/>
  <c r="L16" i="272"/>
  <c r="F25" i="272"/>
  <c r="F78" i="298" s="1"/>
  <c r="F79" i="298" s="1"/>
  <c r="X80" i="298"/>
  <c r="I80" i="298"/>
  <c r="P23" i="308"/>
  <c r="P23" i="299"/>
  <c r="T23" i="274"/>
  <c r="M23" i="274"/>
  <c r="S109" i="299"/>
  <c r="S30" i="308"/>
  <c r="P38" i="299"/>
  <c r="P51" i="308"/>
  <c r="M51" i="274"/>
  <c r="T51" i="274" s="1"/>
  <c r="P72" i="299"/>
  <c r="P55" i="308"/>
  <c r="M55" i="274"/>
  <c r="T55" i="274" s="1"/>
  <c r="P70" i="308"/>
  <c r="P8" i="299"/>
  <c r="T70" i="274"/>
  <c r="M70" i="274"/>
  <c r="P73" i="308"/>
  <c r="P45" i="299"/>
  <c r="M73" i="274"/>
  <c r="L115" i="299"/>
  <c r="L81" i="308"/>
  <c r="P81" i="274"/>
  <c r="L116" i="299"/>
  <c r="L94" i="308"/>
  <c r="P94" i="274"/>
  <c r="P84" i="299"/>
  <c r="P95" i="308"/>
  <c r="T95" i="274"/>
  <c r="M95" i="274"/>
  <c r="F86" i="299"/>
  <c r="F97" i="308"/>
  <c r="F132" i="299"/>
  <c r="F101" i="308"/>
  <c r="L91" i="299"/>
  <c r="L106" i="308"/>
  <c r="P106" i="274"/>
  <c r="P117" i="299"/>
  <c r="P107" i="308"/>
  <c r="M107" i="274"/>
  <c r="L123" i="308"/>
  <c r="L96" i="299"/>
  <c r="P123" i="274"/>
  <c r="S125" i="308"/>
  <c r="S97" i="299"/>
  <c r="D5" i="298"/>
  <c r="D77" i="272"/>
  <c r="B7" i="12" s="1"/>
  <c r="P11" i="272"/>
  <c r="P24" i="272"/>
  <c r="L14" i="298"/>
  <c r="P26" i="272"/>
  <c r="P52" i="298"/>
  <c r="M31" i="272"/>
  <c r="M52" i="298" s="1"/>
  <c r="L18" i="298"/>
  <c r="P34" i="272"/>
  <c r="L28" i="298"/>
  <c r="P48" i="272"/>
  <c r="P49" i="272"/>
  <c r="L29" i="298"/>
  <c r="P51" i="272"/>
  <c r="L58" i="298"/>
  <c r="M55" i="272"/>
  <c r="M31" i="298" s="1"/>
  <c r="P31" i="298"/>
  <c r="P60" i="272"/>
  <c r="L63" i="298"/>
  <c r="M69" i="272"/>
  <c r="M67" i="298" s="1"/>
  <c r="P67" i="298"/>
  <c r="T69" i="272"/>
  <c r="U74" i="298"/>
  <c r="V72" i="272"/>
  <c r="V74" i="298" s="1"/>
  <c r="G39" i="298"/>
  <c r="H80" i="298"/>
  <c r="Q80" i="298"/>
  <c r="L121" i="299"/>
  <c r="L63" i="308"/>
  <c r="P63" i="274"/>
  <c r="L123" i="299"/>
  <c r="L124" i="299" s="1"/>
  <c r="L65" i="308"/>
  <c r="P65" i="274"/>
  <c r="L40" i="299"/>
  <c r="L66" i="308"/>
  <c r="P66" i="274"/>
  <c r="L86" i="308"/>
  <c r="L81" i="299"/>
  <c r="P86" i="274"/>
  <c r="P83" i="299"/>
  <c r="P93" i="308"/>
  <c r="T93" i="274"/>
  <c r="M93" i="274"/>
  <c r="L96" i="308"/>
  <c r="L85" i="299"/>
  <c r="P96" i="274"/>
  <c r="P99" i="299"/>
  <c r="P128" i="308"/>
  <c r="L27" i="272"/>
  <c r="F31" i="272"/>
  <c r="F52" i="298" s="1"/>
  <c r="P35" i="272"/>
  <c r="L36" i="272"/>
  <c r="P41" i="272"/>
  <c r="O42" i="272"/>
  <c r="O24" i="298" s="1"/>
  <c r="U42" i="272"/>
  <c r="P43" i="272"/>
  <c r="L44" i="272"/>
  <c r="L45" i="272"/>
  <c r="L46" i="272"/>
  <c r="L47" i="272"/>
  <c r="L52" i="272"/>
  <c r="L53" i="272"/>
  <c r="F55" i="272"/>
  <c r="F31" i="298" s="1"/>
  <c r="P58" i="272"/>
  <c r="L59" i="272"/>
  <c r="P62" i="272"/>
  <c r="L63" i="272"/>
  <c r="L64" i="272"/>
  <c r="L65" i="272"/>
  <c r="O72" i="272"/>
  <c r="O74" i="298" s="1"/>
  <c r="V73" i="272"/>
  <c r="V75" i="298" s="1"/>
  <c r="L74" i="272"/>
  <c r="U75" i="272"/>
  <c r="K18" i="298"/>
  <c r="L19" i="298"/>
  <c r="D24" i="298"/>
  <c r="L24" i="298"/>
  <c r="N29" i="298"/>
  <c r="D31" i="298"/>
  <c r="L31" i="298"/>
  <c r="AB80" i="298"/>
  <c r="L32" i="298"/>
  <c r="N35" i="298"/>
  <c r="K50" i="298"/>
  <c r="K77" i="298" s="1"/>
  <c r="N56" i="298"/>
  <c r="N77" i="298" s="1"/>
  <c r="D59" i="298"/>
  <c r="D77" i="298" s="1"/>
  <c r="L61" i="298"/>
  <c r="K63" i="298"/>
  <c r="L67" i="298"/>
  <c r="N74" i="298"/>
  <c r="F8" i="274"/>
  <c r="F9" i="274"/>
  <c r="F11" i="274"/>
  <c r="L12" i="274"/>
  <c r="P13" i="274"/>
  <c r="P16" i="274"/>
  <c r="L17" i="274"/>
  <c r="S21" i="299"/>
  <c r="S21" i="308"/>
  <c r="S22" i="308"/>
  <c r="S22" i="299"/>
  <c r="S55" i="299"/>
  <c r="S28" i="308"/>
  <c r="F109" i="299"/>
  <c r="F30" i="308"/>
  <c r="AA109" i="299"/>
  <c r="AA30" i="308"/>
  <c r="K103" i="299"/>
  <c r="K32" i="308"/>
  <c r="K27" i="299"/>
  <c r="K33" i="308"/>
  <c r="K28" i="299"/>
  <c r="K34" i="308"/>
  <c r="F35" i="274"/>
  <c r="F36" i="274"/>
  <c r="K111" i="299"/>
  <c r="K37" i="308"/>
  <c r="K30" i="299"/>
  <c r="K38" i="308"/>
  <c r="N39" i="308"/>
  <c r="N31" i="299"/>
  <c r="F40" i="308"/>
  <c r="F69" i="299"/>
  <c r="N40" i="308"/>
  <c r="N69" i="299"/>
  <c r="F41" i="308"/>
  <c r="F32" i="299"/>
  <c r="F42" i="274"/>
  <c r="K131" i="299"/>
  <c r="K43" i="308"/>
  <c r="F44" i="308"/>
  <c r="F33" i="299"/>
  <c r="S44" i="274"/>
  <c r="R45" i="308"/>
  <c r="R34" i="299"/>
  <c r="K37" i="299"/>
  <c r="K48" i="308"/>
  <c r="F49" i="308"/>
  <c r="F70" i="299"/>
  <c r="N49" i="308"/>
  <c r="N70" i="299"/>
  <c r="D104" i="299"/>
  <c r="D50" i="308"/>
  <c r="S104" i="299"/>
  <c r="S50" i="308"/>
  <c r="F125" i="299"/>
  <c r="F52" i="308"/>
  <c r="K112" i="299"/>
  <c r="K53" i="308"/>
  <c r="K72" i="299"/>
  <c r="K55" i="308"/>
  <c r="S114" i="299"/>
  <c r="S57" i="308"/>
  <c r="F59" i="308"/>
  <c r="F39" i="299"/>
  <c r="G120" i="299"/>
  <c r="G122" i="299" s="1"/>
  <c r="E13" i="97" s="1"/>
  <c r="G60" i="308"/>
  <c r="F61" i="308"/>
  <c r="F73" i="299"/>
  <c r="N61" i="308"/>
  <c r="N73" i="299"/>
  <c r="Q105" i="299"/>
  <c r="Q62" i="308"/>
  <c r="S121" i="299"/>
  <c r="S63" i="308"/>
  <c r="S101" i="299"/>
  <c r="S64" i="308"/>
  <c r="S40" i="299"/>
  <c r="S66" i="308"/>
  <c r="S41" i="299"/>
  <c r="S67" i="308"/>
  <c r="D43" i="299"/>
  <c r="D69" i="308"/>
  <c r="S43" i="299"/>
  <c r="S69" i="308"/>
  <c r="F71" i="308"/>
  <c r="F57" i="299"/>
  <c r="K44" i="299"/>
  <c r="K72" i="308"/>
  <c r="K45" i="299"/>
  <c r="K73" i="308"/>
  <c r="Q74" i="308"/>
  <c r="Q65" i="299"/>
  <c r="Q66" i="299" s="1"/>
  <c r="S74" i="299"/>
  <c r="S75" i="308"/>
  <c r="S75" i="299"/>
  <c r="S76" i="308"/>
  <c r="F58" i="299"/>
  <c r="F78" i="308"/>
  <c r="N58" i="299"/>
  <c r="N78" i="308"/>
  <c r="F46" i="299"/>
  <c r="F79" i="308"/>
  <c r="N46" i="299"/>
  <c r="N79" i="308"/>
  <c r="D77" i="299"/>
  <c r="D80" i="308"/>
  <c r="S77" i="299"/>
  <c r="S80" i="308"/>
  <c r="Q115" i="299"/>
  <c r="Q81" i="308"/>
  <c r="G78" i="299"/>
  <c r="G82" i="308"/>
  <c r="F79" i="299"/>
  <c r="F83" i="308"/>
  <c r="Q79" i="299"/>
  <c r="Q83" i="308"/>
  <c r="K9" i="299"/>
  <c r="K84" i="308"/>
  <c r="S80" i="299"/>
  <c r="S85" i="308"/>
  <c r="K47" i="299"/>
  <c r="K87" i="308"/>
  <c r="L48" i="299"/>
  <c r="L88" i="308"/>
  <c r="P88" i="274"/>
  <c r="F89" i="274"/>
  <c r="D50" i="299"/>
  <c r="D90" i="308"/>
  <c r="Q50" i="299"/>
  <c r="Q90" i="308"/>
  <c r="L51" i="299"/>
  <c r="L91" i="308"/>
  <c r="P91" i="274"/>
  <c r="K82" i="299"/>
  <c r="K92" i="308"/>
  <c r="K83" i="299"/>
  <c r="K93" i="308"/>
  <c r="S116" i="299"/>
  <c r="S94" i="308"/>
  <c r="D96" i="308"/>
  <c r="D85" i="299"/>
  <c r="N86" i="299"/>
  <c r="BB86" i="299" s="1"/>
  <c r="N97" i="308"/>
  <c r="F127" i="299"/>
  <c r="F98" i="308"/>
  <c r="F128" i="299"/>
  <c r="F99" i="308"/>
  <c r="F100" i="308"/>
  <c r="F87" i="299"/>
  <c r="Q100" i="308"/>
  <c r="Q87" i="299"/>
  <c r="N132" i="299"/>
  <c r="N101" i="308"/>
  <c r="S59" i="299"/>
  <c r="S102" i="308"/>
  <c r="F104" i="308"/>
  <c r="F89" i="299"/>
  <c r="N104" i="308"/>
  <c r="N89" i="299"/>
  <c r="S90" i="299"/>
  <c r="S105" i="308"/>
  <c r="AA90" i="299"/>
  <c r="AA105" i="308"/>
  <c r="S91" i="299"/>
  <c r="S106" i="308"/>
  <c r="F118" i="299"/>
  <c r="F108" i="308"/>
  <c r="N118" i="299"/>
  <c r="N108" i="308"/>
  <c r="D106" i="299"/>
  <c r="D109" i="308"/>
  <c r="S106" i="299"/>
  <c r="S109" i="308"/>
  <c r="F107" i="299"/>
  <c r="F111" i="308"/>
  <c r="G112" i="274"/>
  <c r="K112" i="274"/>
  <c r="L113" i="274" s="1"/>
  <c r="K52" i="299"/>
  <c r="K116" i="308"/>
  <c r="K60" i="299"/>
  <c r="K117" i="308"/>
  <c r="D119" i="308"/>
  <c r="D92" i="299"/>
  <c r="L119" i="308"/>
  <c r="L92" i="299"/>
  <c r="Q92" i="299"/>
  <c r="Q119" i="308"/>
  <c r="K120" i="308"/>
  <c r="K93" i="299"/>
  <c r="L121" i="308"/>
  <c r="L94" i="299"/>
  <c r="Q94" i="299"/>
  <c r="Q121" i="308"/>
  <c r="G95" i="299"/>
  <c r="G122" i="308"/>
  <c r="N95" i="299"/>
  <c r="N122" i="308"/>
  <c r="S95" i="299"/>
  <c r="S122" i="308"/>
  <c r="AA95" i="299"/>
  <c r="AA122" i="308"/>
  <c r="S96" i="299"/>
  <c r="S123" i="308"/>
  <c r="F97" i="299"/>
  <c r="F125" i="308"/>
  <c r="F127" i="308"/>
  <c r="F98" i="299"/>
  <c r="K99" i="299"/>
  <c r="K128" i="308"/>
  <c r="K5" i="308"/>
  <c r="S5" i="308"/>
  <c r="K6" i="308"/>
  <c r="S6" i="308"/>
  <c r="K7" i="308"/>
  <c r="S7" i="308"/>
  <c r="K8" i="308"/>
  <c r="S8" i="308"/>
  <c r="K9" i="308"/>
  <c r="S9" i="308"/>
  <c r="K10" i="308"/>
  <c r="S10" i="308"/>
  <c r="K11" i="308"/>
  <c r="S11" i="308"/>
  <c r="G12" i="308"/>
  <c r="G112" i="308" s="1"/>
  <c r="K12" i="308"/>
  <c r="S12" i="308"/>
  <c r="K13" i="308"/>
  <c r="S13" i="308"/>
  <c r="K14" i="308"/>
  <c r="S14" i="308"/>
  <c r="K15" i="308"/>
  <c r="S15" i="308"/>
  <c r="K16" i="308"/>
  <c r="S16" i="308"/>
  <c r="K17" i="308"/>
  <c r="S17" i="308"/>
  <c r="K18" i="308"/>
  <c r="S18" i="308"/>
  <c r="K19" i="308"/>
  <c r="S19" i="308"/>
  <c r="K20" i="308"/>
  <c r="S20" i="308"/>
  <c r="K21" i="308"/>
  <c r="F25" i="308"/>
  <c r="I130" i="308"/>
  <c r="O31" i="272"/>
  <c r="O52" i="298" s="1"/>
  <c r="P54" i="272"/>
  <c r="O56" i="272"/>
  <c r="O32" i="298" s="1"/>
  <c r="P57" i="272"/>
  <c r="P61" i="272"/>
  <c r="O69" i="272"/>
  <c r="O67" i="298" s="1"/>
  <c r="O70" i="272"/>
  <c r="O68" i="298" s="1"/>
  <c r="AJ7" i="298"/>
  <c r="AJ80" i="298" s="1"/>
  <c r="K22" i="298"/>
  <c r="L23" i="298"/>
  <c r="L25" i="298"/>
  <c r="N26" i="298"/>
  <c r="N39" i="298" s="1"/>
  <c r="L7" i="97" s="1"/>
  <c r="N28" i="298"/>
  <c r="AY28" i="298" s="1"/>
  <c r="AY80" i="298" s="1"/>
  <c r="K29" i="298"/>
  <c r="N37" i="298"/>
  <c r="U38" i="298"/>
  <c r="G52" i="298"/>
  <c r="G77" i="298" s="1"/>
  <c r="K52" i="298"/>
  <c r="K54" i="298"/>
  <c r="K58" i="298"/>
  <c r="L65" i="298"/>
  <c r="L68" i="298"/>
  <c r="N69" i="298"/>
  <c r="K72" i="298"/>
  <c r="AH80" i="298"/>
  <c r="BB11" i="299"/>
  <c r="P14" i="274"/>
  <c r="P15" i="274"/>
  <c r="O23" i="274"/>
  <c r="K24" i="299"/>
  <c r="K24" i="308"/>
  <c r="K25" i="299"/>
  <c r="K25" i="308"/>
  <c r="K6" i="299"/>
  <c r="K26" i="308"/>
  <c r="L27" i="308"/>
  <c r="L7" i="299"/>
  <c r="S7" i="299"/>
  <c r="S27" i="308"/>
  <c r="F26" i="299"/>
  <c r="F29" i="308"/>
  <c r="G109" i="299"/>
  <c r="G30" i="308"/>
  <c r="S102" i="299"/>
  <c r="S31" i="308"/>
  <c r="L103" i="299"/>
  <c r="L32" i="308"/>
  <c r="P32" i="274"/>
  <c r="L27" i="299"/>
  <c r="L33" i="308"/>
  <c r="P33" i="274"/>
  <c r="L34" i="308"/>
  <c r="L28" i="299"/>
  <c r="P34" i="274"/>
  <c r="K110" i="299"/>
  <c r="K35" i="308"/>
  <c r="K29" i="299"/>
  <c r="K36" i="308"/>
  <c r="L111" i="299"/>
  <c r="L37" i="308"/>
  <c r="S111" i="299"/>
  <c r="S37" i="308"/>
  <c r="L30" i="299"/>
  <c r="L38" i="308"/>
  <c r="P38" i="274"/>
  <c r="K31" i="299"/>
  <c r="K39" i="308"/>
  <c r="K69" i="299"/>
  <c r="K40" i="308"/>
  <c r="K32" i="299"/>
  <c r="K41" i="308"/>
  <c r="K56" i="299"/>
  <c r="K42" i="308"/>
  <c r="L131" i="299"/>
  <c r="L43" i="308"/>
  <c r="P43" i="274"/>
  <c r="G33" i="299"/>
  <c r="G44" i="308"/>
  <c r="F45" i="308"/>
  <c r="F34" i="299"/>
  <c r="N45" i="308"/>
  <c r="N34" i="299"/>
  <c r="S34" i="299"/>
  <c r="S45" i="308"/>
  <c r="S35" i="299"/>
  <c r="S46" i="308"/>
  <c r="S36" i="299"/>
  <c r="S47" i="308"/>
  <c r="L37" i="299"/>
  <c r="L48" i="308"/>
  <c r="P48" i="274"/>
  <c r="K70" i="299"/>
  <c r="K49" i="308"/>
  <c r="F104" i="299"/>
  <c r="F50" i="308"/>
  <c r="N104" i="299"/>
  <c r="BB104" i="299" s="1"/>
  <c r="N50" i="308"/>
  <c r="F51" i="308"/>
  <c r="F38" i="299"/>
  <c r="K125" i="299"/>
  <c r="K52" i="308"/>
  <c r="L112" i="299"/>
  <c r="L53" i="308"/>
  <c r="S112" i="299"/>
  <c r="S53" i="308"/>
  <c r="S71" i="299"/>
  <c r="S54" i="308"/>
  <c r="AA71" i="299"/>
  <c r="AA54" i="308"/>
  <c r="AA112" i="308" s="1"/>
  <c r="L72" i="299"/>
  <c r="L55" i="308"/>
  <c r="S72" i="299"/>
  <c r="S55" i="308"/>
  <c r="S113" i="299"/>
  <c r="S56" i="308"/>
  <c r="F126" i="299"/>
  <c r="F58" i="308"/>
  <c r="K39" i="299"/>
  <c r="K59" i="308"/>
  <c r="K120" i="299"/>
  <c r="K60" i="308"/>
  <c r="K73" i="299"/>
  <c r="K61" i="308"/>
  <c r="F105" i="299"/>
  <c r="F62" i="308"/>
  <c r="N105" i="299"/>
  <c r="N62" i="308"/>
  <c r="S105" i="299"/>
  <c r="S62" i="308"/>
  <c r="F64" i="308"/>
  <c r="F101" i="299"/>
  <c r="N64" i="308"/>
  <c r="N101" i="299"/>
  <c r="D123" i="299"/>
  <c r="D124" i="299" s="1"/>
  <c r="D65" i="308"/>
  <c r="S123" i="299"/>
  <c r="S124" i="299" s="1"/>
  <c r="S65" i="308"/>
  <c r="F67" i="308"/>
  <c r="F41" i="299"/>
  <c r="N67" i="308"/>
  <c r="N41" i="299"/>
  <c r="BB41" i="299" s="1"/>
  <c r="F42" i="299"/>
  <c r="F68" i="308"/>
  <c r="F69" i="308"/>
  <c r="F43" i="299"/>
  <c r="N69" i="308"/>
  <c r="N43" i="299"/>
  <c r="F70" i="308"/>
  <c r="F8" i="299"/>
  <c r="K57" i="299"/>
  <c r="K71" i="308"/>
  <c r="L44" i="299"/>
  <c r="L72" i="308"/>
  <c r="P72" i="274"/>
  <c r="L73" i="308"/>
  <c r="L45" i="299"/>
  <c r="S45" i="299"/>
  <c r="S73" i="308"/>
  <c r="S65" i="299"/>
  <c r="S66" i="299" s="1"/>
  <c r="S74" i="308"/>
  <c r="D75" i="299"/>
  <c r="D76" i="308"/>
  <c r="F77" i="308"/>
  <c r="F76" i="299"/>
  <c r="K58" i="299"/>
  <c r="K78" i="308"/>
  <c r="K46" i="299"/>
  <c r="K79" i="308"/>
  <c r="F80" i="308"/>
  <c r="F77" i="299"/>
  <c r="N80" i="308"/>
  <c r="N77" i="299"/>
  <c r="F115" i="299"/>
  <c r="F81" i="308"/>
  <c r="S115" i="299"/>
  <c r="S81" i="308"/>
  <c r="K78" i="299"/>
  <c r="K82" i="308"/>
  <c r="G79" i="299"/>
  <c r="G100" i="299" s="1"/>
  <c r="G83" i="308"/>
  <c r="N79" i="299"/>
  <c r="N83" i="308"/>
  <c r="S79" i="299"/>
  <c r="S83" i="308"/>
  <c r="AA79" i="299"/>
  <c r="AA83" i="308"/>
  <c r="L9" i="299"/>
  <c r="L84" i="308"/>
  <c r="S9" i="299"/>
  <c r="S84" i="308"/>
  <c r="D86" i="308"/>
  <c r="D81" i="299"/>
  <c r="S81" i="299"/>
  <c r="S86" i="308"/>
  <c r="L47" i="299"/>
  <c r="L87" i="308"/>
  <c r="Q47" i="299"/>
  <c r="Q87" i="308"/>
  <c r="Q88" i="308"/>
  <c r="Q48" i="299"/>
  <c r="L89" i="308"/>
  <c r="L49" i="299"/>
  <c r="P89" i="274"/>
  <c r="F50" i="299"/>
  <c r="F90" i="308"/>
  <c r="N50" i="299"/>
  <c r="N90" i="308"/>
  <c r="S50" i="299"/>
  <c r="S90" i="308"/>
  <c r="Q51" i="299"/>
  <c r="Q91" i="308"/>
  <c r="L82" i="299"/>
  <c r="L92" i="308"/>
  <c r="P92" i="274"/>
  <c r="L83" i="299"/>
  <c r="L93" i="308"/>
  <c r="S83" i="299"/>
  <c r="S93" i="308"/>
  <c r="F95" i="308"/>
  <c r="F84" i="299"/>
  <c r="F96" i="308"/>
  <c r="F85" i="299"/>
  <c r="Q96" i="308"/>
  <c r="Q85" i="299"/>
  <c r="K86" i="299"/>
  <c r="K97" i="308"/>
  <c r="K127" i="299"/>
  <c r="K98" i="308"/>
  <c r="K128" i="299"/>
  <c r="K99" i="308"/>
  <c r="G87" i="299"/>
  <c r="G100" i="308"/>
  <c r="N100" i="308"/>
  <c r="N87" i="299"/>
  <c r="S87" i="299"/>
  <c r="S100" i="308"/>
  <c r="AA87" i="299"/>
  <c r="AA100" i="308"/>
  <c r="K132" i="299"/>
  <c r="K101" i="308"/>
  <c r="D59" i="299"/>
  <c r="D102" i="308"/>
  <c r="F88" i="299"/>
  <c r="F103" i="308"/>
  <c r="K89" i="299"/>
  <c r="K104" i="308"/>
  <c r="F90" i="299"/>
  <c r="F105" i="308"/>
  <c r="N90" i="299"/>
  <c r="N105" i="308"/>
  <c r="F117" i="299"/>
  <c r="F107" i="308"/>
  <c r="K118" i="299"/>
  <c r="K108" i="308"/>
  <c r="F106" i="299"/>
  <c r="F109" i="308"/>
  <c r="N106" i="299"/>
  <c r="N109" i="308"/>
  <c r="F129" i="299"/>
  <c r="F110" i="308"/>
  <c r="K107" i="299"/>
  <c r="K111" i="308"/>
  <c r="Q112" i="274"/>
  <c r="L52" i="299"/>
  <c r="L116" i="308"/>
  <c r="S52" i="299"/>
  <c r="S116" i="308"/>
  <c r="L117" i="308"/>
  <c r="L60" i="299"/>
  <c r="P117" i="274"/>
  <c r="F61" i="299"/>
  <c r="F118" i="308"/>
  <c r="F92" i="299"/>
  <c r="F119" i="308"/>
  <c r="S92" i="299"/>
  <c r="S119" i="308"/>
  <c r="L120" i="308"/>
  <c r="L93" i="299"/>
  <c r="P120" i="274"/>
  <c r="F121" i="308"/>
  <c r="F94" i="299"/>
  <c r="S121" i="308"/>
  <c r="S94" i="299"/>
  <c r="K95" i="299"/>
  <c r="K122" i="308"/>
  <c r="F53" i="299"/>
  <c r="F124" i="308"/>
  <c r="G125" i="308"/>
  <c r="G97" i="299"/>
  <c r="F54" i="299"/>
  <c r="F126" i="308"/>
  <c r="K127" i="308"/>
  <c r="K98" i="299"/>
  <c r="L99" i="299"/>
  <c r="L128" i="308"/>
  <c r="Q99" i="299"/>
  <c r="Q128" i="308"/>
  <c r="K129" i="274"/>
  <c r="K130" i="274" s="1"/>
  <c r="D5" i="308"/>
  <c r="L5" i="308"/>
  <c r="L6" i="308"/>
  <c r="D8" i="308"/>
  <c r="D9" i="308"/>
  <c r="D11" i="308"/>
  <c r="D12" i="308"/>
  <c r="D13" i="308"/>
  <c r="L13" i="308"/>
  <c r="D14" i="308"/>
  <c r="L14" i="308"/>
  <c r="L15" i="308"/>
  <c r="L16" i="308"/>
  <c r="L18" i="308"/>
  <c r="D19" i="308"/>
  <c r="L19" i="308"/>
  <c r="D20" i="308"/>
  <c r="L20" i="308"/>
  <c r="D21" i="308"/>
  <c r="L21" i="308"/>
  <c r="F22" i="308"/>
  <c r="F24" i="308"/>
  <c r="N25" i="308"/>
  <c r="J130" i="308"/>
  <c r="BB18" i="299"/>
  <c r="P28" i="272"/>
  <c r="L30" i="272"/>
  <c r="L32" i="272"/>
  <c r="L33" i="272"/>
  <c r="L39" i="272"/>
  <c r="P67" i="272"/>
  <c r="P68" i="272"/>
  <c r="K28" i="298"/>
  <c r="N30" i="298"/>
  <c r="AY30" i="298" s="1"/>
  <c r="N34" i="298"/>
  <c r="N59" i="298"/>
  <c r="P6" i="274"/>
  <c r="L7" i="274"/>
  <c r="L112" i="274" s="1"/>
  <c r="L8" i="274"/>
  <c r="L9" i="274"/>
  <c r="L10" i="274"/>
  <c r="L11" i="274"/>
  <c r="P18" i="274"/>
  <c r="P19" i="274"/>
  <c r="P20" i="274"/>
  <c r="K22" i="308"/>
  <c r="K22" i="299"/>
  <c r="K23" i="308"/>
  <c r="K23" i="299"/>
  <c r="K64" i="299" s="1"/>
  <c r="L24" i="274"/>
  <c r="L25" i="274"/>
  <c r="L26" i="274"/>
  <c r="S6" i="299"/>
  <c r="S10" i="299" s="1"/>
  <c r="S26" i="308"/>
  <c r="F28" i="308"/>
  <c r="F55" i="299"/>
  <c r="K26" i="299"/>
  <c r="K29" i="308"/>
  <c r="K109" i="299"/>
  <c r="K30" i="308"/>
  <c r="P30" i="274"/>
  <c r="F102" i="299"/>
  <c r="F31" i="308"/>
  <c r="N102" i="299"/>
  <c r="N31" i="308"/>
  <c r="D103" i="299"/>
  <c r="D32" i="308"/>
  <c r="S103" i="299"/>
  <c r="S32" i="308"/>
  <c r="S27" i="299"/>
  <c r="S33" i="308"/>
  <c r="S28" i="299"/>
  <c r="S34" i="308"/>
  <c r="L35" i="274"/>
  <c r="S110" i="299"/>
  <c r="S35" i="308"/>
  <c r="L36" i="274"/>
  <c r="S29" i="299"/>
  <c r="S36" i="308"/>
  <c r="D30" i="299"/>
  <c r="D38" i="308"/>
  <c r="S30" i="299"/>
  <c r="S38" i="308"/>
  <c r="L39" i="274"/>
  <c r="L40" i="274"/>
  <c r="L41" i="274"/>
  <c r="S32" i="299"/>
  <c r="S41" i="308"/>
  <c r="L42" i="274"/>
  <c r="S56" i="299"/>
  <c r="S42" i="308"/>
  <c r="Q131" i="299"/>
  <c r="Q133" i="299" s="1"/>
  <c r="Q43" i="308"/>
  <c r="K33" i="299"/>
  <c r="K44" i="308"/>
  <c r="P44" i="274"/>
  <c r="K34" i="299"/>
  <c r="K45" i="308"/>
  <c r="F35" i="299"/>
  <c r="F46" i="308"/>
  <c r="N35" i="299"/>
  <c r="BB35" i="299" s="1"/>
  <c r="N46" i="308"/>
  <c r="F47" i="308"/>
  <c r="F36" i="299"/>
  <c r="N47" i="308"/>
  <c r="N36" i="299"/>
  <c r="BB36" i="299" s="1"/>
  <c r="F37" i="299"/>
  <c r="F48" i="308"/>
  <c r="Q37" i="299"/>
  <c r="Q48" i="308"/>
  <c r="L49" i="274"/>
  <c r="K104" i="299"/>
  <c r="K50" i="308"/>
  <c r="K38" i="299"/>
  <c r="K51" i="308"/>
  <c r="L52" i="274"/>
  <c r="S125" i="299"/>
  <c r="S52" i="308"/>
  <c r="F54" i="308"/>
  <c r="F71" i="299"/>
  <c r="N54" i="308"/>
  <c r="N71" i="299"/>
  <c r="F113" i="299"/>
  <c r="F56" i="308"/>
  <c r="N113" i="299"/>
  <c r="BB113" i="299" s="1"/>
  <c r="N56" i="308"/>
  <c r="F114" i="299"/>
  <c r="F57" i="308"/>
  <c r="K126" i="299"/>
  <c r="K58" i="308"/>
  <c r="L59" i="274"/>
  <c r="S39" i="299"/>
  <c r="S59" i="308"/>
  <c r="L60" i="274"/>
  <c r="Q120" i="299"/>
  <c r="Q122" i="299" s="1"/>
  <c r="O13" i="97" s="1"/>
  <c r="Q60" i="308"/>
  <c r="L61" i="274"/>
  <c r="K105" i="299"/>
  <c r="K62" i="308"/>
  <c r="F121" i="299"/>
  <c r="F63" i="308"/>
  <c r="K101" i="299"/>
  <c r="K64" i="308"/>
  <c r="F65" i="274"/>
  <c r="N123" i="299"/>
  <c r="N124" i="299" s="1"/>
  <c r="N65" i="308"/>
  <c r="F40" i="299"/>
  <c r="F66" i="308"/>
  <c r="K41" i="299"/>
  <c r="K67" i="308"/>
  <c r="K42" i="299"/>
  <c r="K68" i="308"/>
  <c r="K43" i="299"/>
  <c r="K69" i="308"/>
  <c r="K8" i="299"/>
  <c r="K10" i="299" s="1"/>
  <c r="K70" i="308"/>
  <c r="L71" i="274"/>
  <c r="S57" i="299"/>
  <c r="S71" i="308"/>
  <c r="S44" i="299"/>
  <c r="S72" i="308"/>
  <c r="F74" i="308"/>
  <c r="F65" i="299"/>
  <c r="F66" i="299" s="1"/>
  <c r="F75" i="308"/>
  <c r="F74" i="299"/>
  <c r="F76" i="274"/>
  <c r="K76" i="299"/>
  <c r="K77" i="308"/>
  <c r="L78" i="274"/>
  <c r="L79" i="274"/>
  <c r="K77" i="299"/>
  <c r="K80" i="308"/>
  <c r="G115" i="299"/>
  <c r="G81" i="308"/>
  <c r="D82" i="308"/>
  <c r="D78" i="299"/>
  <c r="D100" i="299" s="1"/>
  <c r="L82" i="274"/>
  <c r="Q82" i="308"/>
  <c r="Q78" i="299"/>
  <c r="Q100" i="299" s="1"/>
  <c r="K79" i="299"/>
  <c r="K83" i="308"/>
  <c r="F85" i="308"/>
  <c r="F80" i="299"/>
  <c r="F86" i="274"/>
  <c r="N86" i="308"/>
  <c r="N81" i="299"/>
  <c r="D47" i="299"/>
  <c r="D87" i="308"/>
  <c r="S87" i="274"/>
  <c r="M87" i="274" s="1"/>
  <c r="N88" i="308"/>
  <c r="N48" i="299"/>
  <c r="S88" i="274"/>
  <c r="Q89" i="308"/>
  <c r="Q49" i="299"/>
  <c r="K50" i="299"/>
  <c r="K90" i="308"/>
  <c r="D51" i="299"/>
  <c r="D91" i="308"/>
  <c r="N91" i="308"/>
  <c r="N51" i="299"/>
  <c r="S91" i="274"/>
  <c r="S82" i="299"/>
  <c r="S92" i="308"/>
  <c r="F116" i="299"/>
  <c r="F94" i="308"/>
  <c r="K84" i="299"/>
  <c r="K95" i="308"/>
  <c r="G85" i="299"/>
  <c r="G96" i="308"/>
  <c r="N96" i="308"/>
  <c r="N85" i="299"/>
  <c r="S96" i="274"/>
  <c r="L97" i="274"/>
  <c r="L98" i="274"/>
  <c r="Q127" i="299"/>
  <c r="Q98" i="308"/>
  <c r="L99" i="274"/>
  <c r="Q128" i="299"/>
  <c r="Q99" i="308"/>
  <c r="K87" i="299"/>
  <c r="K100" i="308"/>
  <c r="L101" i="274"/>
  <c r="F102" i="274"/>
  <c r="K88" i="299"/>
  <c r="K103" i="308"/>
  <c r="L104" i="274"/>
  <c r="K90" i="299"/>
  <c r="K105" i="308"/>
  <c r="F106" i="308"/>
  <c r="F91" i="299"/>
  <c r="K117" i="299"/>
  <c r="K107" i="308"/>
  <c r="L108" i="274"/>
  <c r="K106" i="299"/>
  <c r="K109" i="308"/>
  <c r="K129" i="299"/>
  <c r="K110" i="308"/>
  <c r="L111" i="274"/>
  <c r="S107" i="299"/>
  <c r="S111" i="308"/>
  <c r="D112" i="274"/>
  <c r="D130" i="274" s="1"/>
  <c r="B8" i="12" s="1"/>
  <c r="F60" i="299"/>
  <c r="F117" i="308"/>
  <c r="Q60" i="299"/>
  <c r="Q117" i="308"/>
  <c r="K118" i="308"/>
  <c r="K61" i="299"/>
  <c r="G92" i="299"/>
  <c r="G119" i="308"/>
  <c r="F93" i="299"/>
  <c r="F120" i="308"/>
  <c r="Q93" i="299"/>
  <c r="Q120" i="308"/>
  <c r="G121" i="308"/>
  <c r="G94" i="299"/>
  <c r="D95" i="299"/>
  <c r="D122" i="308"/>
  <c r="D129" i="308" s="1"/>
  <c r="L122" i="274"/>
  <c r="P122" i="274"/>
  <c r="F96" i="299"/>
  <c r="F123" i="308"/>
  <c r="K53" i="299"/>
  <c r="K124" i="308"/>
  <c r="K125" i="308"/>
  <c r="K97" i="299"/>
  <c r="K126" i="308"/>
  <c r="K54" i="299"/>
  <c r="L127" i="274"/>
  <c r="S127" i="308"/>
  <c r="S98" i="299"/>
  <c r="S128" i="274"/>
  <c r="D129" i="274"/>
  <c r="Q12" i="308"/>
  <c r="Q112" i="308" s="1"/>
  <c r="F23" i="308"/>
  <c r="N24" i="308"/>
  <c r="K27" i="308"/>
  <c r="X130" i="308"/>
  <c r="L37" i="272"/>
  <c r="L50" i="272"/>
  <c r="P5" i="274"/>
  <c r="P21" i="274"/>
  <c r="L22" i="308"/>
  <c r="L22" i="299"/>
  <c r="P22" i="274"/>
  <c r="L23" i="308"/>
  <c r="L23" i="299"/>
  <c r="S23" i="308"/>
  <c r="S23" i="299"/>
  <c r="S24" i="299"/>
  <c r="S24" i="308"/>
  <c r="S25" i="299"/>
  <c r="S25" i="308"/>
  <c r="O27" i="274"/>
  <c r="K55" i="299"/>
  <c r="K28" i="308"/>
  <c r="L26" i="299"/>
  <c r="L29" i="308"/>
  <c r="S26" i="299"/>
  <c r="S29" i="308"/>
  <c r="L109" i="299"/>
  <c r="L30" i="308"/>
  <c r="Q109" i="299"/>
  <c r="Q30" i="308"/>
  <c r="K102" i="299"/>
  <c r="K31" i="308"/>
  <c r="F103" i="299"/>
  <c r="F32" i="308"/>
  <c r="N103" i="299"/>
  <c r="BB103" i="299" s="1"/>
  <c r="N32" i="308"/>
  <c r="F33" i="308"/>
  <c r="F27" i="299"/>
  <c r="N33" i="308"/>
  <c r="N27" i="299"/>
  <c r="BB27" i="299" s="1"/>
  <c r="F34" i="308"/>
  <c r="F28" i="299"/>
  <c r="N34" i="308"/>
  <c r="N28" i="299"/>
  <c r="D110" i="299"/>
  <c r="D35" i="308"/>
  <c r="D29" i="299"/>
  <c r="D64" i="299" s="1"/>
  <c r="D36" i="308"/>
  <c r="F111" i="299"/>
  <c r="F37" i="308"/>
  <c r="O37" i="274"/>
  <c r="F38" i="308"/>
  <c r="F30" i="299"/>
  <c r="N38" i="308"/>
  <c r="N30" i="299"/>
  <c r="D39" i="308"/>
  <c r="D31" i="299"/>
  <c r="S31" i="299"/>
  <c r="S39" i="308"/>
  <c r="S69" i="299"/>
  <c r="S40" i="308"/>
  <c r="D56" i="299"/>
  <c r="D42" i="308"/>
  <c r="F131" i="299"/>
  <c r="F133" i="299" s="1"/>
  <c r="F43" i="308"/>
  <c r="N131" i="299"/>
  <c r="N133" i="299" s="1"/>
  <c r="N43" i="308"/>
  <c r="S131" i="299"/>
  <c r="S43" i="308"/>
  <c r="L33" i="299"/>
  <c r="L44" i="308"/>
  <c r="R44" i="308"/>
  <c r="R33" i="299"/>
  <c r="R64" i="299" s="1"/>
  <c r="L45" i="308"/>
  <c r="L34" i="299"/>
  <c r="P45" i="274"/>
  <c r="K35" i="299"/>
  <c r="K46" i="308"/>
  <c r="K36" i="299"/>
  <c r="K47" i="308"/>
  <c r="G37" i="299"/>
  <c r="G48" i="308"/>
  <c r="N37" i="299"/>
  <c r="BB37" i="299" s="1"/>
  <c r="N48" i="308"/>
  <c r="S37" i="299"/>
  <c r="S48" i="308"/>
  <c r="S70" i="299"/>
  <c r="S49" i="308"/>
  <c r="L104" i="299"/>
  <c r="L50" i="308"/>
  <c r="P50" i="274"/>
  <c r="L38" i="299"/>
  <c r="L51" i="308"/>
  <c r="S38" i="299"/>
  <c r="S51" i="308"/>
  <c r="F112" i="299"/>
  <c r="F53" i="308"/>
  <c r="O53" i="274"/>
  <c r="K71" i="299"/>
  <c r="K54" i="308"/>
  <c r="F55" i="308"/>
  <c r="F72" i="299"/>
  <c r="O55" i="274"/>
  <c r="K113" i="299"/>
  <c r="K56" i="308"/>
  <c r="K114" i="299"/>
  <c r="K57" i="308"/>
  <c r="L126" i="299"/>
  <c r="L58" i="308"/>
  <c r="S126" i="299"/>
  <c r="S58" i="308"/>
  <c r="F120" i="299"/>
  <c r="F122" i="299" s="1"/>
  <c r="F60" i="308"/>
  <c r="S120" i="299"/>
  <c r="S122" i="299" s="1"/>
  <c r="S60" i="308"/>
  <c r="S73" i="299"/>
  <c r="S61" i="308"/>
  <c r="AA73" i="299"/>
  <c r="AA100" i="299" s="1"/>
  <c r="Y11" i="97" s="1"/>
  <c r="AA61" i="308"/>
  <c r="L105" i="299"/>
  <c r="L62" i="308"/>
  <c r="P62" i="274"/>
  <c r="K121" i="299"/>
  <c r="K63" i="308"/>
  <c r="L64" i="308"/>
  <c r="L101" i="299"/>
  <c r="P64" i="274"/>
  <c r="K123" i="299"/>
  <c r="K124" i="299" s="1"/>
  <c r="K65" i="308"/>
  <c r="K40" i="299"/>
  <c r="K66" i="308"/>
  <c r="L41" i="299"/>
  <c r="L67" i="308"/>
  <c r="P67" i="274"/>
  <c r="L42" i="299"/>
  <c r="L68" i="308"/>
  <c r="S42" i="299"/>
  <c r="S68" i="308"/>
  <c r="L43" i="299"/>
  <c r="L69" i="308"/>
  <c r="P69" i="274"/>
  <c r="L70" i="308"/>
  <c r="L8" i="299"/>
  <c r="S8" i="299"/>
  <c r="S70" i="308"/>
  <c r="F72" i="308"/>
  <c r="F44" i="299"/>
  <c r="N72" i="308"/>
  <c r="N44" i="299"/>
  <c r="F73" i="308"/>
  <c r="F45" i="299"/>
  <c r="O73" i="274"/>
  <c r="K65" i="299"/>
  <c r="K66" i="299" s="1"/>
  <c r="K74" i="308"/>
  <c r="K74" i="299"/>
  <c r="K75" i="308"/>
  <c r="K75" i="299"/>
  <c r="K76" i="308"/>
  <c r="L76" i="299"/>
  <c r="L77" i="308"/>
  <c r="S76" i="299"/>
  <c r="S77" i="308"/>
  <c r="S58" i="299"/>
  <c r="S78" i="308"/>
  <c r="S46" i="299"/>
  <c r="S79" i="308"/>
  <c r="L77" i="299"/>
  <c r="L80" i="308"/>
  <c r="P80" i="274"/>
  <c r="K115" i="299"/>
  <c r="K81" i="308"/>
  <c r="F82" i="308"/>
  <c r="F78" i="299"/>
  <c r="S78" i="299"/>
  <c r="S82" i="308"/>
  <c r="L79" i="299"/>
  <c r="L83" i="308"/>
  <c r="P83" i="274"/>
  <c r="F9" i="299"/>
  <c r="F84" i="308"/>
  <c r="O84" i="274"/>
  <c r="K80" i="299"/>
  <c r="K85" i="308"/>
  <c r="K81" i="299"/>
  <c r="K86" i="308"/>
  <c r="F87" i="308"/>
  <c r="F47" i="299"/>
  <c r="F88" i="308"/>
  <c r="F48" i="299"/>
  <c r="D89" i="308"/>
  <c r="D49" i="299"/>
  <c r="N89" i="308"/>
  <c r="N49" i="299"/>
  <c r="S49" i="299"/>
  <c r="S89" i="308"/>
  <c r="L50" i="299"/>
  <c r="L90" i="308"/>
  <c r="P90" i="274"/>
  <c r="F91" i="308"/>
  <c r="F51" i="299"/>
  <c r="F82" i="299"/>
  <c r="F92" i="308"/>
  <c r="N82" i="299"/>
  <c r="N92" i="308"/>
  <c r="F93" i="308"/>
  <c r="F83" i="299"/>
  <c r="O93" i="274"/>
  <c r="K116" i="299"/>
  <c r="K94" i="308"/>
  <c r="L84" i="299"/>
  <c r="L95" i="308"/>
  <c r="S84" i="299"/>
  <c r="S95" i="308"/>
  <c r="K85" i="299"/>
  <c r="K96" i="308"/>
  <c r="D86" i="299"/>
  <c r="D97" i="308"/>
  <c r="S86" i="299"/>
  <c r="S97" i="308"/>
  <c r="S127" i="299"/>
  <c r="S98" i="308"/>
  <c r="S128" i="299"/>
  <c r="S99" i="308"/>
  <c r="L87" i="299"/>
  <c r="L100" i="308"/>
  <c r="P100" i="274"/>
  <c r="D132" i="299"/>
  <c r="D101" i="308"/>
  <c r="S132" i="299"/>
  <c r="S101" i="308"/>
  <c r="Z132" i="299"/>
  <c r="Z133" i="299" s="1"/>
  <c r="X15" i="97" s="1"/>
  <c r="Z101" i="308"/>
  <c r="K59" i="299"/>
  <c r="K102" i="308"/>
  <c r="L88" i="299"/>
  <c r="L103" i="308"/>
  <c r="S88" i="299"/>
  <c r="S103" i="308"/>
  <c r="S89" i="299"/>
  <c r="S104" i="308"/>
  <c r="AA89" i="299"/>
  <c r="AA104" i="308"/>
  <c r="L90" i="299"/>
  <c r="L105" i="308"/>
  <c r="P105" i="274"/>
  <c r="K91" i="299"/>
  <c r="K106" i="308"/>
  <c r="L117" i="299"/>
  <c r="L107" i="308"/>
  <c r="S117" i="299"/>
  <c r="S107" i="308"/>
  <c r="S118" i="299"/>
  <c r="S108" i="308"/>
  <c r="L106" i="299"/>
  <c r="L109" i="308"/>
  <c r="P109" i="274"/>
  <c r="L129" i="299"/>
  <c r="L110" i="308"/>
  <c r="S129" i="299"/>
  <c r="S110" i="308"/>
  <c r="N112" i="274"/>
  <c r="N130" i="274" s="1"/>
  <c r="L8" i="12" s="1"/>
  <c r="L16" i="12" s="1"/>
  <c r="S112" i="274"/>
  <c r="AA112" i="274"/>
  <c r="AA130" i="274" s="1"/>
  <c r="F52" i="299"/>
  <c r="F116" i="308"/>
  <c r="O116" i="274"/>
  <c r="G60" i="299"/>
  <c r="G117" i="308"/>
  <c r="G129" i="308" s="1"/>
  <c r="G130" i="308" s="1"/>
  <c r="N60" i="299"/>
  <c r="N117" i="308"/>
  <c r="N129" i="308" s="1"/>
  <c r="S60" i="299"/>
  <c r="S117" i="308"/>
  <c r="AA60" i="299"/>
  <c r="AA64" i="299" s="1"/>
  <c r="Y8" i="97" s="1"/>
  <c r="AA117" i="308"/>
  <c r="AA129" i="308" s="1"/>
  <c r="AA130" i="308" s="1"/>
  <c r="L118" i="308"/>
  <c r="L61" i="299"/>
  <c r="S118" i="308"/>
  <c r="S61" i="299"/>
  <c r="K92" i="299"/>
  <c r="K119" i="308"/>
  <c r="P119" i="274"/>
  <c r="G120" i="308"/>
  <c r="G93" i="299"/>
  <c r="N93" i="299"/>
  <c r="N120" i="308"/>
  <c r="S120" i="274"/>
  <c r="AA120" i="308"/>
  <c r="AA93" i="299"/>
  <c r="K121" i="308"/>
  <c r="K94" i="299"/>
  <c r="P121" i="274"/>
  <c r="F122" i="274"/>
  <c r="F129" i="274" s="1"/>
  <c r="Q95" i="299"/>
  <c r="Q122" i="308"/>
  <c r="K96" i="299"/>
  <c r="K123" i="308"/>
  <c r="L124" i="274"/>
  <c r="S53" i="299"/>
  <c r="S124" i="308"/>
  <c r="L125" i="274"/>
  <c r="P125" i="274" s="1"/>
  <c r="Q97" i="299"/>
  <c r="Q125" i="308"/>
  <c r="L126" i="274"/>
  <c r="S126" i="308"/>
  <c r="S54" i="299"/>
  <c r="F99" i="299"/>
  <c r="F128" i="308"/>
  <c r="Q129" i="274"/>
  <c r="Q130" i="274" s="1"/>
  <c r="O8" i="12" s="1"/>
  <c r="F5" i="308"/>
  <c r="N5" i="308"/>
  <c r="R112" i="308"/>
  <c r="R130" i="308" s="1"/>
  <c r="Z112" i="308"/>
  <c r="Z130" i="308" s="1"/>
  <c r="F6" i="308"/>
  <c r="F7" i="308"/>
  <c r="N9" i="308"/>
  <c r="F10" i="308"/>
  <c r="N11" i="308"/>
  <c r="F12" i="308"/>
  <c r="F13" i="308"/>
  <c r="F14" i="308"/>
  <c r="N14" i="308"/>
  <c r="F15" i="308"/>
  <c r="N15" i="308"/>
  <c r="F16" i="308"/>
  <c r="F17" i="308"/>
  <c r="F18" i="308"/>
  <c r="F19" i="308"/>
  <c r="F20" i="308"/>
  <c r="F21" i="308"/>
  <c r="N21" i="308"/>
  <c r="N22" i="308"/>
  <c r="F26" i="308"/>
  <c r="H130" i="308"/>
  <c r="Q129" i="308"/>
  <c r="Y130" i="308"/>
  <c r="G64" i="299"/>
  <c r="Q64" i="299"/>
  <c r="E112" i="308"/>
  <c r="E130" i="308" s="1"/>
  <c r="D119" i="299"/>
  <c r="H119" i="299"/>
  <c r="F12" i="97" s="1"/>
  <c r="X119" i="299"/>
  <c r="V12" i="97" s="1"/>
  <c r="I136" i="299"/>
  <c r="L123" i="300"/>
  <c r="L31" i="309"/>
  <c r="P31" i="275"/>
  <c r="L32" i="309"/>
  <c r="L72" i="300"/>
  <c r="P32" i="275"/>
  <c r="L137" i="300"/>
  <c r="L84" i="309"/>
  <c r="P84" i="275"/>
  <c r="P104" i="300"/>
  <c r="M98" i="275"/>
  <c r="P98" i="309"/>
  <c r="U66" i="300"/>
  <c r="U126" i="309"/>
  <c r="AA126" i="275"/>
  <c r="D10" i="299"/>
  <c r="Q119" i="299"/>
  <c r="O12" i="97" s="1"/>
  <c r="X136" i="299"/>
  <c r="L71" i="300"/>
  <c r="P30" i="275"/>
  <c r="L30" i="309"/>
  <c r="L125" i="300"/>
  <c r="P37" i="275"/>
  <c r="L37" i="309"/>
  <c r="L52" i="300"/>
  <c r="P83" i="275"/>
  <c r="L83" i="309"/>
  <c r="L89" i="300"/>
  <c r="L87" i="309"/>
  <c r="P87" i="275"/>
  <c r="L138" i="300"/>
  <c r="P88" i="275"/>
  <c r="L88" i="309"/>
  <c r="M105" i="300"/>
  <c r="O118" i="275"/>
  <c r="T118" i="275"/>
  <c r="M118" i="309"/>
  <c r="E10" i="299"/>
  <c r="E136" i="299" s="1"/>
  <c r="J119" i="299"/>
  <c r="H12" i="97" s="1"/>
  <c r="R119" i="299"/>
  <c r="P12" i="97" s="1"/>
  <c r="Z119" i="299"/>
  <c r="X12" i="97" s="1"/>
  <c r="Q130" i="299"/>
  <c r="O14" i="97" s="1"/>
  <c r="H136" i="299"/>
  <c r="Y136" i="299"/>
  <c r="L122" i="300"/>
  <c r="P27" i="275"/>
  <c r="L27" i="309"/>
  <c r="L75" i="300"/>
  <c r="P41" i="275"/>
  <c r="L41" i="309"/>
  <c r="L47" i="300"/>
  <c r="L56" i="309"/>
  <c r="P56" i="275"/>
  <c r="L7" i="300"/>
  <c r="L62" i="309"/>
  <c r="P62" i="275"/>
  <c r="L136" i="300"/>
  <c r="L67" i="309"/>
  <c r="P67" i="275"/>
  <c r="L68" i="309"/>
  <c r="P68" i="275"/>
  <c r="L49" i="300"/>
  <c r="D112" i="308"/>
  <c r="G119" i="299"/>
  <c r="AA119" i="299"/>
  <c r="Y12" i="97" s="1"/>
  <c r="D133" i="299"/>
  <c r="L70" i="300"/>
  <c r="L26" i="309"/>
  <c r="P26" i="275"/>
  <c r="L48" i="300"/>
  <c r="P65" i="275"/>
  <c r="L65" i="309"/>
  <c r="L129" i="300"/>
  <c r="L72" i="309"/>
  <c r="P72" i="275"/>
  <c r="L37" i="300"/>
  <c r="L73" i="309"/>
  <c r="P73" i="275"/>
  <c r="L8" i="300"/>
  <c r="L74" i="309"/>
  <c r="P74" i="275"/>
  <c r="P76" i="309"/>
  <c r="P20" i="300"/>
  <c r="P93" i="300"/>
  <c r="P97" i="309"/>
  <c r="T97" i="275"/>
  <c r="M97" i="275"/>
  <c r="V94" i="300"/>
  <c r="V99" i="309"/>
  <c r="O117" i="309"/>
  <c r="O97" i="300"/>
  <c r="U98" i="300"/>
  <c r="U122" i="309"/>
  <c r="W122" i="275"/>
  <c r="P6" i="275"/>
  <c r="N16" i="300"/>
  <c r="AS14" i="300"/>
  <c r="F9" i="275"/>
  <c r="L13" i="275"/>
  <c r="F19" i="275"/>
  <c r="N33" i="300"/>
  <c r="AS33" i="300" s="1"/>
  <c r="N19" i="309"/>
  <c r="F22" i="275"/>
  <c r="N34" i="300"/>
  <c r="N22" i="309"/>
  <c r="F42" i="300"/>
  <c r="F23" i="309"/>
  <c r="P24" i="275"/>
  <c r="V69" i="300"/>
  <c r="V24" i="309"/>
  <c r="K117" i="300"/>
  <c r="K25" i="309"/>
  <c r="P25" i="275"/>
  <c r="S26" i="309"/>
  <c r="S70" i="300"/>
  <c r="S122" i="300"/>
  <c r="S27" i="309"/>
  <c r="L28" i="275"/>
  <c r="K26" i="300"/>
  <c r="K29" i="309"/>
  <c r="P29" i="275"/>
  <c r="S71" i="300"/>
  <c r="S30" i="309"/>
  <c r="L33" i="275"/>
  <c r="K124" i="300"/>
  <c r="K34" i="309"/>
  <c r="K35" i="309"/>
  <c r="K74" i="300"/>
  <c r="P35" i="275"/>
  <c r="L36" i="275"/>
  <c r="S125" i="300"/>
  <c r="S37" i="309"/>
  <c r="F118" i="300"/>
  <c r="F39" i="309"/>
  <c r="K126" i="300"/>
  <c r="K40" i="309"/>
  <c r="P40" i="275"/>
  <c r="S75" i="300"/>
  <c r="S41" i="309"/>
  <c r="F76" i="300"/>
  <c r="F43" i="309"/>
  <c r="K19" i="300"/>
  <c r="K44" i="309"/>
  <c r="K35" i="300"/>
  <c r="K45" i="309"/>
  <c r="P45" i="275"/>
  <c r="L46" i="275"/>
  <c r="F79" i="300"/>
  <c r="F48" i="309"/>
  <c r="K127" i="300"/>
  <c r="K49" i="309"/>
  <c r="K80" i="300"/>
  <c r="K50" i="309"/>
  <c r="P51" i="275"/>
  <c r="K103" i="300"/>
  <c r="K52" i="309"/>
  <c r="F53" i="275"/>
  <c r="F45" i="300"/>
  <c r="F54" i="309"/>
  <c r="P55" i="275"/>
  <c r="S56" i="309"/>
  <c r="S47" i="300"/>
  <c r="F15" i="300"/>
  <c r="F58" i="309"/>
  <c r="K82" i="300"/>
  <c r="K59" i="309"/>
  <c r="P59" i="275"/>
  <c r="K134" i="300"/>
  <c r="K60" i="309"/>
  <c r="P60" i="275"/>
  <c r="L61" i="275"/>
  <c r="K63" i="309"/>
  <c r="K5" i="300"/>
  <c r="K6" i="300" s="1"/>
  <c r="K135" i="300"/>
  <c r="K64" i="309"/>
  <c r="P64" i="275"/>
  <c r="S48" i="300"/>
  <c r="S65" i="309"/>
  <c r="S128" i="300"/>
  <c r="S66" i="309"/>
  <c r="S49" i="300"/>
  <c r="S68" i="309"/>
  <c r="K83" i="300"/>
  <c r="K71" i="309"/>
  <c r="P71" i="275"/>
  <c r="L75" i="275"/>
  <c r="K20" i="300"/>
  <c r="K76" i="309"/>
  <c r="F77" i="275"/>
  <c r="N38" i="300"/>
  <c r="N77" i="309"/>
  <c r="F39" i="300"/>
  <c r="F78" i="309"/>
  <c r="P79" i="275"/>
  <c r="K80" i="309"/>
  <c r="K40" i="300"/>
  <c r="F81" i="275"/>
  <c r="S81" i="275"/>
  <c r="K86" i="300"/>
  <c r="K82" i="309"/>
  <c r="P82" i="275"/>
  <c r="S52" i="300"/>
  <c r="S83" i="309"/>
  <c r="K87" i="300"/>
  <c r="K85" i="309"/>
  <c r="P86" i="275"/>
  <c r="S138" i="300"/>
  <c r="S88" i="309"/>
  <c r="F91" i="300"/>
  <c r="F90" i="309"/>
  <c r="N91" i="300"/>
  <c r="N90" i="309"/>
  <c r="F53" i="300"/>
  <c r="F91" i="309"/>
  <c r="P92" i="275"/>
  <c r="L93" i="275"/>
  <c r="F139" i="300"/>
  <c r="F95" i="309"/>
  <c r="K109" i="300"/>
  <c r="K111" i="300" s="1"/>
  <c r="K96" i="309"/>
  <c r="P96" i="275"/>
  <c r="K97" i="309"/>
  <c r="K93" i="300"/>
  <c r="K104" i="300"/>
  <c r="K98" i="309"/>
  <c r="K94" i="300"/>
  <c r="K99" i="309"/>
  <c r="P99" i="275"/>
  <c r="F23" i="300"/>
  <c r="F100" i="309"/>
  <c r="V100" i="275"/>
  <c r="K101" i="309"/>
  <c r="K55" i="300"/>
  <c r="P101" i="275"/>
  <c r="F24" i="300"/>
  <c r="F102" i="309"/>
  <c r="N24" i="300"/>
  <c r="AS24" i="300" s="1"/>
  <c r="N102" i="309"/>
  <c r="F9" i="300"/>
  <c r="F103" i="309"/>
  <c r="N110" i="300"/>
  <c r="N104" i="309"/>
  <c r="F130" i="300"/>
  <c r="F105" i="309"/>
  <c r="S130" i="300"/>
  <c r="S105" i="309"/>
  <c r="M107" i="275"/>
  <c r="S25" i="300"/>
  <c r="S107" i="309"/>
  <c r="F110" i="275"/>
  <c r="M111" i="275"/>
  <c r="T111" i="275" s="1"/>
  <c r="F60" i="300"/>
  <c r="F112" i="309"/>
  <c r="S60" i="300"/>
  <c r="S112" i="309"/>
  <c r="N112" i="300"/>
  <c r="N115" i="309"/>
  <c r="D116" i="309"/>
  <c r="D96" i="300"/>
  <c r="S116" i="309"/>
  <c r="S96" i="300"/>
  <c r="S105" i="300"/>
  <c r="S118" i="309"/>
  <c r="P106" i="300"/>
  <c r="P119" i="309"/>
  <c r="N102" i="300"/>
  <c r="AS102" i="300" s="1"/>
  <c r="N121" i="309"/>
  <c r="N100" i="300"/>
  <c r="N123" i="309"/>
  <c r="W124" i="275"/>
  <c r="E127" i="275"/>
  <c r="C9" i="12" s="1"/>
  <c r="Q127" i="275"/>
  <c r="O9" i="12" s="1"/>
  <c r="D5" i="309"/>
  <c r="H127" i="309"/>
  <c r="L5" i="309"/>
  <c r="X127" i="309"/>
  <c r="D6" i="309"/>
  <c r="L6" i="309"/>
  <c r="D7" i="309"/>
  <c r="D9" i="309"/>
  <c r="D10" i="309"/>
  <c r="D11" i="309"/>
  <c r="D13" i="309"/>
  <c r="D15" i="309"/>
  <c r="D17" i="309"/>
  <c r="D19" i="309"/>
  <c r="K20" i="309"/>
  <c r="S21" i="309"/>
  <c r="L25" i="309"/>
  <c r="D27" i="309"/>
  <c r="Q48" i="309"/>
  <c r="L50" i="309"/>
  <c r="L55" i="309"/>
  <c r="L59" i="309"/>
  <c r="L71" i="309"/>
  <c r="L80" i="309"/>
  <c r="L99" i="309"/>
  <c r="U99" i="309"/>
  <c r="P103" i="309"/>
  <c r="D110" i="309"/>
  <c r="M110" i="309"/>
  <c r="P111" i="309"/>
  <c r="P112" i="309"/>
  <c r="N5" i="300"/>
  <c r="N6" i="300" s="1"/>
  <c r="L6" i="97" s="1"/>
  <c r="G13" i="300"/>
  <c r="AA13" i="300"/>
  <c r="Y10" i="97" s="1"/>
  <c r="S9" i="300"/>
  <c r="F10" i="300"/>
  <c r="N11" i="300"/>
  <c r="I16" i="300"/>
  <c r="G7" i="97" s="1"/>
  <c r="Q16" i="300"/>
  <c r="O7" i="97" s="1"/>
  <c r="I41" i="300"/>
  <c r="G8" i="97" s="1"/>
  <c r="L26" i="300"/>
  <c r="S30" i="300"/>
  <c r="F31" i="300"/>
  <c r="K33" i="300"/>
  <c r="S33" i="300"/>
  <c r="L35" i="300"/>
  <c r="K39" i="300"/>
  <c r="H62" i="300"/>
  <c r="F9" i="97" s="1"/>
  <c r="K43" i="300"/>
  <c r="K62" i="300" s="1"/>
  <c r="F47" i="300"/>
  <c r="K54" i="300"/>
  <c r="S58" i="300"/>
  <c r="K63" i="300"/>
  <c r="K64" i="300" s="1"/>
  <c r="N65" i="300"/>
  <c r="E99" i="300"/>
  <c r="J99" i="300"/>
  <c r="K77" i="300"/>
  <c r="E86" i="300"/>
  <c r="N89" i="300"/>
  <c r="S92" i="300"/>
  <c r="F93" i="300"/>
  <c r="P95" i="300"/>
  <c r="F121" i="300"/>
  <c r="F20" i="309"/>
  <c r="N121" i="300"/>
  <c r="N20" i="309"/>
  <c r="R121" i="300"/>
  <c r="R20" i="309"/>
  <c r="P21" i="275"/>
  <c r="S117" i="300"/>
  <c r="S25" i="309"/>
  <c r="S26" i="300"/>
  <c r="S29" i="309"/>
  <c r="S123" i="300"/>
  <c r="S31" i="309"/>
  <c r="S72" i="300"/>
  <c r="S32" i="309"/>
  <c r="P34" i="275"/>
  <c r="S35" i="309"/>
  <c r="S74" i="300"/>
  <c r="F43" i="300"/>
  <c r="F38" i="309"/>
  <c r="K118" i="300"/>
  <c r="K119" i="300" s="1"/>
  <c r="K39" i="309"/>
  <c r="S126" i="300"/>
  <c r="S40" i="309"/>
  <c r="F114" i="300"/>
  <c r="F42" i="309"/>
  <c r="K76" i="300"/>
  <c r="K43" i="309"/>
  <c r="P44" i="275"/>
  <c r="S35" i="300"/>
  <c r="S45" i="309"/>
  <c r="G79" i="300"/>
  <c r="G48" i="309"/>
  <c r="N79" i="300"/>
  <c r="N48" i="309"/>
  <c r="R79" i="300"/>
  <c r="R48" i="309"/>
  <c r="P49" i="275"/>
  <c r="P50" i="275"/>
  <c r="P52" i="275"/>
  <c r="K53" i="309"/>
  <c r="K44" i="300"/>
  <c r="K45" i="300"/>
  <c r="K54" i="309"/>
  <c r="K15" i="300"/>
  <c r="K58" i="309"/>
  <c r="S82" i="300"/>
  <c r="S59" i="309"/>
  <c r="S134" i="300"/>
  <c r="S140" i="300" s="1"/>
  <c r="S60" i="309"/>
  <c r="S7" i="300"/>
  <c r="S62" i="309"/>
  <c r="P63" i="275"/>
  <c r="S135" i="300"/>
  <c r="S64" i="309"/>
  <c r="F128" i="300"/>
  <c r="F66" i="309"/>
  <c r="N128" i="300"/>
  <c r="N66" i="309"/>
  <c r="S136" i="300"/>
  <c r="S67" i="309"/>
  <c r="F50" i="300"/>
  <c r="F69" i="309"/>
  <c r="K70" i="309"/>
  <c r="K51" i="300"/>
  <c r="S83" i="300"/>
  <c r="S71" i="309"/>
  <c r="S129" i="300"/>
  <c r="S72" i="309"/>
  <c r="S37" i="300"/>
  <c r="S73" i="309"/>
  <c r="S8" i="300"/>
  <c r="S74" i="309"/>
  <c r="R20" i="300"/>
  <c r="R76" i="309"/>
  <c r="K38" i="300"/>
  <c r="K77" i="309"/>
  <c r="P80" i="275"/>
  <c r="G81" i="309"/>
  <c r="G85" i="300"/>
  <c r="S86" i="300"/>
  <c r="S82" i="309"/>
  <c r="S137" i="300"/>
  <c r="S84" i="309"/>
  <c r="P85" i="275"/>
  <c r="S87" i="309"/>
  <c r="S89" i="300"/>
  <c r="F90" i="300"/>
  <c r="F89" i="309"/>
  <c r="K91" i="300"/>
  <c r="K90" i="309"/>
  <c r="K53" i="300"/>
  <c r="K91" i="309"/>
  <c r="F22" i="300"/>
  <c r="F94" i="309"/>
  <c r="K139" i="300"/>
  <c r="K95" i="309"/>
  <c r="S109" i="300"/>
  <c r="S96" i="309"/>
  <c r="S97" i="309"/>
  <c r="S93" i="300"/>
  <c r="S104" i="300"/>
  <c r="S98" i="309"/>
  <c r="K23" i="300"/>
  <c r="K100" i="309"/>
  <c r="T105" i="275"/>
  <c r="S106" i="309"/>
  <c r="S10" i="300"/>
  <c r="N25" i="300"/>
  <c r="N107" i="309"/>
  <c r="F56" i="300"/>
  <c r="F108" i="309"/>
  <c r="S56" i="300"/>
  <c r="S108" i="309"/>
  <c r="T112" i="275"/>
  <c r="F61" i="300"/>
  <c r="F113" i="309"/>
  <c r="F95" i="300"/>
  <c r="F114" i="309"/>
  <c r="S95" i="300"/>
  <c r="S114" i="309"/>
  <c r="F96" i="300"/>
  <c r="F116" i="309"/>
  <c r="N96" i="300"/>
  <c r="N116" i="309"/>
  <c r="D117" i="309"/>
  <c r="D97" i="300"/>
  <c r="P117" i="309"/>
  <c r="P97" i="300"/>
  <c r="N105" i="300"/>
  <c r="AS105" i="300" s="1"/>
  <c r="N118" i="309"/>
  <c r="F106" i="300"/>
  <c r="F119" i="309"/>
  <c r="S106" i="300"/>
  <c r="S119" i="309"/>
  <c r="W101" i="300"/>
  <c r="W120" i="309"/>
  <c r="O102" i="300"/>
  <c r="O121" i="309"/>
  <c r="F98" i="300"/>
  <c r="F122" i="309"/>
  <c r="O100" i="300"/>
  <c r="O123" i="309"/>
  <c r="F107" i="300"/>
  <c r="F124" i="309"/>
  <c r="O125" i="309"/>
  <c r="O11" i="300"/>
  <c r="F66" i="300"/>
  <c r="F126" i="309"/>
  <c r="N127" i="275"/>
  <c r="L9" i="12" s="1"/>
  <c r="R127" i="275"/>
  <c r="P9" i="12" s="1"/>
  <c r="P16" i="12" s="1"/>
  <c r="P29" i="97" s="1"/>
  <c r="Q20" i="309"/>
  <c r="Q127" i="309" s="1"/>
  <c r="K21" i="309"/>
  <c r="D22" i="309"/>
  <c r="K23" i="309"/>
  <c r="D29" i="309"/>
  <c r="D34" i="309"/>
  <c r="L35" i="309"/>
  <c r="L45" i="309"/>
  <c r="L52" i="309"/>
  <c r="D53" i="309"/>
  <c r="D60" i="309"/>
  <c r="D63" i="309"/>
  <c r="L64" i="309"/>
  <c r="L79" i="309"/>
  <c r="E81" i="309"/>
  <c r="E127" i="309" s="1"/>
  <c r="D82" i="309"/>
  <c r="D85" i="309"/>
  <c r="L86" i="309"/>
  <c r="L92" i="309"/>
  <c r="L96" i="309"/>
  <c r="L98" i="309"/>
  <c r="D101" i="309"/>
  <c r="M105" i="309"/>
  <c r="D107" i="309"/>
  <c r="P110" i="309"/>
  <c r="D114" i="309"/>
  <c r="K27" i="300"/>
  <c r="S27" i="300"/>
  <c r="N31" i="300"/>
  <c r="AS31" i="300" s="1"/>
  <c r="K36" i="300"/>
  <c r="S39" i="300"/>
  <c r="D62" i="300"/>
  <c r="B9" i="97" s="1"/>
  <c r="AA62" i="300"/>
  <c r="Y9" i="97" s="1"/>
  <c r="S43" i="300"/>
  <c r="K50" i="300"/>
  <c r="S54" i="300"/>
  <c r="P57" i="300"/>
  <c r="F59" i="300"/>
  <c r="M60" i="300"/>
  <c r="S63" i="300"/>
  <c r="S64" i="300" s="1"/>
  <c r="K69" i="300"/>
  <c r="K99" i="300" s="1"/>
  <c r="S77" i="300"/>
  <c r="F78" i="300"/>
  <c r="R85" i="300"/>
  <c r="L87" i="300"/>
  <c r="K88" i="300"/>
  <c r="U94" i="300"/>
  <c r="F5" i="275"/>
  <c r="F6" i="275"/>
  <c r="L7" i="275"/>
  <c r="L8" i="275"/>
  <c r="L9" i="275"/>
  <c r="L16" i="275"/>
  <c r="L18" i="275"/>
  <c r="L19" i="275"/>
  <c r="S20" i="275"/>
  <c r="L22" i="275"/>
  <c r="L23" i="275"/>
  <c r="S42" i="300"/>
  <c r="S23" i="309"/>
  <c r="F27" i="275"/>
  <c r="F28" i="275"/>
  <c r="N18" i="300"/>
  <c r="AS18" i="300" s="1"/>
  <c r="N28" i="309"/>
  <c r="F71" i="300"/>
  <c r="F30" i="309"/>
  <c r="F31" i="275"/>
  <c r="N123" i="300"/>
  <c r="AS123" i="300" s="1"/>
  <c r="N31" i="309"/>
  <c r="F72" i="300"/>
  <c r="F32" i="309"/>
  <c r="N72" i="300"/>
  <c r="N99" i="300" s="1"/>
  <c r="N32" i="309"/>
  <c r="F73" i="300"/>
  <c r="F33" i="309"/>
  <c r="N73" i="300"/>
  <c r="N33" i="309"/>
  <c r="S124" i="300"/>
  <c r="S34" i="309"/>
  <c r="F27" i="300"/>
  <c r="F36" i="309"/>
  <c r="N27" i="300"/>
  <c r="N36" i="309"/>
  <c r="F125" i="300"/>
  <c r="F37" i="309"/>
  <c r="L39" i="275"/>
  <c r="S118" i="300"/>
  <c r="S119" i="300" s="1"/>
  <c r="S39" i="309"/>
  <c r="F75" i="300"/>
  <c r="F41" i="309"/>
  <c r="K114" i="300"/>
  <c r="K42" i="309"/>
  <c r="L43" i="275"/>
  <c r="S76" i="300"/>
  <c r="S43" i="309"/>
  <c r="S19" i="300"/>
  <c r="S44" i="309"/>
  <c r="F77" i="300"/>
  <c r="F46" i="309"/>
  <c r="K47" i="309"/>
  <c r="K78" i="300"/>
  <c r="K79" i="300"/>
  <c r="K48" i="309"/>
  <c r="S48" i="275"/>
  <c r="S127" i="275" s="1"/>
  <c r="Q9" i="12" s="1"/>
  <c r="S127" i="300"/>
  <c r="S49" i="309"/>
  <c r="S80" i="300"/>
  <c r="S50" i="309"/>
  <c r="S103" i="300"/>
  <c r="S52" i="309"/>
  <c r="L53" i="275"/>
  <c r="L54" i="275"/>
  <c r="S45" i="300"/>
  <c r="S54" i="309"/>
  <c r="K57" i="309"/>
  <c r="K81" i="300"/>
  <c r="L58" i="275"/>
  <c r="S15" i="300"/>
  <c r="S58" i="309"/>
  <c r="F36" i="300"/>
  <c r="F61" i="309"/>
  <c r="F62" i="275"/>
  <c r="N7" i="300"/>
  <c r="N62" i="309"/>
  <c r="S63" i="309"/>
  <c r="S5" i="300"/>
  <c r="S6" i="300" s="1"/>
  <c r="F48" i="300"/>
  <c r="F65" i="309"/>
  <c r="K128" i="300"/>
  <c r="K66" i="309"/>
  <c r="F67" i="275"/>
  <c r="N136" i="300"/>
  <c r="AS136" i="300" s="1"/>
  <c r="N67" i="309"/>
  <c r="F49" i="300"/>
  <c r="F68" i="309"/>
  <c r="L70" i="275"/>
  <c r="S70" i="309"/>
  <c r="S51" i="300"/>
  <c r="F129" i="300"/>
  <c r="F72" i="309"/>
  <c r="N129" i="300"/>
  <c r="N72" i="309"/>
  <c r="F37" i="300"/>
  <c r="F73" i="309"/>
  <c r="N37" i="300"/>
  <c r="N73" i="309"/>
  <c r="F8" i="300"/>
  <c r="F74" i="309"/>
  <c r="N8" i="300"/>
  <c r="N74" i="309"/>
  <c r="F84" i="300"/>
  <c r="F75" i="309"/>
  <c r="N84" i="300"/>
  <c r="N75" i="309"/>
  <c r="F20" i="300"/>
  <c r="F76" i="309"/>
  <c r="S76" i="275"/>
  <c r="L77" i="275"/>
  <c r="L78" i="275"/>
  <c r="S80" i="309"/>
  <c r="S40" i="300"/>
  <c r="K81" i="309"/>
  <c r="K85" i="300"/>
  <c r="F52" i="300"/>
  <c r="F83" i="309"/>
  <c r="F84" i="275"/>
  <c r="N137" i="300"/>
  <c r="N84" i="309"/>
  <c r="S87" i="300"/>
  <c r="S85" i="309"/>
  <c r="F138" i="300"/>
  <c r="F88" i="309"/>
  <c r="K90" i="300"/>
  <c r="K89" i="309"/>
  <c r="L90" i="275"/>
  <c r="L91" i="275"/>
  <c r="S53" i="300"/>
  <c r="S91" i="309"/>
  <c r="F54" i="300"/>
  <c r="F93" i="309"/>
  <c r="K22" i="300"/>
  <c r="K94" i="309"/>
  <c r="L95" i="275"/>
  <c r="S139" i="300"/>
  <c r="S95" i="309"/>
  <c r="F104" i="300"/>
  <c r="F98" i="309"/>
  <c r="L100" i="275"/>
  <c r="R23" i="300"/>
  <c r="R100" i="309"/>
  <c r="R127" i="309" s="1"/>
  <c r="V101" i="275"/>
  <c r="L102" i="275"/>
  <c r="N9" i="300"/>
  <c r="N103" i="309"/>
  <c r="T103" i="275"/>
  <c r="F110" i="300"/>
  <c r="F104" i="309"/>
  <c r="O105" i="275"/>
  <c r="M106" i="275"/>
  <c r="O107" i="275"/>
  <c r="M108" i="275"/>
  <c r="F57" i="300"/>
  <c r="F109" i="309"/>
  <c r="S57" i="300"/>
  <c r="S109" i="309"/>
  <c r="N58" i="300"/>
  <c r="N110" i="309"/>
  <c r="T110" i="275"/>
  <c r="O112" i="275"/>
  <c r="K61" i="300"/>
  <c r="K113" i="309"/>
  <c r="M114" i="275"/>
  <c r="F112" i="300"/>
  <c r="F115" i="300" s="1"/>
  <c r="F115" i="309"/>
  <c r="P112" i="300"/>
  <c r="P115" i="309"/>
  <c r="K116" i="309"/>
  <c r="K96" i="300"/>
  <c r="F117" i="275"/>
  <c r="S117" i="309"/>
  <c r="S97" i="300"/>
  <c r="U118" i="275"/>
  <c r="M119" i="275"/>
  <c r="F101" i="300"/>
  <c r="F120" i="309"/>
  <c r="N98" i="300"/>
  <c r="AS98" i="300" s="1"/>
  <c r="N122" i="309"/>
  <c r="O107" i="300"/>
  <c r="O124" i="309"/>
  <c r="D125" i="309"/>
  <c r="D11" i="300"/>
  <c r="D13" i="300" s="1"/>
  <c r="B10" i="97" s="1"/>
  <c r="N66" i="300"/>
  <c r="N126" i="309"/>
  <c r="G127" i="275"/>
  <c r="K127" i="275"/>
  <c r="I9" i="12" s="1"/>
  <c r="N6" i="309"/>
  <c r="N127" i="309" s="1"/>
  <c r="N7" i="309"/>
  <c r="F8" i="309"/>
  <c r="N9" i="309"/>
  <c r="F10" i="309"/>
  <c r="F12" i="309"/>
  <c r="F13" i="309"/>
  <c r="F14" i="309"/>
  <c r="F15" i="309"/>
  <c r="F16" i="309"/>
  <c r="N16" i="309"/>
  <c r="F17" i="309"/>
  <c r="F18" i="309"/>
  <c r="D20" i="309"/>
  <c r="L21" i="309"/>
  <c r="S22" i="309"/>
  <c r="L24" i="309"/>
  <c r="L49" i="309"/>
  <c r="L51" i="309"/>
  <c r="L76" i="309"/>
  <c r="D77" i="309"/>
  <c r="D80" i="309"/>
  <c r="D99" i="309"/>
  <c r="P107" i="309"/>
  <c r="P108" i="309"/>
  <c r="P109" i="309"/>
  <c r="U120" i="309"/>
  <c r="U121" i="309"/>
  <c r="U123" i="309"/>
  <c r="U125" i="309"/>
  <c r="G14" i="300"/>
  <c r="G16" i="300" s="1"/>
  <c r="K14" i="300"/>
  <c r="K16" i="300" s="1"/>
  <c r="S14" i="300"/>
  <c r="S16" i="300" s="1"/>
  <c r="Y16" i="300"/>
  <c r="W7" i="97" s="1"/>
  <c r="R41" i="300"/>
  <c r="Y41" i="300"/>
  <c r="W8" i="97" s="1"/>
  <c r="K18" i="300"/>
  <c r="K41" i="300" s="1"/>
  <c r="S18" i="300"/>
  <c r="L20" i="300"/>
  <c r="K21" i="300"/>
  <c r="D26" i="300"/>
  <c r="D41" i="300" s="1"/>
  <c r="S36" i="300"/>
  <c r="N40" i="300"/>
  <c r="E62" i="300"/>
  <c r="C9" i="97" s="1"/>
  <c r="Q62" i="300"/>
  <c r="X62" i="300"/>
  <c r="V9" i="97" s="1"/>
  <c r="N44" i="300"/>
  <c r="K46" i="300"/>
  <c r="S50" i="300"/>
  <c r="AA58" i="300"/>
  <c r="I67" i="300"/>
  <c r="G17" i="97" s="1"/>
  <c r="Y67" i="300"/>
  <c r="W17" i="97" s="1"/>
  <c r="H99" i="300"/>
  <c r="F11" i="97" s="1"/>
  <c r="S69" i="300"/>
  <c r="F70" i="300"/>
  <c r="K73" i="300"/>
  <c r="S73" i="300"/>
  <c r="F81" i="300"/>
  <c r="L83" i="300"/>
  <c r="S88" i="300"/>
  <c r="P5" i="275"/>
  <c r="F7" i="275"/>
  <c r="L10" i="275"/>
  <c r="L11" i="275"/>
  <c r="L12" i="275"/>
  <c r="P13" i="275"/>
  <c r="L14" i="275"/>
  <c r="L15" i="275"/>
  <c r="L17" i="275"/>
  <c r="L20" i="275"/>
  <c r="F12" i="300"/>
  <c r="F21" i="309"/>
  <c r="N12" i="300"/>
  <c r="AS12" i="300" s="1"/>
  <c r="N21" i="309"/>
  <c r="F69" i="300"/>
  <c r="F24" i="309"/>
  <c r="F117" i="300"/>
  <c r="F119" i="300" s="1"/>
  <c r="F25" i="309"/>
  <c r="K26" i="309"/>
  <c r="K70" i="300"/>
  <c r="K122" i="300"/>
  <c r="K131" i="300" s="1"/>
  <c r="K27" i="309"/>
  <c r="F29" i="275"/>
  <c r="K71" i="300"/>
  <c r="K30" i="309"/>
  <c r="K123" i="300"/>
  <c r="K31" i="309"/>
  <c r="K72" i="300"/>
  <c r="K32" i="309"/>
  <c r="F34" i="275"/>
  <c r="N124" i="300"/>
  <c r="N34" i="309"/>
  <c r="K125" i="300"/>
  <c r="K37" i="309"/>
  <c r="L38" i="275"/>
  <c r="F126" i="300"/>
  <c r="F40" i="309"/>
  <c r="K75" i="300"/>
  <c r="K41" i="309"/>
  <c r="L42" i="275"/>
  <c r="S114" i="300"/>
  <c r="S42" i="309"/>
  <c r="F19" i="300"/>
  <c r="F44" i="309"/>
  <c r="N19" i="300"/>
  <c r="N44" i="309"/>
  <c r="F35" i="300"/>
  <c r="F45" i="309"/>
  <c r="L47" i="275"/>
  <c r="S47" i="309"/>
  <c r="S78" i="300"/>
  <c r="L48" i="275"/>
  <c r="P48" i="275" s="1"/>
  <c r="F127" i="300"/>
  <c r="F49" i="309"/>
  <c r="N127" i="300"/>
  <c r="AS127" i="300" s="1"/>
  <c r="N49" i="309"/>
  <c r="F80" i="300"/>
  <c r="F50" i="309"/>
  <c r="N80" i="300"/>
  <c r="AS80" i="300" s="1"/>
  <c r="N50" i="309"/>
  <c r="F63" i="300"/>
  <c r="F64" i="300" s="1"/>
  <c r="F51" i="309"/>
  <c r="F52" i="275"/>
  <c r="N103" i="300"/>
  <c r="AS103" i="300" s="1"/>
  <c r="N52" i="309"/>
  <c r="S53" i="309"/>
  <c r="S44" i="300"/>
  <c r="F46" i="300"/>
  <c r="F55" i="309"/>
  <c r="K56" i="309"/>
  <c r="K47" i="300"/>
  <c r="L57" i="275"/>
  <c r="S57" i="309"/>
  <c r="S81" i="300"/>
  <c r="F82" i="300"/>
  <c r="F59" i="309"/>
  <c r="F60" i="275"/>
  <c r="K7" i="300"/>
  <c r="K62" i="309"/>
  <c r="F63" i="275"/>
  <c r="F135" i="300"/>
  <c r="F64" i="309"/>
  <c r="K48" i="300"/>
  <c r="K65" i="309"/>
  <c r="L66" i="275"/>
  <c r="K136" i="300"/>
  <c r="K140" i="300" s="1"/>
  <c r="K67" i="309"/>
  <c r="K49" i="300"/>
  <c r="K68" i="309"/>
  <c r="L69" i="275"/>
  <c r="F83" i="300"/>
  <c r="F71" i="309"/>
  <c r="K129" i="300"/>
  <c r="K72" i="309"/>
  <c r="K37" i="300"/>
  <c r="K73" i="309"/>
  <c r="K8" i="300"/>
  <c r="K74" i="309"/>
  <c r="G20" i="300"/>
  <c r="G41" i="300" s="1"/>
  <c r="G76" i="309"/>
  <c r="S38" i="300"/>
  <c r="S77" i="309"/>
  <c r="F21" i="300"/>
  <c r="F79" i="309"/>
  <c r="F80" i="275"/>
  <c r="L81" i="275"/>
  <c r="F82" i="275"/>
  <c r="K52" i="300"/>
  <c r="K83" i="309"/>
  <c r="K137" i="300"/>
  <c r="K84" i="309"/>
  <c r="F85" i="275"/>
  <c r="N87" i="300"/>
  <c r="N85" i="309"/>
  <c r="F88" i="300"/>
  <c r="F86" i="309"/>
  <c r="K87" i="309"/>
  <c r="K89" i="300"/>
  <c r="K138" i="300"/>
  <c r="K88" i="309"/>
  <c r="L89" i="275"/>
  <c r="S90" i="300"/>
  <c r="S89" i="309"/>
  <c r="S91" i="300"/>
  <c r="S90" i="309"/>
  <c r="F92" i="300"/>
  <c r="F92" i="309"/>
  <c r="L94" i="275"/>
  <c r="S22" i="300"/>
  <c r="S94" i="309"/>
  <c r="F109" i="300"/>
  <c r="F111" i="300" s="1"/>
  <c r="F96" i="309"/>
  <c r="G97" i="309"/>
  <c r="G93" i="300"/>
  <c r="G99" i="300" s="1"/>
  <c r="O97" i="275"/>
  <c r="G104" i="300"/>
  <c r="G108" i="300" s="1"/>
  <c r="G98" i="309"/>
  <c r="O98" i="275"/>
  <c r="F99" i="275"/>
  <c r="F101" i="275"/>
  <c r="O103" i="275"/>
  <c r="U103" i="275"/>
  <c r="M104" i="275"/>
  <c r="T104" i="275" s="1"/>
  <c r="S110" i="300"/>
  <c r="S104" i="309"/>
  <c r="F107" i="275"/>
  <c r="M109" i="275"/>
  <c r="O110" i="275"/>
  <c r="U110" i="275"/>
  <c r="S111" i="309"/>
  <c r="S59" i="300"/>
  <c r="L113" i="275"/>
  <c r="S61" i="300"/>
  <c r="S113" i="309"/>
  <c r="M115" i="275"/>
  <c r="S112" i="300"/>
  <c r="S115" i="300" s="1"/>
  <c r="S115" i="309"/>
  <c r="L116" i="275"/>
  <c r="N117" i="309"/>
  <c r="N97" i="300"/>
  <c r="AS97" i="300" s="1"/>
  <c r="T117" i="275"/>
  <c r="F105" i="300"/>
  <c r="F118" i="309"/>
  <c r="P105" i="300"/>
  <c r="P118" i="309"/>
  <c r="O101" i="300"/>
  <c r="O120" i="309"/>
  <c r="F102" i="300"/>
  <c r="F121" i="309"/>
  <c r="W121" i="275"/>
  <c r="O122" i="275"/>
  <c r="F100" i="300"/>
  <c r="F123" i="309"/>
  <c r="W123" i="275"/>
  <c r="F125" i="275"/>
  <c r="W125" i="275"/>
  <c r="O126" i="275"/>
  <c r="D127" i="275"/>
  <c r="B9" i="12" s="1"/>
  <c r="K5" i="309"/>
  <c r="S5" i="309"/>
  <c r="K6" i="309"/>
  <c r="S6" i="309"/>
  <c r="K8" i="309"/>
  <c r="S8" i="309"/>
  <c r="K9" i="309"/>
  <c r="S9" i="309"/>
  <c r="K10" i="309"/>
  <c r="K11" i="309"/>
  <c r="S11" i="309"/>
  <c r="K12" i="309"/>
  <c r="S12" i="309"/>
  <c r="G13" i="309"/>
  <c r="G127" i="309" s="1"/>
  <c r="K13" i="309"/>
  <c r="S13" i="309"/>
  <c r="K14" i="309"/>
  <c r="S14" i="309"/>
  <c r="K15" i="309"/>
  <c r="S15" i="309"/>
  <c r="K16" i="309"/>
  <c r="S16" i="309"/>
  <c r="K17" i="309"/>
  <c r="S17" i="309"/>
  <c r="K18" i="309"/>
  <c r="S18" i="309"/>
  <c r="K22" i="309"/>
  <c r="D28" i="309"/>
  <c r="D31" i="309"/>
  <c r="L34" i="309"/>
  <c r="L40" i="309"/>
  <c r="L44" i="309"/>
  <c r="D52" i="309"/>
  <c r="L60" i="309"/>
  <c r="D62" i="309"/>
  <c r="L63" i="309"/>
  <c r="D67" i="309"/>
  <c r="L82" i="309"/>
  <c r="D84" i="309"/>
  <c r="L97" i="309"/>
  <c r="U100" i="309"/>
  <c r="L101" i="309"/>
  <c r="U101" i="309"/>
  <c r="M103" i="309"/>
  <c r="P104" i="309"/>
  <c r="P105" i="309"/>
  <c r="P106" i="309"/>
  <c r="U124" i="309"/>
  <c r="E13" i="300"/>
  <c r="H41" i="300"/>
  <c r="F8" i="97" s="1"/>
  <c r="F20" i="97" s="1"/>
  <c r="F30" i="97" s="1"/>
  <c r="N41" i="300"/>
  <c r="Z41" i="300"/>
  <c r="X8" i="97" s="1"/>
  <c r="S21" i="300"/>
  <c r="K24" i="300"/>
  <c r="S24" i="300"/>
  <c r="G62" i="300"/>
  <c r="E9" i="97" s="1"/>
  <c r="Y62" i="300"/>
  <c r="W9" i="97" s="1"/>
  <c r="S46" i="300"/>
  <c r="F51" i="300"/>
  <c r="D99" i="300"/>
  <c r="I99" i="300"/>
  <c r="X99" i="300"/>
  <c r="F74" i="300"/>
  <c r="K84" i="300"/>
  <c r="S84" i="300"/>
  <c r="F89" i="300"/>
  <c r="K92" i="300"/>
  <c r="K115" i="300"/>
  <c r="N131" i="300"/>
  <c r="Q141" i="300"/>
  <c r="S28" i="301"/>
  <c r="P19" i="301"/>
  <c r="M19" i="276"/>
  <c r="T19" i="276" s="1"/>
  <c r="AA17" i="302"/>
  <c r="E17" i="302"/>
  <c r="X17" i="302"/>
  <c r="Q99" i="300"/>
  <c r="Y99" i="300"/>
  <c r="Y141" i="300" s="1"/>
  <c r="K108" i="300"/>
  <c r="Q131" i="300"/>
  <c r="I141" i="300"/>
  <c r="Z141" i="300"/>
  <c r="L13" i="301"/>
  <c r="P13" i="276"/>
  <c r="T15" i="276"/>
  <c r="T15" i="301" s="1"/>
  <c r="M15" i="276"/>
  <c r="P15" i="301"/>
  <c r="G28" i="301"/>
  <c r="J17" i="302"/>
  <c r="H17" i="302"/>
  <c r="Y17" i="302"/>
  <c r="R99" i="300"/>
  <c r="Z99" i="300"/>
  <c r="L108" i="300"/>
  <c r="D115" i="300"/>
  <c r="D131" i="300"/>
  <c r="D141" i="300" s="1"/>
  <c r="R131" i="300"/>
  <c r="P15" i="97" s="1"/>
  <c r="J141" i="300"/>
  <c r="P5" i="301"/>
  <c r="T5" i="276"/>
  <c r="U5" i="276" s="1"/>
  <c r="M5" i="276"/>
  <c r="L12" i="301"/>
  <c r="P12" i="276"/>
  <c r="L25" i="301"/>
  <c r="P25" i="276"/>
  <c r="L8" i="302"/>
  <c r="P7" i="277"/>
  <c r="M9" i="277"/>
  <c r="M5" i="302" s="1"/>
  <c r="P5" i="302"/>
  <c r="N14" i="302"/>
  <c r="I17" i="302"/>
  <c r="AA99" i="300"/>
  <c r="D108" i="300"/>
  <c r="S108" i="300"/>
  <c r="N111" i="300"/>
  <c r="L13" i="97" s="1"/>
  <c r="E141" i="300"/>
  <c r="N140" i="300"/>
  <c r="P11" i="301"/>
  <c r="M11" i="276"/>
  <c r="M5" i="277"/>
  <c r="O5" i="277" s="1"/>
  <c r="P15" i="302"/>
  <c r="P16" i="302" s="1"/>
  <c r="S14" i="302"/>
  <c r="S17" i="302" s="1"/>
  <c r="D14" i="302"/>
  <c r="R17" i="302"/>
  <c r="Z17" i="302"/>
  <c r="D17" i="302"/>
  <c r="Q17" i="302"/>
  <c r="P7" i="276"/>
  <c r="L8" i="276"/>
  <c r="L9" i="276"/>
  <c r="L10" i="276"/>
  <c r="F13" i="276"/>
  <c r="F13" i="301" s="1"/>
  <c r="P16" i="276"/>
  <c r="L17" i="276"/>
  <c r="L18" i="276"/>
  <c r="P23" i="276"/>
  <c r="L24" i="276"/>
  <c r="P27" i="276"/>
  <c r="N28" i="276"/>
  <c r="L10" i="12" s="1"/>
  <c r="N5" i="301"/>
  <c r="N28" i="301" s="1"/>
  <c r="L11" i="301"/>
  <c r="K12" i="301"/>
  <c r="K28" i="301" s="1"/>
  <c r="L29" i="301" s="1"/>
  <c r="L15" i="301"/>
  <c r="D18" i="301"/>
  <c r="D28" i="301" s="1"/>
  <c r="F10" i="277"/>
  <c r="F10" i="302" s="1"/>
  <c r="F14" i="302" s="1"/>
  <c r="F11" i="277"/>
  <c r="F6" i="302" s="1"/>
  <c r="P12" i="277"/>
  <c r="P13" i="277"/>
  <c r="L14" i="277"/>
  <c r="G15" i="277"/>
  <c r="K15" i="277"/>
  <c r="S15" i="277"/>
  <c r="Q11" i="12" s="1"/>
  <c r="L5" i="302"/>
  <c r="L15" i="302"/>
  <c r="L16" i="302" s="1"/>
  <c r="K5" i="303"/>
  <c r="K10" i="303" s="1"/>
  <c r="K10" i="278"/>
  <c r="I12" i="12" s="1"/>
  <c r="L5" i="278"/>
  <c r="L6" i="305"/>
  <c r="P6" i="280"/>
  <c r="P6" i="276"/>
  <c r="G28" i="276"/>
  <c r="K28" i="276"/>
  <c r="S28" i="276"/>
  <c r="Q10" i="12" s="1"/>
  <c r="K13" i="301"/>
  <c r="L19" i="301"/>
  <c r="L27" i="301"/>
  <c r="P10" i="277"/>
  <c r="P11" i="277"/>
  <c r="D15" i="277"/>
  <c r="B11" i="12" s="1"/>
  <c r="L15" i="277"/>
  <c r="J11" i="12" s="1"/>
  <c r="K6" i="303"/>
  <c r="L6" i="278"/>
  <c r="V54" i="285"/>
  <c r="AN54" i="285"/>
  <c r="AU54" i="285" s="1"/>
  <c r="O5" i="276"/>
  <c r="F6" i="276"/>
  <c r="F6" i="301" s="1"/>
  <c r="F28" i="301" s="1"/>
  <c r="F9" i="276"/>
  <c r="F9" i="301" s="1"/>
  <c r="F10" i="276"/>
  <c r="F10" i="301" s="1"/>
  <c r="L14" i="276"/>
  <c r="F18" i="276"/>
  <c r="F18" i="301" s="1"/>
  <c r="P20" i="276"/>
  <c r="L21" i="276"/>
  <c r="L22" i="276"/>
  <c r="L26" i="276"/>
  <c r="D28" i="276"/>
  <c r="B10" i="12" s="1"/>
  <c r="L28" i="276"/>
  <c r="J10" i="12" s="1"/>
  <c r="L5" i="301"/>
  <c r="K25" i="301"/>
  <c r="P6" i="277"/>
  <c r="K8" i="302"/>
  <c r="K14" i="302" s="1"/>
  <c r="K17" i="302" s="1"/>
  <c r="L18" i="302" s="1"/>
  <c r="P18" i="302" s="1"/>
  <c r="F15" i="302"/>
  <c r="F16" i="302" s="1"/>
  <c r="N15" i="302"/>
  <c r="N16" i="302" s="1"/>
  <c r="N17" i="302" s="1"/>
  <c r="K7" i="303"/>
  <c r="L7" i="278"/>
  <c r="B6" i="97"/>
  <c r="C6" i="97"/>
  <c r="P10" i="97"/>
  <c r="X10" i="97"/>
  <c r="L8" i="277"/>
  <c r="F13" i="277"/>
  <c r="F12" i="302" s="1"/>
  <c r="F10" i="303"/>
  <c r="K8" i="303"/>
  <c r="L8" i="278"/>
  <c r="S10" i="303"/>
  <c r="P9" i="305"/>
  <c r="T9" i="280"/>
  <c r="M9" i="280"/>
  <c r="M9" i="305" s="1"/>
  <c r="M63" i="285"/>
  <c r="T63" i="285" s="1"/>
  <c r="U63" i="285" s="1"/>
  <c r="L9" i="278"/>
  <c r="F10" i="278"/>
  <c r="D12" i="12" s="1"/>
  <c r="F9" i="279"/>
  <c r="F11" i="304" s="1"/>
  <c r="L12" i="279"/>
  <c r="S14" i="279"/>
  <c r="Q13" i="12" s="1"/>
  <c r="A18" i="304"/>
  <c r="E6" i="97"/>
  <c r="K7" i="304"/>
  <c r="K8" i="304" s="1"/>
  <c r="S9" i="304"/>
  <c r="D14" i="304"/>
  <c r="D17" i="304" s="1"/>
  <c r="D18" i="304" s="1"/>
  <c r="X17" i="304"/>
  <c r="P7" i="280"/>
  <c r="L8" i="280"/>
  <c r="P12" i="280"/>
  <c r="L13" i="280"/>
  <c r="R17" i="305"/>
  <c r="P18" i="97" s="1"/>
  <c r="K6" i="305"/>
  <c r="L9" i="305"/>
  <c r="N11" i="305"/>
  <c r="N17" i="305" s="1"/>
  <c r="K13" i="306"/>
  <c r="L9" i="282"/>
  <c r="P13" i="282"/>
  <c r="L10" i="306"/>
  <c r="H19" i="306"/>
  <c r="K84" i="284"/>
  <c r="L85" i="284" s="1"/>
  <c r="N84" i="284"/>
  <c r="P15" i="284"/>
  <c r="P19" i="284"/>
  <c r="T20" i="284"/>
  <c r="P28" i="284"/>
  <c r="T29" i="284"/>
  <c r="M29" i="284"/>
  <c r="T31" i="284"/>
  <c r="U31" i="284" s="1"/>
  <c r="M31" i="284"/>
  <c r="O31" i="284" s="1"/>
  <c r="P34" i="284"/>
  <c r="T36" i="284"/>
  <c r="U36" i="284" s="1"/>
  <c r="M36" i="284"/>
  <c r="P43" i="284"/>
  <c r="T45" i="284"/>
  <c r="U45" i="284" s="1"/>
  <c r="M45" i="284"/>
  <c r="O45" i="284" s="1"/>
  <c r="M48" i="284"/>
  <c r="T48" i="284" s="1"/>
  <c r="U48" i="284" s="1"/>
  <c r="P50" i="284"/>
  <c r="M53" i="284"/>
  <c r="T53" i="284" s="1"/>
  <c r="U53" i="284" s="1"/>
  <c r="T57" i="284"/>
  <c r="U57" i="284" s="1"/>
  <c r="T64" i="284"/>
  <c r="U64" i="284" s="1"/>
  <c r="T66" i="284"/>
  <c r="AN69" i="284"/>
  <c r="P70" i="284"/>
  <c r="T71" i="284"/>
  <c r="U71" i="284" s="1"/>
  <c r="M80" i="284"/>
  <c r="T80" i="284" s="1"/>
  <c r="U80" i="284" s="1"/>
  <c r="P7" i="285"/>
  <c r="L105" i="285"/>
  <c r="M8" i="285"/>
  <c r="O8" i="285" s="1"/>
  <c r="P10" i="285"/>
  <c r="M17" i="285"/>
  <c r="O17" i="285" s="1"/>
  <c r="V19" i="285"/>
  <c r="AN19" i="285"/>
  <c r="AU19" i="285" s="1"/>
  <c r="M32" i="285"/>
  <c r="T32" i="285" s="1"/>
  <c r="U32" i="285" s="1"/>
  <c r="T40" i="285"/>
  <c r="U40" i="285" s="1"/>
  <c r="T49" i="285"/>
  <c r="U49" i="285" s="1"/>
  <c r="M51" i="285"/>
  <c r="T51" i="285" s="1"/>
  <c r="U51" i="285" s="1"/>
  <c r="AN52" i="285"/>
  <c r="AU52" i="285" s="1"/>
  <c r="T55" i="285"/>
  <c r="U55" i="285" s="1"/>
  <c r="M55" i="285"/>
  <c r="T57" i="285"/>
  <c r="U57" i="285" s="1"/>
  <c r="M57" i="285"/>
  <c r="O57" i="285" s="1"/>
  <c r="F81" i="285"/>
  <c r="T86" i="285"/>
  <c r="M86" i="285"/>
  <c r="P87" i="285"/>
  <c r="T90" i="285"/>
  <c r="U90" i="285" s="1"/>
  <c r="M90" i="285"/>
  <c r="AN111" i="285"/>
  <c r="AU111" i="285" s="1"/>
  <c r="V111" i="285"/>
  <c r="M10" i="288"/>
  <c r="O10" i="288" s="1"/>
  <c r="T10" i="288"/>
  <c r="U10" i="288" s="1"/>
  <c r="O6" i="97"/>
  <c r="W6" i="97"/>
  <c r="G13" i="304"/>
  <c r="E10" i="97" s="1"/>
  <c r="N13" i="304"/>
  <c r="K16" i="304"/>
  <c r="O9" i="280"/>
  <c r="O9" i="305" s="1"/>
  <c r="P11" i="280"/>
  <c r="P15" i="280"/>
  <c r="L15" i="305"/>
  <c r="L16" i="280"/>
  <c r="K16" i="305"/>
  <c r="F5" i="305"/>
  <c r="F17" i="305" s="1"/>
  <c r="J17" i="305"/>
  <c r="H18" i="97" s="1"/>
  <c r="S5" i="305"/>
  <c r="S17" i="305" s="1"/>
  <c r="N14" i="282"/>
  <c r="L15" i="12" s="1"/>
  <c r="N7" i="306"/>
  <c r="N11" i="306" s="1"/>
  <c r="N19" i="306" s="1"/>
  <c r="Q19" i="306"/>
  <c r="V14" i="284"/>
  <c r="AN14" i="284"/>
  <c r="V21" i="284"/>
  <c r="AN21" i="284"/>
  <c r="V27" i="284"/>
  <c r="AN27" i="284"/>
  <c r="T37" i="284"/>
  <c r="V49" i="284"/>
  <c r="AN49" i="284"/>
  <c r="P51" i="284"/>
  <c r="V54" i="284"/>
  <c r="AN54" i="284"/>
  <c r="P60" i="284"/>
  <c r="P63" i="284"/>
  <c r="T78" i="284"/>
  <c r="U78" i="284" s="1"/>
  <c r="U79" i="284"/>
  <c r="AN81" i="284"/>
  <c r="P11" i="285"/>
  <c r="M14" i="285"/>
  <c r="O14" i="285" s="1"/>
  <c r="M15" i="285"/>
  <c r="O15" i="285" s="1"/>
  <c r="T28" i="285"/>
  <c r="U28" i="285" s="1"/>
  <c r="T29" i="285"/>
  <c r="T39" i="285"/>
  <c r="U39" i="285" s="1"/>
  <c r="AN42" i="285"/>
  <c r="AU42" i="285" s="1"/>
  <c r="M46" i="285"/>
  <c r="T46" i="285" s="1"/>
  <c r="U46" i="285" s="1"/>
  <c r="V53" i="285"/>
  <c r="AN53" i="285"/>
  <c r="AU53" i="285" s="1"/>
  <c r="P98" i="285"/>
  <c r="M103" i="285"/>
  <c r="O103" i="285" s="1"/>
  <c r="M109" i="285"/>
  <c r="T109" i="285"/>
  <c r="U109" i="285" s="1"/>
  <c r="V116" i="285"/>
  <c r="AN116" i="285"/>
  <c r="AU116" i="285" s="1"/>
  <c r="P44" i="286"/>
  <c r="AP11" i="293"/>
  <c r="AM16" i="293"/>
  <c r="Q6" i="97"/>
  <c r="L9" i="279"/>
  <c r="P9" i="279" s="1"/>
  <c r="F11" i="279"/>
  <c r="F12" i="304" s="1"/>
  <c r="D14" i="279"/>
  <c r="B13" i="12" s="1"/>
  <c r="G6" i="97"/>
  <c r="P6" i="97"/>
  <c r="X6" i="97"/>
  <c r="D13" i="304"/>
  <c r="H13" i="304"/>
  <c r="F10" i="97" s="1"/>
  <c r="Q13" i="304"/>
  <c r="X13" i="304"/>
  <c r="V10" i="97" s="1"/>
  <c r="K14" i="304"/>
  <c r="K17" i="280"/>
  <c r="P5" i="280"/>
  <c r="L10" i="280"/>
  <c r="P14" i="280"/>
  <c r="K5" i="305"/>
  <c r="F15" i="306"/>
  <c r="F16" i="306" s="1"/>
  <c r="M7" i="282"/>
  <c r="P10" i="282"/>
  <c r="L5" i="306"/>
  <c r="L6" i="306" s="1"/>
  <c r="L17" i="306"/>
  <c r="P11" i="282"/>
  <c r="D9" i="306"/>
  <c r="D11" i="306" s="1"/>
  <c r="D19" i="306" s="1"/>
  <c r="F12" i="282"/>
  <c r="F9" i="306" s="1"/>
  <c r="P15" i="282"/>
  <c r="S14" i="282"/>
  <c r="Q15" i="12" s="1"/>
  <c r="P8" i="306"/>
  <c r="S14" i="306"/>
  <c r="S19" i="306" s="1"/>
  <c r="E19" i="306"/>
  <c r="I19" i="306"/>
  <c r="R19" i="306"/>
  <c r="V11" i="284"/>
  <c r="AN11" i="284"/>
  <c r="P23" i="284"/>
  <c r="P39" i="284"/>
  <c r="M55" i="284"/>
  <c r="O55" i="284" s="1"/>
  <c r="M56" i="284"/>
  <c r="T56" i="284" s="1"/>
  <c r="U56" i="284" s="1"/>
  <c r="V59" i="284"/>
  <c r="AN59" i="284"/>
  <c r="M65" i="284"/>
  <c r="T65" i="284" s="1"/>
  <c r="U65" i="284" s="1"/>
  <c r="P73" i="284"/>
  <c r="M74" i="284"/>
  <c r="O74" i="284" s="1"/>
  <c r="M16" i="285"/>
  <c r="O16" i="285" s="1"/>
  <c r="P26" i="285"/>
  <c r="P34" i="285"/>
  <c r="M35" i="285"/>
  <c r="O35" i="285" s="1"/>
  <c r="T48" i="285"/>
  <c r="M71" i="285"/>
  <c r="T71" i="285" s="1"/>
  <c r="U71" i="285" s="1"/>
  <c r="V72" i="285"/>
  <c r="AN72" i="285"/>
  <c r="AU72" i="285" s="1"/>
  <c r="P84" i="285"/>
  <c r="P96" i="285"/>
  <c r="O104" i="285"/>
  <c r="U104" i="285"/>
  <c r="M113" i="285"/>
  <c r="T113" i="285" s="1"/>
  <c r="U113" i="285" s="1"/>
  <c r="W19" i="288"/>
  <c r="AN19" i="288"/>
  <c r="M20" i="288"/>
  <c r="O20" i="288" s="1"/>
  <c r="M21" i="288"/>
  <c r="O21" i="288" s="1"/>
  <c r="P42" i="290"/>
  <c r="H6" i="97"/>
  <c r="C10" i="97"/>
  <c r="G10" i="97"/>
  <c r="W10" i="97"/>
  <c r="H10" i="97"/>
  <c r="K12" i="306"/>
  <c r="K14" i="306" s="1"/>
  <c r="L8" i="282"/>
  <c r="L14" i="282" s="1"/>
  <c r="J15" i="12" s="1"/>
  <c r="P12" i="282"/>
  <c r="L9" i="306"/>
  <c r="L11" i="306" s="1"/>
  <c r="D10" i="306"/>
  <c r="F13" i="282"/>
  <c r="F10" i="306" s="1"/>
  <c r="F11" i="306" s="1"/>
  <c r="S11" i="306"/>
  <c r="J19" i="306"/>
  <c r="P8" i="284"/>
  <c r="P10" i="284"/>
  <c r="P18" i="284"/>
  <c r="M24" i="284"/>
  <c r="T24" i="284" s="1"/>
  <c r="U24" i="284" s="1"/>
  <c r="P33" i="284"/>
  <c r="V35" i="284"/>
  <c r="AN35" i="284"/>
  <c r="V38" i="284"/>
  <c r="AN38" i="284"/>
  <c r="P42" i="284"/>
  <c r="P47" i="284"/>
  <c r="P52" i="284"/>
  <c r="M12" i="285"/>
  <c r="T12" i="285" s="1"/>
  <c r="U12" i="285" s="1"/>
  <c r="P20" i="285"/>
  <c r="P22" i="285"/>
  <c r="P24" i="285"/>
  <c r="T25" i="285"/>
  <c r="U25" i="285" s="1"/>
  <c r="M25" i="285"/>
  <c r="V27" i="285"/>
  <c r="AN27" i="285"/>
  <c r="AU27" i="285" s="1"/>
  <c r="P33" i="285"/>
  <c r="T36" i="285"/>
  <c r="U36" i="285" s="1"/>
  <c r="M36" i="285"/>
  <c r="O36" i="285" s="1"/>
  <c r="V38" i="285"/>
  <c r="AN38" i="285"/>
  <c r="AU38" i="285" s="1"/>
  <c r="P58" i="285"/>
  <c r="T59" i="285"/>
  <c r="U59" i="285" s="1"/>
  <c r="M59" i="285"/>
  <c r="O59" i="285" s="1"/>
  <c r="O63" i="285"/>
  <c r="AN75" i="285"/>
  <c r="AU75" i="285" s="1"/>
  <c r="V75" i="285"/>
  <c r="P78" i="285"/>
  <c r="AN88" i="285"/>
  <c r="AU88" i="285" s="1"/>
  <c r="P94" i="285"/>
  <c r="P112" i="285"/>
  <c r="Q121" i="285"/>
  <c r="Q122" i="285" s="1"/>
  <c r="S117" i="285"/>
  <c r="T8" i="286"/>
  <c r="U8" i="286" s="1"/>
  <c r="M8" i="286"/>
  <c r="M10" i="286"/>
  <c r="T10" i="286" s="1"/>
  <c r="U10" i="286" s="1"/>
  <c r="T16" i="288"/>
  <c r="U16" i="288" s="1"/>
  <c r="M16" i="288"/>
  <c r="O16" i="288" s="1"/>
  <c r="P5" i="282"/>
  <c r="D14" i="282"/>
  <c r="B15" i="12" s="1"/>
  <c r="K10" i="306"/>
  <c r="K11" i="306" s="1"/>
  <c r="K17" i="306"/>
  <c r="AR16" i="296"/>
  <c r="P6" i="284"/>
  <c r="AO6" i="284"/>
  <c r="AO84" i="284" s="1"/>
  <c r="AL7" i="296" s="1"/>
  <c r="O12" i="284"/>
  <c r="AL84" i="284"/>
  <c r="AI7" i="296" s="1"/>
  <c r="AM15" i="284"/>
  <c r="AO15" i="284" s="1"/>
  <c r="T17" i="284"/>
  <c r="U17" i="284" s="1"/>
  <c r="T22" i="284"/>
  <c r="U22" i="284" s="1"/>
  <c r="O25" i="284"/>
  <c r="P32" i="284"/>
  <c r="O36" i="284"/>
  <c r="U37" i="284"/>
  <c r="O44" i="284"/>
  <c r="P46" i="284"/>
  <c r="O53" i="284"/>
  <c r="T62" i="284"/>
  <c r="U62" i="284" s="1"/>
  <c r="U66" i="284"/>
  <c r="O67" i="284"/>
  <c r="O71" i="284"/>
  <c r="O80" i="284"/>
  <c r="T6" i="285"/>
  <c r="G105" i="285"/>
  <c r="T18" i="285"/>
  <c r="U18" i="285" s="1"/>
  <c r="P31" i="285"/>
  <c r="T37" i="285"/>
  <c r="U37" i="285" s="1"/>
  <c r="P43" i="285"/>
  <c r="P45" i="285"/>
  <c r="O46" i="285"/>
  <c r="O47" i="285"/>
  <c r="O51" i="285"/>
  <c r="U61" i="285"/>
  <c r="P65" i="285"/>
  <c r="M66" i="285"/>
  <c r="P68" i="285"/>
  <c r="O72" i="285"/>
  <c r="F72" i="285"/>
  <c r="P79" i="285"/>
  <c r="V82" i="285"/>
  <c r="P83" i="285"/>
  <c r="V91" i="285"/>
  <c r="AW99" i="285"/>
  <c r="AW105" i="285" s="1"/>
  <c r="AM99" i="285"/>
  <c r="AO99" i="285" s="1"/>
  <c r="AO105" i="285" s="1"/>
  <c r="O101" i="285"/>
  <c r="AI122" i="285"/>
  <c r="T12" i="286"/>
  <c r="U12" i="286" s="1"/>
  <c r="M12" i="286"/>
  <c r="W19" i="286"/>
  <c r="AN19" i="286"/>
  <c r="W48" i="286"/>
  <c r="AN48" i="286"/>
  <c r="P49" i="286"/>
  <c r="P54" i="286"/>
  <c r="U10" i="289"/>
  <c r="N15" i="289"/>
  <c r="V7" i="292"/>
  <c r="AN7" i="292"/>
  <c r="F16" i="293"/>
  <c r="P6" i="282"/>
  <c r="C19" i="296"/>
  <c r="K19" i="296"/>
  <c r="AA19" i="296"/>
  <c r="O13" i="284"/>
  <c r="P16" i="284"/>
  <c r="U20" i="284"/>
  <c r="O24" i="284"/>
  <c r="F24" i="284"/>
  <c r="P30" i="284"/>
  <c r="T41" i="284"/>
  <c r="U41" i="284" s="1"/>
  <c r="P75" i="284"/>
  <c r="M76" i="284"/>
  <c r="O76" i="284" s="1"/>
  <c r="M77" i="284"/>
  <c r="O77" i="284" s="1"/>
  <c r="T82" i="284"/>
  <c r="U82" i="284" s="1"/>
  <c r="L84" i="284"/>
  <c r="P21" i="285"/>
  <c r="P23" i="285"/>
  <c r="U29" i="285"/>
  <c r="U48" i="285"/>
  <c r="O55" i="285"/>
  <c r="F55" i="285"/>
  <c r="P56" i="285"/>
  <c r="T60" i="285"/>
  <c r="U60" i="285" s="1"/>
  <c r="P62" i="285"/>
  <c r="M69" i="285"/>
  <c r="T69" i="285" s="1"/>
  <c r="U69" i="285" s="1"/>
  <c r="P77" i="285"/>
  <c r="M80" i="285"/>
  <c r="M81" i="285"/>
  <c r="O81" i="285" s="1"/>
  <c r="P85" i="285"/>
  <c r="P92" i="285"/>
  <c r="O93" i="285"/>
  <c r="O95" i="285"/>
  <c r="O99" i="285"/>
  <c r="T101" i="285"/>
  <c r="U101" i="285" s="1"/>
  <c r="M101" i="285"/>
  <c r="P102" i="285"/>
  <c r="K121" i="285"/>
  <c r="K122" i="285" s="1"/>
  <c r="L123" i="285" s="1"/>
  <c r="G122" i="285"/>
  <c r="AM121" i="285"/>
  <c r="S121" i="285"/>
  <c r="S122" i="285" s="1"/>
  <c r="T117" i="285"/>
  <c r="U117" i="285" s="1"/>
  <c r="M117" i="285"/>
  <c r="P119" i="285"/>
  <c r="T120" i="285"/>
  <c r="U120" i="285" s="1"/>
  <c r="AR122" i="285"/>
  <c r="O8" i="286"/>
  <c r="W35" i="286"/>
  <c r="AN35" i="286"/>
  <c r="P38" i="286"/>
  <c r="T60" i="286"/>
  <c r="U60" i="286" s="1"/>
  <c r="M60" i="286"/>
  <c r="L8" i="288"/>
  <c r="P8" i="288" s="1"/>
  <c r="K27" i="288"/>
  <c r="L28" i="288" s="1"/>
  <c r="T17" i="288"/>
  <c r="U17" i="288" s="1"/>
  <c r="M17" i="288"/>
  <c r="O17" i="288" s="1"/>
  <c r="T23" i="288"/>
  <c r="U23" i="288" s="1"/>
  <c r="M23" i="288"/>
  <c r="O23" i="288" s="1"/>
  <c r="F9" i="282"/>
  <c r="F13" i="306" s="1"/>
  <c r="F14" i="306" s="1"/>
  <c r="S84" i="284"/>
  <c r="M7" i="284"/>
  <c r="O7" i="284" s="1"/>
  <c r="T12" i="284"/>
  <c r="U12" i="284" s="1"/>
  <c r="T13" i="284"/>
  <c r="U13" i="284" s="1"/>
  <c r="M13" i="284"/>
  <c r="T25" i="284"/>
  <c r="U25" i="284" s="1"/>
  <c r="M26" i="284"/>
  <c r="T26" i="284" s="1"/>
  <c r="U26" i="284" s="1"/>
  <c r="O29" i="284"/>
  <c r="F29" i="284"/>
  <c r="F84" i="284" s="1"/>
  <c r="U29" i="284"/>
  <c r="O37" i="284"/>
  <c r="O38" i="284"/>
  <c r="F38" i="284"/>
  <c r="P40" i="284"/>
  <c r="T44" i="284"/>
  <c r="U44" i="284" s="1"/>
  <c r="O48" i="284"/>
  <c r="T58" i="284"/>
  <c r="U58" i="284" s="1"/>
  <c r="M58" i="284"/>
  <c r="O58" i="284" s="1"/>
  <c r="U61" i="284"/>
  <c r="O65" i="284"/>
  <c r="T67" i="284"/>
  <c r="U67" i="284" s="1"/>
  <c r="M68" i="284"/>
  <c r="O68" i="284" s="1"/>
  <c r="M72" i="284"/>
  <c r="O72" i="284" s="1"/>
  <c r="O78" i="284"/>
  <c r="O83" i="284"/>
  <c r="U83" i="284"/>
  <c r="F105" i="285"/>
  <c r="AM105" i="285"/>
  <c r="M9" i="285"/>
  <c r="T9" i="285" s="1"/>
  <c r="U9" i="285" s="1"/>
  <c r="M13" i="285"/>
  <c r="O13" i="285" s="1"/>
  <c r="O25" i="285"/>
  <c r="D105" i="285"/>
  <c r="D122" i="285" s="1"/>
  <c r="P30" i="285"/>
  <c r="O32" i="285"/>
  <c r="P44" i="285"/>
  <c r="T47" i="285"/>
  <c r="U47" i="285" s="1"/>
  <c r="O49" i="285"/>
  <c r="T50" i="285"/>
  <c r="U50" i="285" s="1"/>
  <c r="M50" i="285"/>
  <c r="O50" i="285" s="1"/>
  <c r="T64" i="285"/>
  <c r="U64" i="285" s="1"/>
  <c r="O71" i="285"/>
  <c r="P73" i="285"/>
  <c r="M74" i="285"/>
  <c r="O74" i="285" s="1"/>
  <c r="P76" i="285"/>
  <c r="O90" i="285"/>
  <c r="T93" i="285"/>
  <c r="U93" i="285" s="1"/>
  <c r="M93" i="285"/>
  <c r="T95" i="285"/>
  <c r="U95" i="285" s="1"/>
  <c r="M95" i="285"/>
  <c r="T97" i="285"/>
  <c r="U97" i="285" s="1"/>
  <c r="M97" i="285"/>
  <c r="O97" i="285" s="1"/>
  <c r="T99" i="285"/>
  <c r="U99" i="285" s="1"/>
  <c r="M99" i="285"/>
  <c r="L121" i="285"/>
  <c r="L122" i="285" s="1"/>
  <c r="P108" i="285"/>
  <c r="O109" i="285"/>
  <c r="O113" i="285"/>
  <c r="V115" i="285"/>
  <c r="AN115" i="285"/>
  <c r="AU115" i="285" s="1"/>
  <c r="S66" i="286"/>
  <c r="P9" i="286"/>
  <c r="N66" i="286"/>
  <c r="P16" i="286"/>
  <c r="T17" i="286"/>
  <c r="U17" i="286" s="1"/>
  <c r="M17" i="286"/>
  <c r="O17" i="286" s="1"/>
  <c r="T26" i="288"/>
  <c r="U26" i="288" s="1"/>
  <c r="M26" i="288"/>
  <c r="O26" i="288" s="1"/>
  <c r="T7" i="289"/>
  <c r="U7" i="289" s="1"/>
  <c r="M7" i="289"/>
  <c r="O7" i="289" s="1"/>
  <c r="T8" i="289"/>
  <c r="U8" i="289" s="1"/>
  <c r="M8" i="289"/>
  <c r="P14" i="289"/>
  <c r="T15" i="293"/>
  <c r="U15" i="293" s="1"/>
  <c r="M15" i="293"/>
  <c r="O15" i="293" s="1"/>
  <c r="T66" i="285"/>
  <c r="U66" i="285" s="1"/>
  <c r="T80" i="285"/>
  <c r="U80" i="285" s="1"/>
  <c r="M110" i="285"/>
  <c r="O110" i="285" s="1"/>
  <c r="O117" i="285"/>
  <c r="T118" i="285"/>
  <c r="U118" i="285" s="1"/>
  <c r="L6" i="286"/>
  <c r="K66" i="286"/>
  <c r="L67" i="286" s="1"/>
  <c r="T14" i="286"/>
  <c r="P15" i="286"/>
  <c r="M20" i="286"/>
  <c r="T20" i="286" s="1"/>
  <c r="U20" i="286" s="1"/>
  <c r="P25" i="286"/>
  <c r="P33" i="286"/>
  <c r="P51" i="286"/>
  <c r="P56" i="286"/>
  <c r="M57" i="286"/>
  <c r="O57" i="286" s="1"/>
  <c r="T61" i="286"/>
  <c r="M61" i="286"/>
  <c r="P9" i="287"/>
  <c r="M13" i="288"/>
  <c r="O13" i="288" s="1"/>
  <c r="T6" i="289"/>
  <c r="M6" i="289"/>
  <c r="AP15" i="289"/>
  <c r="T7" i="290"/>
  <c r="U7" i="290" s="1"/>
  <c r="P8" i="290"/>
  <c r="V28" i="290"/>
  <c r="AN28" i="290"/>
  <c r="T32" i="290"/>
  <c r="U32" i="290" s="1"/>
  <c r="M32" i="290"/>
  <c r="T34" i="290"/>
  <c r="U34" i="290" s="1"/>
  <c r="M34" i="290"/>
  <c r="O34" i="290" s="1"/>
  <c r="P12" i="291"/>
  <c r="P9" i="293"/>
  <c r="P10" i="293"/>
  <c r="P13" i="293"/>
  <c r="O20" i="284"/>
  <c r="O61" i="284"/>
  <c r="O66" i="284"/>
  <c r="O81" i="284"/>
  <c r="N105" i="285"/>
  <c r="N122" i="285" s="1"/>
  <c r="O29" i="285"/>
  <c r="O42" i="285"/>
  <c r="O48" i="285"/>
  <c r="O61" i="285"/>
  <c r="O70" i="285"/>
  <c r="O86" i="285"/>
  <c r="AK105" i="285"/>
  <c r="AO110" i="285"/>
  <c r="AO121" i="285" s="1"/>
  <c r="AL121" i="285"/>
  <c r="AL122" i="285" s="1"/>
  <c r="AI8" i="296" s="1"/>
  <c r="F117" i="285"/>
  <c r="F121" i="285" s="1"/>
  <c r="F122" i="285" s="1"/>
  <c r="AK121" i="285"/>
  <c r="AK122" i="285" s="1"/>
  <c r="AM66" i="286"/>
  <c r="AP6" i="286"/>
  <c r="P7" i="286"/>
  <c r="O12" i="286"/>
  <c r="P27" i="286"/>
  <c r="M28" i="286"/>
  <c r="T28" i="286"/>
  <c r="U28" i="286" s="1"/>
  <c r="P29" i="286"/>
  <c r="P34" i="286"/>
  <c r="P42" i="286"/>
  <c r="T46" i="286"/>
  <c r="U46" i="286" s="1"/>
  <c r="P55" i="286"/>
  <c r="M58" i="286"/>
  <c r="O58" i="286" s="1"/>
  <c r="AP7" i="288"/>
  <c r="AP27" i="288" s="1"/>
  <c r="AM27" i="288"/>
  <c r="T12" i="288"/>
  <c r="U12" i="288" s="1"/>
  <c r="O15" i="288"/>
  <c r="T15" i="288"/>
  <c r="U15" i="288" s="1"/>
  <c r="T22" i="288"/>
  <c r="U22" i="288" s="1"/>
  <c r="M24" i="288"/>
  <c r="O24" i="288" s="1"/>
  <c r="T24" i="288"/>
  <c r="U24" i="288" s="1"/>
  <c r="P28" i="288"/>
  <c r="O8" i="289"/>
  <c r="T11" i="289"/>
  <c r="T18" i="290"/>
  <c r="U18" i="290" s="1"/>
  <c r="M18" i="290"/>
  <c r="O18" i="290" s="1"/>
  <c r="P21" i="290"/>
  <c r="T29" i="290"/>
  <c r="U29" i="290" s="1"/>
  <c r="M29" i="290"/>
  <c r="O29" i="290" s="1"/>
  <c r="M31" i="290"/>
  <c r="O31" i="290" s="1"/>
  <c r="T33" i="290"/>
  <c r="U33" i="290" s="1"/>
  <c r="M33" i="290"/>
  <c r="O33" i="290" s="1"/>
  <c r="T8" i="291"/>
  <c r="U8" i="291" s="1"/>
  <c r="P9" i="291"/>
  <c r="P14" i="291"/>
  <c r="AP16" i="293"/>
  <c r="T9" i="295"/>
  <c r="U9" i="295" s="1"/>
  <c r="M9" i="295"/>
  <c r="O9" i="295" s="1"/>
  <c r="AC40" i="297"/>
  <c r="P40" i="297"/>
  <c r="F53" i="284"/>
  <c r="O66" i="285"/>
  <c r="M67" i="285"/>
  <c r="T67" i="285" s="1"/>
  <c r="U67" i="285" s="1"/>
  <c r="O69" i="285"/>
  <c r="M70" i="285"/>
  <c r="T70" i="285" s="1"/>
  <c r="U70" i="285" s="1"/>
  <c r="O75" i="285"/>
  <c r="O80" i="285"/>
  <c r="O82" i="285"/>
  <c r="U86" i="285"/>
  <c r="M89" i="285"/>
  <c r="O89" i="285" s="1"/>
  <c r="O91" i="285"/>
  <c r="M100" i="285"/>
  <c r="O100" i="285" s="1"/>
  <c r="O111" i="285"/>
  <c r="P114" i="285"/>
  <c r="O118" i="285"/>
  <c r="O120" i="285"/>
  <c r="AH122" i="285"/>
  <c r="P11" i="286"/>
  <c r="T13" i="286"/>
  <c r="U13" i="286" s="1"/>
  <c r="M14" i="286"/>
  <c r="P21" i="286"/>
  <c r="P22" i="286"/>
  <c r="M23" i="286"/>
  <c r="T23" i="286" s="1"/>
  <c r="U23" i="286" s="1"/>
  <c r="P24" i="286"/>
  <c r="P30" i="286"/>
  <c r="T32" i="286"/>
  <c r="U32" i="286" s="1"/>
  <c r="O35" i="286"/>
  <c r="F35" i="286"/>
  <c r="T36" i="286"/>
  <c r="U36" i="286" s="1"/>
  <c r="M36" i="286"/>
  <c r="O36" i="286" s="1"/>
  <c r="P39" i="286"/>
  <c r="P40" i="286"/>
  <c r="P47" i="286"/>
  <c r="M52" i="286"/>
  <c r="O52" i="286" s="1"/>
  <c r="T59" i="286"/>
  <c r="U59" i="286" s="1"/>
  <c r="O60" i="286"/>
  <c r="O61" i="286"/>
  <c r="AN62" i="286"/>
  <c r="M63" i="286"/>
  <c r="O63" i="286" s="1"/>
  <c r="P64" i="286"/>
  <c r="M14" i="288"/>
  <c r="O14" i="288" s="1"/>
  <c r="M18" i="288"/>
  <c r="O18" i="288" s="1"/>
  <c r="L15" i="289"/>
  <c r="O6" i="289"/>
  <c r="K43" i="290"/>
  <c r="L44" i="290" s="1"/>
  <c r="P44" i="290" s="1"/>
  <c r="L6" i="290"/>
  <c r="P11" i="290"/>
  <c r="T13" i="290"/>
  <c r="T17" i="290"/>
  <c r="U17" i="290" s="1"/>
  <c r="V26" i="290"/>
  <c r="AN26" i="290"/>
  <c r="M30" i="290"/>
  <c r="T30" i="290" s="1"/>
  <c r="U30" i="290" s="1"/>
  <c r="P37" i="290"/>
  <c r="Q38" i="297"/>
  <c r="AC38" i="297"/>
  <c r="O20" i="286"/>
  <c r="M26" i="286"/>
  <c r="O26" i="286" s="1"/>
  <c r="O28" i="286"/>
  <c r="F28" i="286"/>
  <c r="T37" i="286"/>
  <c r="U37" i="286" s="1"/>
  <c r="T41" i="286"/>
  <c r="U41" i="286" s="1"/>
  <c r="P45" i="286"/>
  <c r="P50" i="286"/>
  <c r="P53" i="286"/>
  <c r="N8" i="287"/>
  <c r="O6" i="287"/>
  <c r="O8" i="287" s="1"/>
  <c r="L27" i="288"/>
  <c r="P6" i="288"/>
  <c r="T25" i="288"/>
  <c r="U25" i="288" s="1"/>
  <c r="K15" i="289"/>
  <c r="L16" i="289" s="1"/>
  <c r="U11" i="289"/>
  <c r="T12" i="289"/>
  <c r="U12" i="289" s="1"/>
  <c r="M12" i="289"/>
  <c r="AP43" i="290"/>
  <c r="V12" i="290"/>
  <c r="AN12" i="290"/>
  <c r="M14" i="290"/>
  <c r="O14" i="290" s="1"/>
  <c r="T14" i="290"/>
  <c r="U14" i="290" s="1"/>
  <c r="M20" i="290"/>
  <c r="O20" i="290" s="1"/>
  <c r="T22" i="290"/>
  <c r="T40" i="290"/>
  <c r="U40" i="290" s="1"/>
  <c r="M40" i="290"/>
  <c r="O40" i="290" s="1"/>
  <c r="F20" i="291"/>
  <c r="P17" i="291"/>
  <c r="M7" i="288"/>
  <c r="F27" i="288"/>
  <c r="T9" i="288"/>
  <c r="U9" i="288" s="1"/>
  <c r="M9" i="288"/>
  <c r="O9" i="288" s="1"/>
  <c r="T11" i="288"/>
  <c r="U11" i="288" s="1"/>
  <c r="M11" i="288"/>
  <c r="O11" i="288" s="1"/>
  <c r="S15" i="289"/>
  <c r="O10" i="289"/>
  <c r="O12" i="289"/>
  <c r="T13" i="289"/>
  <c r="U13" i="289" s="1"/>
  <c r="P16" i="289"/>
  <c r="AM43" i="290"/>
  <c r="U22" i="290"/>
  <c r="P24" i="290"/>
  <c r="P27" i="290"/>
  <c r="O32" i="290"/>
  <c r="M38" i="290"/>
  <c r="T38" i="290" s="1"/>
  <c r="U38" i="290" s="1"/>
  <c r="P16" i="291"/>
  <c r="T18" i="291"/>
  <c r="U18" i="291" s="1"/>
  <c r="M18" i="291"/>
  <c r="O18" i="291" s="1"/>
  <c r="U8" i="292"/>
  <c r="T12" i="295"/>
  <c r="U12" i="295" s="1"/>
  <c r="M12" i="295"/>
  <c r="AC11" i="297"/>
  <c r="P11" i="297"/>
  <c r="I25" i="297"/>
  <c r="AC34" i="297"/>
  <c r="Q34" i="297"/>
  <c r="D66" i="286"/>
  <c r="O10" i="286"/>
  <c r="O13" i="286"/>
  <c r="O14" i="286"/>
  <c r="F14" i="286"/>
  <c r="U14" i="286"/>
  <c r="AE66" i="286"/>
  <c r="AM14" i="286"/>
  <c r="AP14" i="286" s="1"/>
  <c r="P18" i="286"/>
  <c r="T31" i="286"/>
  <c r="U31" i="286" s="1"/>
  <c r="U61" i="286"/>
  <c r="T65" i="286"/>
  <c r="U65" i="286" s="1"/>
  <c r="T6" i="287"/>
  <c r="T7" i="287"/>
  <c r="U7" i="287" s="1"/>
  <c r="W7" i="287" s="1"/>
  <c r="D15" i="289"/>
  <c r="P9" i="289"/>
  <c r="AO43" i="290"/>
  <c r="T9" i="290"/>
  <c r="U9" i="290" s="1"/>
  <c r="P10" i="290"/>
  <c r="U13" i="290"/>
  <c r="T15" i="290"/>
  <c r="U15" i="290" s="1"/>
  <c r="M15" i="290"/>
  <c r="O15" i="290" s="1"/>
  <c r="O17" i="290"/>
  <c r="F17" i="290"/>
  <c r="T23" i="290"/>
  <c r="U23" i="290" s="1"/>
  <c r="M23" i="290"/>
  <c r="O23" i="290" s="1"/>
  <c r="U25" i="290"/>
  <c r="O38" i="290"/>
  <c r="T39" i="290"/>
  <c r="U39" i="290" s="1"/>
  <c r="N43" i="290"/>
  <c r="M10" i="291"/>
  <c r="O10" i="291" s="1"/>
  <c r="P13" i="291"/>
  <c r="N12" i="292"/>
  <c r="S16" i="293"/>
  <c r="N16" i="293"/>
  <c r="O12" i="293"/>
  <c r="F21" i="294"/>
  <c r="M61" i="297"/>
  <c r="O59" i="297"/>
  <c r="Q76" i="297"/>
  <c r="Q78" i="297" s="1"/>
  <c r="AC76" i="297"/>
  <c r="D43" i="290"/>
  <c r="T36" i="290"/>
  <c r="U36" i="290" s="1"/>
  <c r="P41" i="290"/>
  <c r="T11" i="291"/>
  <c r="U11" i="291" s="1"/>
  <c r="T15" i="291"/>
  <c r="U15" i="291" s="1"/>
  <c r="T19" i="291"/>
  <c r="U19" i="291" s="1"/>
  <c r="P9" i="292"/>
  <c r="P12" i="292" s="1"/>
  <c r="P11" i="293"/>
  <c r="T14" i="293"/>
  <c r="L21" i="294"/>
  <c r="P6" i="294"/>
  <c r="AO21" i="294"/>
  <c r="P7" i="294"/>
  <c r="M8" i="294"/>
  <c r="O8" i="294" s="1"/>
  <c r="P10" i="294"/>
  <c r="P11" i="294"/>
  <c r="M12" i="294"/>
  <c r="O12" i="294" s="1"/>
  <c r="P14" i="294"/>
  <c r="P15" i="294"/>
  <c r="M16" i="294"/>
  <c r="O16" i="294" s="1"/>
  <c r="P18" i="294"/>
  <c r="P19" i="294"/>
  <c r="U8" i="295"/>
  <c r="T10" i="295"/>
  <c r="U10" i="295" s="1"/>
  <c r="M10" i="295"/>
  <c r="V11" i="295"/>
  <c r="AN11" i="295"/>
  <c r="I104" i="297"/>
  <c r="I117" i="297" s="1"/>
  <c r="F56" i="297"/>
  <c r="H30" i="297"/>
  <c r="K30" i="297"/>
  <c r="P50" i="297"/>
  <c r="AC50" i="297"/>
  <c r="P66" i="297"/>
  <c r="AC66" i="297"/>
  <c r="P93" i="297"/>
  <c r="P94" i="297" s="1"/>
  <c r="F8" i="286"/>
  <c r="F66" i="286" s="1"/>
  <c r="O7" i="290"/>
  <c r="O9" i="290"/>
  <c r="O12" i="290"/>
  <c r="F12" i="290"/>
  <c r="F43" i="290" s="1"/>
  <c r="O13" i="290"/>
  <c r="P16" i="290"/>
  <c r="P19" i="290"/>
  <c r="O30" i="290"/>
  <c r="P35" i="290"/>
  <c r="L20" i="291"/>
  <c r="AP20" i="291"/>
  <c r="P7" i="291"/>
  <c r="O8" i="291"/>
  <c r="AO12" i="292"/>
  <c r="P10" i="292"/>
  <c r="T7" i="293"/>
  <c r="U7" i="293" s="1"/>
  <c r="M7" i="293"/>
  <c r="O7" i="293" s="1"/>
  <c r="U14" i="293"/>
  <c r="P22" i="294"/>
  <c r="O13" i="295"/>
  <c r="F13" i="295"/>
  <c r="D15" i="295"/>
  <c r="AC49" i="297"/>
  <c r="P49" i="297"/>
  <c r="O22" i="290"/>
  <c r="O25" i="290"/>
  <c r="O39" i="290"/>
  <c r="K20" i="291"/>
  <c r="L21" i="291" s="1"/>
  <c r="P21" i="291" s="1"/>
  <c r="P6" i="291"/>
  <c r="P8" i="293"/>
  <c r="K16" i="293"/>
  <c r="L18" i="293" s="1"/>
  <c r="S21" i="294"/>
  <c r="P9" i="294"/>
  <c r="P13" i="294"/>
  <c r="P17" i="294"/>
  <c r="T20" i="294"/>
  <c r="U20" i="294" s="1"/>
  <c r="M20" i="294"/>
  <c r="O20" i="294" s="1"/>
  <c r="K15" i="295"/>
  <c r="L16" i="295" s="1"/>
  <c r="P16" i="295" s="1"/>
  <c r="L6" i="295"/>
  <c r="T13" i="295"/>
  <c r="U13" i="295" s="1"/>
  <c r="M14" i="295"/>
  <c r="T14" i="295" s="1"/>
  <c r="AD12" i="297"/>
  <c r="AD104" i="297" s="1"/>
  <c r="D25" i="40" s="1"/>
  <c r="U104" i="297"/>
  <c r="AB12" i="297"/>
  <c r="O18" i="297"/>
  <c r="M25" i="297"/>
  <c r="M21" i="297"/>
  <c r="L25" i="297"/>
  <c r="L104" i="297" s="1"/>
  <c r="L117" i="297" s="1"/>
  <c r="AB22" i="297"/>
  <c r="AC22" i="297" s="1"/>
  <c r="Z25" i="297"/>
  <c r="Z104" i="297" s="1"/>
  <c r="O28" i="297"/>
  <c r="Q32" i="297"/>
  <c r="AC32" i="297"/>
  <c r="S20" i="291"/>
  <c r="AM20" i="291"/>
  <c r="T6" i="292"/>
  <c r="U6" i="292" s="1"/>
  <c r="T8" i="292"/>
  <c r="P11" i="292"/>
  <c r="P6" i="293"/>
  <c r="L16" i="293"/>
  <c r="P18" i="293" s="1"/>
  <c r="T12" i="293"/>
  <c r="U12" i="293" s="1"/>
  <c r="AM21" i="294"/>
  <c r="M7" i="295"/>
  <c r="O7" i="295" s="1"/>
  <c r="O10" i="295"/>
  <c r="AC10" i="297"/>
  <c r="AC12" i="297" s="1"/>
  <c r="P10" i="297"/>
  <c r="J104" i="297"/>
  <c r="J117" i="297" s="1"/>
  <c r="O25" i="297"/>
  <c r="AC17" i="297"/>
  <c r="P17" i="297"/>
  <c r="Y104" i="297"/>
  <c r="C56" i="297"/>
  <c r="H36" i="297"/>
  <c r="K36" i="297"/>
  <c r="AC37" i="297"/>
  <c r="Q37" i="297"/>
  <c r="AC41" i="297"/>
  <c r="P41" i="297"/>
  <c r="P42" i="297"/>
  <c r="AC42" i="297"/>
  <c r="P52" i="297"/>
  <c r="AC52" i="297"/>
  <c r="O6" i="292"/>
  <c r="O14" i="293"/>
  <c r="AP15" i="295"/>
  <c r="AM15" i="295"/>
  <c r="M12" i="297"/>
  <c r="AE28" i="297"/>
  <c r="J56" i="297"/>
  <c r="M30" i="297"/>
  <c r="O30" i="297" s="1"/>
  <c r="C31" i="297"/>
  <c r="C32" i="297" s="1"/>
  <c r="C33" i="297" s="1"/>
  <c r="C34" i="297" s="1"/>
  <c r="C35" i="297" s="1"/>
  <c r="C36" i="297" s="1"/>
  <c r="C37" i="297" s="1"/>
  <c r="C38" i="297" s="1"/>
  <c r="C39" i="297" s="1"/>
  <c r="C40" i="297" s="1"/>
  <c r="C41" i="297" s="1"/>
  <c r="C42" i="297" s="1"/>
  <c r="C43" i="297" s="1"/>
  <c r="C44" i="297" s="1"/>
  <c r="C45" i="297" s="1"/>
  <c r="C46" i="297" s="1"/>
  <c r="C47" i="297" s="1"/>
  <c r="C48" i="297" s="1"/>
  <c r="C49" i="297" s="1"/>
  <c r="C50" i="297" s="1"/>
  <c r="C51" i="297" s="1"/>
  <c r="C52" i="297" s="1"/>
  <c r="C53" i="297" s="1"/>
  <c r="C54" i="297" s="1"/>
  <c r="C55" i="297" s="1"/>
  <c r="P53" i="297"/>
  <c r="AC53" i="297"/>
  <c r="AA55" i="297"/>
  <c r="P55" i="297"/>
  <c r="M72" i="297"/>
  <c r="P65" i="297"/>
  <c r="P72" i="297" s="1"/>
  <c r="O72" i="297"/>
  <c r="P71" i="297"/>
  <c r="AC71" i="297"/>
  <c r="AC72" i="297" s="1"/>
  <c r="F15" i="295"/>
  <c r="S15" i="295"/>
  <c r="O8" i="295"/>
  <c r="O12" i="295"/>
  <c r="U14" i="295"/>
  <c r="O12" i="297"/>
  <c r="P8" i="297"/>
  <c r="P12" i="297" s="1"/>
  <c r="AG104" i="297"/>
  <c r="I25" i="40" s="1"/>
  <c r="K25" i="297"/>
  <c r="AB25" i="297"/>
  <c r="AD15" i="297"/>
  <c r="AD25" i="297" s="1"/>
  <c r="AC16" i="297"/>
  <c r="F25" i="297"/>
  <c r="F104" i="297" s="1"/>
  <c r="F117" i="297" s="1"/>
  <c r="H20" i="297"/>
  <c r="H25" i="297" s="1"/>
  <c r="H104" i="297" s="1"/>
  <c r="H117" i="297" s="1"/>
  <c r="H56" i="297"/>
  <c r="K32" i="297"/>
  <c r="K56" i="297" s="1"/>
  <c r="O86" i="297"/>
  <c r="AC85" i="297"/>
  <c r="AC86" i="297" s="1"/>
  <c r="O14" i="295"/>
  <c r="K9" i="297"/>
  <c r="K12" i="297" s="1"/>
  <c r="AC15" i="297"/>
  <c r="AC54" i="297"/>
  <c r="C72" i="297"/>
  <c r="C66" i="297"/>
  <c r="C67" i="297" s="1"/>
  <c r="C68" i="297" s="1"/>
  <c r="C69" i="297" s="1"/>
  <c r="C70" i="297" s="1"/>
  <c r="C71" i="297" s="1"/>
  <c r="AE72" i="297"/>
  <c r="AB72" i="297"/>
  <c r="M78" i="297"/>
  <c r="O75" i="297"/>
  <c r="F78" i="297"/>
  <c r="K76" i="297"/>
  <c r="K78" i="297" s="1"/>
  <c r="K77" i="297"/>
  <c r="M82" i="297"/>
  <c r="O81" i="297"/>
  <c r="O90" i="297"/>
  <c r="AC89" i="297"/>
  <c r="AC90" i="297" s="1"/>
  <c r="AB90" i="297"/>
  <c r="M102" i="297"/>
  <c r="O101" i="297"/>
  <c r="G104" i="297"/>
  <c r="G117" i="297" s="1"/>
  <c r="S104" i="297"/>
  <c r="S117" i="297" s="1"/>
  <c r="X104" i="297"/>
  <c r="AC43" i="297"/>
  <c r="K49" i="297"/>
  <c r="AB78" i="297"/>
  <c r="AE75" i="297"/>
  <c r="AE78" i="297" s="1"/>
  <c r="AB82" i="297"/>
  <c r="C77" i="297"/>
  <c r="C78" i="297" s="1"/>
  <c r="AC93" i="297"/>
  <c r="AC94" i="297" s="1"/>
  <c r="F19" i="296"/>
  <c r="N19" i="296"/>
  <c r="V19" i="296"/>
  <c r="AM19" i="296"/>
  <c r="E23" i="40" s="1"/>
  <c r="E24" i="40" s="1"/>
  <c r="O7" i="299"/>
  <c r="O27" i="308"/>
  <c r="B16" i="12"/>
  <c r="F27" i="308"/>
  <c r="F112" i="274"/>
  <c r="C7" i="97"/>
  <c r="C16" i="12"/>
  <c r="C29" i="97" s="1"/>
  <c r="E19" i="296"/>
  <c r="M19" i="296"/>
  <c r="U19" i="296"/>
  <c r="AC19" i="296"/>
  <c r="AQ19" i="296"/>
  <c r="G19" i="296"/>
  <c r="O19" i="296"/>
  <c r="W19" i="296"/>
  <c r="AE19" i="296"/>
  <c r="AL19" i="296"/>
  <c r="D23" i="40" s="1"/>
  <c r="D24" i="40" s="1"/>
  <c r="AT17" i="296"/>
  <c r="B19" i="296"/>
  <c r="J19" i="296"/>
  <c r="R19" i="296"/>
  <c r="Z19" i="296"/>
  <c r="AH19" i="296"/>
  <c r="AN19" i="296"/>
  <c r="F23" i="40" s="1"/>
  <c r="F26" i="40" s="1"/>
  <c r="F27" i="40" s="1"/>
  <c r="AR14" i="296"/>
  <c r="D19" i="296"/>
  <c r="L19" i="296"/>
  <c r="T19" i="296"/>
  <c r="AB19" i="296"/>
  <c r="AP19" i="296"/>
  <c r="H23" i="40" s="1"/>
  <c r="H26" i="40" s="1"/>
  <c r="I19" i="296"/>
  <c r="Q19" i="296"/>
  <c r="Y19" i="296"/>
  <c r="AG19" i="296"/>
  <c r="AO19" i="296"/>
  <c r="G23" i="40" s="1"/>
  <c r="G26" i="40" s="1"/>
  <c r="G27" i="40" s="1"/>
  <c r="AT13" i="296"/>
  <c r="AT14" i="296"/>
  <c r="AT11" i="296"/>
  <c r="AR18" i="296"/>
  <c r="AT18" i="296"/>
  <c r="AD19" i="296"/>
  <c r="AR12" i="296"/>
  <c r="AT12" i="296"/>
  <c r="AT15" i="296"/>
  <c r="H19" i="296"/>
  <c r="P19" i="296"/>
  <c r="X19" i="296"/>
  <c r="AF19" i="296"/>
  <c r="AT9" i="296"/>
  <c r="AT16" i="296"/>
  <c r="G18" i="304"/>
  <c r="W29" i="97"/>
  <c r="W22" i="12"/>
  <c r="P10" i="279"/>
  <c r="L14" i="304"/>
  <c r="H18" i="304"/>
  <c r="X29" i="97"/>
  <c r="X22" i="12"/>
  <c r="X18" i="304"/>
  <c r="Y18" i="304"/>
  <c r="L10" i="304"/>
  <c r="P7" i="279"/>
  <c r="R13" i="44"/>
  <c r="J18" i="304"/>
  <c r="H11" i="97"/>
  <c r="H20" i="97" s="1"/>
  <c r="H30" i="97" s="1"/>
  <c r="P11" i="304"/>
  <c r="M9" i="279"/>
  <c r="M11" i="304" s="1"/>
  <c r="K14" i="279"/>
  <c r="K9" i="304"/>
  <c r="L5" i="279"/>
  <c r="O10" i="97"/>
  <c r="K17" i="304"/>
  <c r="Z18" i="304"/>
  <c r="X11" i="97"/>
  <c r="X20" i="97" s="1"/>
  <c r="I17" i="12"/>
  <c r="G29" i="97"/>
  <c r="Q18" i="304"/>
  <c r="L5" i="304"/>
  <c r="L6" i="304" s="1"/>
  <c r="J6" i="97" s="1"/>
  <c r="P8" i="279"/>
  <c r="AA18" i="304"/>
  <c r="S17" i="304"/>
  <c r="P6" i="279"/>
  <c r="L7" i="304"/>
  <c r="L8" i="304" s="1"/>
  <c r="L16" i="304"/>
  <c r="P13" i="279"/>
  <c r="F13" i="304"/>
  <c r="S13" i="304"/>
  <c r="I18" i="304"/>
  <c r="C11" i="97"/>
  <c r="C20" i="97" s="1"/>
  <c r="E18" i="304"/>
  <c r="R18" i="304"/>
  <c r="P11" i="97"/>
  <c r="G11" i="97"/>
  <c r="G20" i="97" s="1"/>
  <c r="G30" i="97" s="1"/>
  <c r="W11" i="97"/>
  <c r="W20" i="97" s="1"/>
  <c r="N18" i="304"/>
  <c r="V18" i="304"/>
  <c r="AM9" i="304"/>
  <c r="L11" i="304"/>
  <c r="L11" i="279"/>
  <c r="K5" i="304"/>
  <c r="K6" i="304" s="1"/>
  <c r="I6" i="97" s="1"/>
  <c r="AM7" i="304"/>
  <c r="K10" i="304"/>
  <c r="AQ20" i="296"/>
  <c r="I23" i="40"/>
  <c r="AR8" i="296"/>
  <c r="AT8" i="296"/>
  <c r="S19" i="296"/>
  <c r="AR11" i="296"/>
  <c r="AR13" i="296"/>
  <c r="AR15" i="296"/>
  <c r="AR17" i="296"/>
  <c r="AR9" i="296"/>
  <c r="V39" i="290" l="1"/>
  <c r="AN39" i="290"/>
  <c r="AN38" i="290"/>
  <c r="V38" i="290"/>
  <c r="AN70" i="285"/>
  <c r="AU70" i="285" s="1"/>
  <c r="V70" i="285"/>
  <c r="AN9" i="285"/>
  <c r="AU9" i="285" s="1"/>
  <c r="V9" i="285"/>
  <c r="V67" i="284"/>
  <c r="AN67" i="284"/>
  <c r="V60" i="285"/>
  <c r="AN60" i="285"/>
  <c r="AU60" i="285" s="1"/>
  <c r="V37" i="285"/>
  <c r="AN37" i="285"/>
  <c r="AU37" i="285" s="1"/>
  <c r="AN71" i="285"/>
  <c r="AU71" i="285" s="1"/>
  <c r="V71" i="285"/>
  <c r="AN65" i="284"/>
  <c r="V65" i="284"/>
  <c r="AN46" i="285"/>
  <c r="AU46" i="285" s="1"/>
  <c r="V46" i="285"/>
  <c r="AN32" i="285"/>
  <c r="AU32" i="285" s="1"/>
  <c r="V32" i="285"/>
  <c r="AN80" i="284"/>
  <c r="V80" i="284"/>
  <c r="G141" i="300"/>
  <c r="P79" i="300"/>
  <c r="P48" i="309"/>
  <c r="M48" i="275"/>
  <c r="T48" i="275" s="1"/>
  <c r="Q136" i="299"/>
  <c r="O11" i="97"/>
  <c r="E8" i="97"/>
  <c r="G80" i="298"/>
  <c r="N80" i="298"/>
  <c r="T111" i="299"/>
  <c r="T37" i="308"/>
  <c r="U37" i="274"/>
  <c r="AN30" i="290"/>
  <c r="V30" i="290"/>
  <c r="AN20" i="286"/>
  <c r="W20" i="286"/>
  <c r="V47" i="285"/>
  <c r="AN47" i="285"/>
  <c r="AU47" i="285" s="1"/>
  <c r="V82" i="284"/>
  <c r="AN82" i="284"/>
  <c r="V41" i="284"/>
  <c r="AN41" i="284"/>
  <c r="V62" i="284"/>
  <c r="AN62" i="284"/>
  <c r="V22" i="284"/>
  <c r="AN22" i="284"/>
  <c r="AN113" i="285"/>
  <c r="AU113" i="285" s="1"/>
  <c r="V113" i="285"/>
  <c r="AN51" i="285"/>
  <c r="AU51" i="285" s="1"/>
  <c r="V51" i="285"/>
  <c r="AN48" i="284"/>
  <c r="V48" i="284"/>
  <c r="T19" i="301"/>
  <c r="U19" i="276"/>
  <c r="T110" i="300"/>
  <c r="T104" i="309"/>
  <c r="U104" i="275"/>
  <c r="Q18" i="97"/>
  <c r="T59" i="300"/>
  <c r="T111" i="309"/>
  <c r="U111" i="275"/>
  <c r="E29" i="39"/>
  <c r="G9" i="41" s="1"/>
  <c r="L29" i="97"/>
  <c r="P8" i="97"/>
  <c r="R136" i="299"/>
  <c r="I8" i="97"/>
  <c r="T38" i="299"/>
  <c r="T51" i="308"/>
  <c r="U51" i="274"/>
  <c r="V36" i="290"/>
  <c r="AN36" i="290"/>
  <c r="AN23" i="286"/>
  <c r="W23" i="286"/>
  <c r="AN13" i="286"/>
  <c r="W13" i="286"/>
  <c r="AN67" i="285"/>
  <c r="AU67" i="285" s="1"/>
  <c r="V67" i="285"/>
  <c r="AN26" i="284"/>
  <c r="V26" i="284"/>
  <c r="V117" i="285"/>
  <c r="AN117" i="285"/>
  <c r="AU117" i="285" s="1"/>
  <c r="V69" i="285"/>
  <c r="AN69" i="285"/>
  <c r="AU69" i="285" s="1"/>
  <c r="V18" i="285"/>
  <c r="AN18" i="285"/>
  <c r="AU18" i="285" s="1"/>
  <c r="V17" i="284"/>
  <c r="AN17" i="284"/>
  <c r="AN12" i="285"/>
  <c r="AU12" i="285" s="1"/>
  <c r="V12" i="285"/>
  <c r="AN63" i="285"/>
  <c r="AU63" i="285" s="1"/>
  <c r="V63" i="285"/>
  <c r="O15" i="302"/>
  <c r="O16" i="302" s="1"/>
  <c r="U5" i="301"/>
  <c r="W5" i="276"/>
  <c r="P125" i="308"/>
  <c r="P97" i="299"/>
  <c r="T125" i="274"/>
  <c r="M125" i="274"/>
  <c r="M47" i="299"/>
  <c r="M87" i="308"/>
  <c r="T87" i="274"/>
  <c r="O87" i="274"/>
  <c r="E11" i="97"/>
  <c r="T72" i="299"/>
  <c r="T55" i="308"/>
  <c r="U55" i="274"/>
  <c r="T126" i="299"/>
  <c r="T58" i="308"/>
  <c r="U58" i="274"/>
  <c r="T7" i="299"/>
  <c r="T27" i="308"/>
  <c r="U27" i="274"/>
  <c r="K104" i="297"/>
  <c r="K117" i="297" s="1"/>
  <c r="V6" i="292"/>
  <c r="AN6" i="292"/>
  <c r="W32" i="286"/>
  <c r="AN32" i="286"/>
  <c r="W10" i="286"/>
  <c r="AN10" i="286"/>
  <c r="V24" i="284"/>
  <c r="AN24" i="284"/>
  <c r="AN56" i="284"/>
  <c r="V56" i="284"/>
  <c r="F19" i="306"/>
  <c r="AN53" i="284"/>
  <c r="V53" i="284"/>
  <c r="E17" i="68"/>
  <c r="Y8" i="12"/>
  <c r="D136" i="299"/>
  <c r="B11" i="97"/>
  <c r="B8" i="97"/>
  <c r="T112" i="299"/>
  <c r="T53" i="308"/>
  <c r="U53" i="274"/>
  <c r="O29" i="97"/>
  <c r="Q17" i="12"/>
  <c r="F130" i="274"/>
  <c r="D8" i="12" s="1"/>
  <c r="P75" i="297"/>
  <c r="P78" i="297" s="1"/>
  <c r="AC75" i="297"/>
  <c r="AC78" i="297" s="1"/>
  <c r="O78" i="297"/>
  <c r="W14" i="295"/>
  <c r="AN14" i="295"/>
  <c r="W12" i="293"/>
  <c r="AN12" i="293"/>
  <c r="P18" i="297"/>
  <c r="AC18" i="297"/>
  <c r="M8" i="293"/>
  <c r="O8" i="293" s="1"/>
  <c r="T8" i="293"/>
  <c r="U8" i="293" s="1"/>
  <c r="M7" i="291"/>
  <c r="O7" i="291" s="1"/>
  <c r="M35" i="290"/>
  <c r="O35" i="290" s="1"/>
  <c r="T16" i="294"/>
  <c r="U16" i="294" s="1"/>
  <c r="T14" i="294"/>
  <c r="U14" i="294" s="1"/>
  <c r="M14" i="294"/>
  <c r="O14" i="294" s="1"/>
  <c r="T11" i="294"/>
  <c r="U11" i="294" s="1"/>
  <c r="M11" i="294"/>
  <c r="O11" i="294" s="1"/>
  <c r="T8" i="294"/>
  <c r="U8" i="294" s="1"/>
  <c r="M13" i="291"/>
  <c r="O13" i="291" s="1"/>
  <c r="T13" i="291"/>
  <c r="U13" i="291" s="1"/>
  <c r="M10" i="290"/>
  <c r="O10" i="290" s="1"/>
  <c r="M9" i="289"/>
  <c r="O9" i="289" s="1"/>
  <c r="T9" i="289"/>
  <c r="U9" i="289" s="1"/>
  <c r="V65" i="286"/>
  <c r="AN65" i="286"/>
  <c r="W31" i="286"/>
  <c r="AN31" i="286"/>
  <c r="M27" i="290"/>
  <c r="O27" i="290" s="1"/>
  <c r="V22" i="290"/>
  <c r="AN22" i="290"/>
  <c r="W13" i="289"/>
  <c r="AN13" i="289"/>
  <c r="W25" i="288"/>
  <c r="AN25" i="288"/>
  <c r="M50" i="286"/>
  <c r="O50" i="286" s="1"/>
  <c r="T14" i="288"/>
  <c r="U14" i="288" s="1"/>
  <c r="T63" i="286"/>
  <c r="U63" i="286" s="1"/>
  <c r="W59" i="286"/>
  <c r="AN59" i="286"/>
  <c r="M24" i="286"/>
  <c r="O24" i="286" s="1"/>
  <c r="T24" i="286"/>
  <c r="U24" i="286" s="1"/>
  <c r="M21" i="286"/>
  <c r="O21" i="286" s="1"/>
  <c r="T21" i="286"/>
  <c r="U21" i="286" s="1"/>
  <c r="M9" i="291"/>
  <c r="O9" i="291" s="1"/>
  <c r="T9" i="291"/>
  <c r="U9" i="291" s="1"/>
  <c r="T31" i="290"/>
  <c r="U31" i="290" s="1"/>
  <c r="T21" i="290"/>
  <c r="U21" i="290" s="1"/>
  <c r="M21" i="290"/>
  <c r="O21" i="290" s="1"/>
  <c r="W12" i="288"/>
  <c r="AN12" i="288"/>
  <c r="T58" i="286"/>
  <c r="U58" i="286" s="1"/>
  <c r="M29" i="286"/>
  <c r="O29" i="286" s="1"/>
  <c r="M13" i="293"/>
  <c r="O13" i="293" s="1"/>
  <c r="AN7" i="290"/>
  <c r="V7" i="290"/>
  <c r="U6" i="289"/>
  <c r="T57" i="286"/>
  <c r="U57" i="286" s="1"/>
  <c r="T33" i="286"/>
  <c r="U33" i="286" s="1"/>
  <c r="M33" i="286"/>
  <c r="O33" i="286" s="1"/>
  <c r="L66" i="286"/>
  <c r="P6" i="286"/>
  <c r="T110" i="285"/>
  <c r="U110" i="285" s="1"/>
  <c r="T74" i="285"/>
  <c r="U74" i="285" s="1"/>
  <c r="M30" i="285"/>
  <c r="O30" i="285" s="1"/>
  <c r="T13" i="285"/>
  <c r="U13" i="285" s="1"/>
  <c r="T68" i="284"/>
  <c r="U68" i="284" s="1"/>
  <c r="V44" i="284"/>
  <c r="AN44" i="284"/>
  <c r="T7" i="284"/>
  <c r="U7" i="284" s="1"/>
  <c r="T100" i="285"/>
  <c r="U100" i="285" s="1"/>
  <c r="M85" i="285"/>
  <c r="O85" i="285" s="1"/>
  <c r="M23" i="285"/>
  <c r="O23" i="285" s="1"/>
  <c r="T23" i="285"/>
  <c r="U23" i="285" s="1"/>
  <c r="O12" i="285"/>
  <c r="T76" i="284"/>
  <c r="U76" i="284" s="1"/>
  <c r="M30" i="284"/>
  <c r="O30" i="284" s="1"/>
  <c r="T30" i="284"/>
  <c r="U30" i="284" s="1"/>
  <c r="V20" i="284"/>
  <c r="AN20" i="284"/>
  <c r="P7" i="306"/>
  <c r="M6" i="282"/>
  <c r="T6" i="282" s="1"/>
  <c r="M54" i="286"/>
  <c r="O54" i="286" s="1"/>
  <c r="T54" i="286"/>
  <c r="U54" i="286" s="1"/>
  <c r="M79" i="285"/>
  <c r="O79" i="285" s="1"/>
  <c r="T79" i="285"/>
  <c r="U79" i="285" s="1"/>
  <c r="M68" i="285"/>
  <c r="O68" i="285" s="1"/>
  <c r="T68" i="285"/>
  <c r="U68" i="285" s="1"/>
  <c r="V61" i="285"/>
  <c r="AN61" i="285"/>
  <c r="AU61" i="285" s="1"/>
  <c r="V66" i="284"/>
  <c r="AN66" i="284"/>
  <c r="M6" i="284"/>
  <c r="T6" i="284"/>
  <c r="P84" i="284"/>
  <c r="T24" i="285"/>
  <c r="U24" i="285" s="1"/>
  <c r="M24" i="285"/>
  <c r="O24" i="285" s="1"/>
  <c r="M47" i="284"/>
  <c r="O47" i="284" s="1"/>
  <c r="T33" i="284"/>
  <c r="U33" i="284" s="1"/>
  <c r="M33" i="284"/>
  <c r="O33" i="284" s="1"/>
  <c r="T18" i="284"/>
  <c r="U18" i="284" s="1"/>
  <c r="M18" i="284"/>
  <c r="O18" i="284" s="1"/>
  <c r="T8" i="284"/>
  <c r="U8" i="284" s="1"/>
  <c r="M8" i="284"/>
  <c r="O8" i="284" s="1"/>
  <c r="T21" i="288"/>
  <c r="U21" i="288" s="1"/>
  <c r="M34" i="285"/>
  <c r="O34" i="285" s="1"/>
  <c r="T16" i="285"/>
  <c r="U16" i="285" s="1"/>
  <c r="T73" i="284"/>
  <c r="U73" i="284" s="1"/>
  <c r="M73" i="284"/>
  <c r="O73" i="284" s="1"/>
  <c r="T55" i="284"/>
  <c r="U55" i="284" s="1"/>
  <c r="M23" i="284"/>
  <c r="O23" i="284" s="1"/>
  <c r="P17" i="306"/>
  <c r="M11" i="282"/>
  <c r="T11" i="282" s="1"/>
  <c r="P5" i="306"/>
  <c r="P6" i="306" s="1"/>
  <c r="M10" i="282"/>
  <c r="T10" i="282" s="1"/>
  <c r="F14" i="282"/>
  <c r="D15" i="12" s="1"/>
  <c r="P14" i="305"/>
  <c r="M14" i="280"/>
  <c r="T14" i="280" s="1"/>
  <c r="V28" i="285"/>
  <c r="AN28" i="285"/>
  <c r="AU28" i="285" s="1"/>
  <c r="T14" i="285"/>
  <c r="U14" i="285" s="1"/>
  <c r="P15" i="305"/>
  <c r="M15" i="280"/>
  <c r="T15" i="280"/>
  <c r="T17" i="285"/>
  <c r="U17" i="285" s="1"/>
  <c r="T8" i="285"/>
  <c r="U8" i="285" s="1"/>
  <c r="M70" i="284"/>
  <c r="O70" i="284" s="1"/>
  <c r="V64" i="284"/>
  <c r="AN64" i="284"/>
  <c r="M34" i="284"/>
  <c r="O34" i="284" s="1"/>
  <c r="L13" i="305"/>
  <c r="P13" i="280"/>
  <c r="P8" i="280"/>
  <c r="L8" i="305"/>
  <c r="L17" i="305" s="1"/>
  <c r="M6" i="277"/>
  <c r="T6" i="277" s="1"/>
  <c r="P7" i="302"/>
  <c r="P20" i="301"/>
  <c r="M20" i="276"/>
  <c r="O5" i="301"/>
  <c r="M10" i="277"/>
  <c r="P10" i="302"/>
  <c r="E10" i="12"/>
  <c r="T6" i="280"/>
  <c r="M6" i="280"/>
  <c r="P6" i="305"/>
  <c r="E11" i="12"/>
  <c r="O9" i="277"/>
  <c r="O5" i="302" s="1"/>
  <c r="M27" i="276"/>
  <c r="P27" i="301"/>
  <c r="L17" i="301"/>
  <c r="P17" i="276"/>
  <c r="L10" i="301"/>
  <c r="P10" i="276"/>
  <c r="T5" i="277"/>
  <c r="P8" i="302"/>
  <c r="M7" i="277"/>
  <c r="T7" i="277" s="1"/>
  <c r="P25" i="301"/>
  <c r="T25" i="276"/>
  <c r="M25" i="276"/>
  <c r="M5" i="301"/>
  <c r="M13" i="276"/>
  <c r="P13" i="301"/>
  <c r="R141" i="300"/>
  <c r="V11" i="97"/>
  <c r="O66" i="300"/>
  <c r="O126" i="309"/>
  <c r="T117" i="309"/>
  <c r="T97" i="300"/>
  <c r="U58" i="300"/>
  <c r="U110" i="309"/>
  <c r="W110" i="275"/>
  <c r="O103" i="309"/>
  <c r="O9" i="300"/>
  <c r="F94" i="300"/>
  <c r="F99" i="309"/>
  <c r="O97" i="309"/>
  <c r="O93" i="300"/>
  <c r="L22" i="300"/>
  <c r="L94" i="309"/>
  <c r="P94" i="275"/>
  <c r="L90" i="300"/>
  <c r="P89" i="275"/>
  <c r="L89" i="309"/>
  <c r="L85" i="300"/>
  <c r="L81" i="309"/>
  <c r="L128" i="300"/>
  <c r="L66" i="309"/>
  <c r="P66" i="275"/>
  <c r="F134" i="300"/>
  <c r="F60" i="309"/>
  <c r="F103" i="300"/>
  <c r="F52" i="309"/>
  <c r="L78" i="300"/>
  <c r="L47" i="309"/>
  <c r="P47" i="275"/>
  <c r="L30" i="300"/>
  <c r="P10" i="275"/>
  <c r="L10" i="309"/>
  <c r="E9" i="12"/>
  <c r="M106" i="300"/>
  <c r="O119" i="275"/>
  <c r="T119" i="275"/>
  <c r="M119" i="309"/>
  <c r="F117" i="309"/>
  <c r="F97" i="300"/>
  <c r="M95" i="300"/>
  <c r="O114" i="275"/>
  <c r="T114" i="275"/>
  <c r="M114" i="309"/>
  <c r="T58" i="300"/>
  <c r="T110" i="309"/>
  <c r="P77" i="275"/>
  <c r="L38" i="300"/>
  <c r="L77" i="309"/>
  <c r="N13" i="300"/>
  <c r="L10" i="97" s="1"/>
  <c r="L44" i="300"/>
  <c r="L53" i="309"/>
  <c r="P53" i="275"/>
  <c r="F123" i="300"/>
  <c r="F31" i="309"/>
  <c r="S121" i="300"/>
  <c r="S131" i="300" s="1"/>
  <c r="S20" i="309"/>
  <c r="S127" i="309" s="1"/>
  <c r="T60" i="300"/>
  <c r="T112" i="309"/>
  <c r="U112" i="275"/>
  <c r="S13" i="300"/>
  <c r="Q10" i="97" s="1"/>
  <c r="P103" i="300"/>
  <c r="P108" i="300" s="1"/>
  <c r="P52" i="309"/>
  <c r="M52" i="275"/>
  <c r="P124" i="300"/>
  <c r="T34" i="275"/>
  <c r="M34" i="275"/>
  <c r="P34" i="309"/>
  <c r="D127" i="309"/>
  <c r="F58" i="300"/>
  <c r="F110" i="309"/>
  <c r="V23" i="300"/>
  <c r="V100" i="309"/>
  <c r="P92" i="300"/>
  <c r="M92" i="275"/>
  <c r="P92" i="309"/>
  <c r="P21" i="300"/>
  <c r="M79" i="275"/>
  <c r="P79" i="309"/>
  <c r="L84" i="300"/>
  <c r="L75" i="309"/>
  <c r="P75" i="275"/>
  <c r="P46" i="300"/>
  <c r="P55" i="309"/>
  <c r="T55" i="275"/>
  <c r="M55" i="275"/>
  <c r="L77" i="300"/>
  <c r="P46" i="275"/>
  <c r="L46" i="309"/>
  <c r="P26" i="300"/>
  <c r="P29" i="309"/>
  <c r="T29" i="275"/>
  <c r="M29" i="275"/>
  <c r="P117" i="300"/>
  <c r="P25" i="309"/>
  <c r="T25" i="275"/>
  <c r="M25" i="275"/>
  <c r="F29" i="300"/>
  <c r="F9" i="309"/>
  <c r="P65" i="300"/>
  <c r="P67" i="300" s="1"/>
  <c r="N17" i="97" s="1"/>
  <c r="M6" i="275"/>
  <c r="T6" i="275" s="1"/>
  <c r="P6" i="309"/>
  <c r="M93" i="300"/>
  <c r="M97" i="309"/>
  <c r="P74" i="309"/>
  <c r="M74" i="275"/>
  <c r="P8" i="300"/>
  <c r="P37" i="300"/>
  <c r="P73" i="309"/>
  <c r="T73" i="275"/>
  <c r="M73" i="275"/>
  <c r="P129" i="300"/>
  <c r="T72" i="275"/>
  <c r="P72" i="309"/>
  <c r="M72" i="275"/>
  <c r="B15" i="97"/>
  <c r="P49" i="300"/>
  <c r="P68" i="309"/>
  <c r="M68" i="275"/>
  <c r="T68" i="275" s="1"/>
  <c r="T105" i="300"/>
  <c r="T118" i="309"/>
  <c r="P125" i="300"/>
  <c r="P37" i="309"/>
  <c r="M37" i="275"/>
  <c r="P71" i="300"/>
  <c r="P30" i="309"/>
  <c r="M30" i="275"/>
  <c r="P137" i="300"/>
  <c r="P84" i="309"/>
  <c r="M84" i="275"/>
  <c r="S120" i="308"/>
  <c r="S93" i="299"/>
  <c r="O52" i="299"/>
  <c r="O116" i="308"/>
  <c r="O83" i="299"/>
  <c r="O93" i="308"/>
  <c r="I16" i="97"/>
  <c r="L15" i="97"/>
  <c r="P22" i="308"/>
  <c r="P22" i="299"/>
  <c r="T22" i="274"/>
  <c r="M22" i="274"/>
  <c r="P50" i="272"/>
  <c r="L57" i="298"/>
  <c r="L107" i="299"/>
  <c r="L111" i="308"/>
  <c r="P111" i="274"/>
  <c r="L132" i="299"/>
  <c r="L101" i="308"/>
  <c r="P101" i="274"/>
  <c r="L127" i="299"/>
  <c r="L98" i="308"/>
  <c r="P98" i="274"/>
  <c r="L58" i="299"/>
  <c r="L78" i="308"/>
  <c r="P78" i="274"/>
  <c r="F75" i="299"/>
  <c r="F76" i="308"/>
  <c r="K119" i="299"/>
  <c r="I12" i="97" s="1"/>
  <c r="L120" i="299"/>
  <c r="L122" i="299" s="1"/>
  <c r="J13" i="97" s="1"/>
  <c r="L60" i="308"/>
  <c r="P60" i="274"/>
  <c r="P33" i="299"/>
  <c r="P44" i="308"/>
  <c r="M44" i="274"/>
  <c r="O15" i="97"/>
  <c r="L39" i="308"/>
  <c r="L31" i="299"/>
  <c r="P39" i="274"/>
  <c r="L26" i="308"/>
  <c r="L6" i="299"/>
  <c r="P26" i="274"/>
  <c r="P63" i="299"/>
  <c r="P18" i="308"/>
  <c r="T18" i="274"/>
  <c r="M18" i="274"/>
  <c r="L13" i="299"/>
  <c r="P9" i="274"/>
  <c r="L9" i="308"/>
  <c r="P12" i="299"/>
  <c r="P6" i="308"/>
  <c r="T6" i="274"/>
  <c r="M6" i="274"/>
  <c r="P66" i="298"/>
  <c r="M68" i="272"/>
  <c r="T68" i="272"/>
  <c r="P32" i="272"/>
  <c r="L16" i="298"/>
  <c r="S129" i="274"/>
  <c r="S130" i="274" s="1"/>
  <c r="Q8" i="12" s="1"/>
  <c r="P120" i="308"/>
  <c r="P93" i="299"/>
  <c r="M120" i="274"/>
  <c r="T120" i="274"/>
  <c r="Q16" i="97"/>
  <c r="K122" i="299"/>
  <c r="I13" i="97" s="1"/>
  <c r="K130" i="299"/>
  <c r="I14" i="97" s="1"/>
  <c r="P131" i="299"/>
  <c r="P43" i="308"/>
  <c r="M43" i="274"/>
  <c r="T43" i="274"/>
  <c r="K100" i="299"/>
  <c r="P32" i="308"/>
  <c r="P103" i="299"/>
  <c r="T32" i="274"/>
  <c r="M32" i="274"/>
  <c r="P18" i="299"/>
  <c r="M15" i="274"/>
  <c r="P15" i="308"/>
  <c r="P113" i="274"/>
  <c r="O9" i="97"/>
  <c r="F29" i="299"/>
  <c r="F36" i="308"/>
  <c r="P134" i="299"/>
  <c r="P135" i="299" s="1"/>
  <c r="M13" i="274"/>
  <c r="T13" i="274" s="1"/>
  <c r="P13" i="308"/>
  <c r="F13" i="299"/>
  <c r="F9" i="308"/>
  <c r="L34" i="298"/>
  <c r="P63" i="272"/>
  <c r="M58" i="272"/>
  <c r="T58" i="272" s="1"/>
  <c r="P61" i="298"/>
  <c r="L26" i="298"/>
  <c r="P46" i="272"/>
  <c r="U24" i="298"/>
  <c r="V42" i="272"/>
  <c r="V24" i="298" s="1"/>
  <c r="M35" i="272"/>
  <c r="T35" i="272" s="1"/>
  <c r="P19" i="298"/>
  <c r="P96" i="308"/>
  <c r="P85" i="299"/>
  <c r="T96" i="274"/>
  <c r="M96" i="274"/>
  <c r="M83" i="299"/>
  <c r="M93" i="308"/>
  <c r="U69" i="272"/>
  <c r="T67" i="298"/>
  <c r="P63" i="298"/>
  <c r="T60" i="272"/>
  <c r="M60" i="272"/>
  <c r="T26" i="272"/>
  <c r="P14" i="298"/>
  <c r="M26" i="272"/>
  <c r="P123" i="308"/>
  <c r="P96" i="299"/>
  <c r="M123" i="274"/>
  <c r="T123" i="274" s="1"/>
  <c r="M23" i="299"/>
  <c r="M23" i="308"/>
  <c r="L5" i="298"/>
  <c r="L77" i="272"/>
  <c r="J7" i="12" s="1"/>
  <c r="P5" i="272"/>
  <c r="P114" i="299"/>
  <c r="P57" i="308"/>
  <c r="T57" i="274"/>
  <c r="M57" i="274"/>
  <c r="P11" i="298"/>
  <c r="M20" i="272"/>
  <c r="M42" i="299"/>
  <c r="M68" i="308"/>
  <c r="O68" i="274"/>
  <c r="P54" i="308"/>
  <c r="P71" i="299"/>
  <c r="M54" i="274"/>
  <c r="P36" i="299"/>
  <c r="P47" i="308"/>
  <c r="M47" i="274"/>
  <c r="P35" i="299"/>
  <c r="P46" i="308"/>
  <c r="M46" i="274"/>
  <c r="P55" i="299"/>
  <c r="T28" i="274"/>
  <c r="M28" i="274"/>
  <c r="P28" i="308"/>
  <c r="U56" i="272"/>
  <c r="T32" i="298"/>
  <c r="L49" i="298"/>
  <c r="P23" i="272"/>
  <c r="L42" i="298"/>
  <c r="P8" i="272"/>
  <c r="F77" i="272"/>
  <c r="D7" i="12" s="1"/>
  <c r="F5" i="298"/>
  <c r="F39" i="298" s="1"/>
  <c r="P25" i="297"/>
  <c r="T11" i="292"/>
  <c r="U11" i="292" s="1"/>
  <c r="M11" i="292"/>
  <c r="O11" i="292" s="1"/>
  <c r="M56" i="297"/>
  <c r="AN13" i="295"/>
  <c r="W13" i="295"/>
  <c r="AN20" i="294"/>
  <c r="V20" i="294"/>
  <c r="M13" i="294"/>
  <c r="O13" i="294" s="1"/>
  <c r="P20" i="291"/>
  <c r="M6" i="291"/>
  <c r="AN7" i="293"/>
  <c r="W7" i="293"/>
  <c r="M16" i="290"/>
  <c r="O16" i="290" s="1"/>
  <c r="AN10" i="295"/>
  <c r="V10" i="295"/>
  <c r="P21" i="294"/>
  <c r="T6" i="294"/>
  <c r="M6" i="294"/>
  <c r="T11" i="293"/>
  <c r="U11" i="293" s="1"/>
  <c r="M11" i="293"/>
  <c r="O11" i="293" s="1"/>
  <c r="V19" i="291"/>
  <c r="V20" i="291" s="1"/>
  <c r="AN19" i="291"/>
  <c r="M41" i="290"/>
  <c r="O41" i="290" s="1"/>
  <c r="AN23" i="290"/>
  <c r="V23" i="290"/>
  <c r="AN15" i="290"/>
  <c r="V15" i="290"/>
  <c r="AN9" i="290"/>
  <c r="V9" i="290"/>
  <c r="AN61" i="286"/>
  <c r="W61" i="286"/>
  <c r="AN12" i="295"/>
  <c r="V12" i="295"/>
  <c r="AN18" i="291"/>
  <c r="W18" i="291"/>
  <c r="AN11" i="288"/>
  <c r="W11" i="288"/>
  <c r="O7" i="288"/>
  <c r="T7" i="288"/>
  <c r="U7" i="288" s="1"/>
  <c r="AN12" i="289"/>
  <c r="W12" i="289"/>
  <c r="P27" i="288"/>
  <c r="M6" i="288"/>
  <c r="M53" i="286"/>
  <c r="O53" i="286" s="1"/>
  <c r="W37" i="286"/>
  <c r="AN37" i="286"/>
  <c r="V17" i="290"/>
  <c r="AN17" i="290"/>
  <c r="L43" i="290"/>
  <c r="P6" i="290"/>
  <c r="AN36" i="286"/>
  <c r="W36" i="286"/>
  <c r="M11" i="286"/>
  <c r="O11" i="286" s="1"/>
  <c r="M114" i="285"/>
  <c r="O114" i="285" s="1"/>
  <c r="AN8" i="291"/>
  <c r="W8" i="291"/>
  <c r="W22" i="288"/>
  <c r="AN22" i="288"/>
  <c r="T55" i="286"/>
  <c r="U55" i="286" s="1"/>
  <c r="M55" i="286"/>
  <c r="O55" i="286" s="1"/>
  <c r="W28" i="286"/>
  <c r="AN28" i="286"/>
  <c r="T7" i="286"/>
  <c r="U7" i="286" s="1"/>
  <c r="M7" i="286"/>
  <c r="O7" i="286" s="1"/>
  <c r="M9" i="293"/>
  <c r="O9" i="293" s="1"/>
  <c r="AN34" i="290"/>
  <c r="V34" i="290"/>
  <c r="M51" i="286"/>
  <c r="O51" i="286" s="1"/>
  <c r="V118" i="285"/>
  <c r="AN118" i="285"/>
  <c r="AU118" i="285" s="1"/>
  <c r="V80" i="285"/>
  <c r="AN80" i="285"/>
  <c r="AU80" i="285" s="1"/>
  <c r="AN15" i="293"/>
  <c r="W15" i="293"/>
  <c r="AN8" i="289"/>
  <c r="W8" i="289"/>
  <c r="AN26" i="288"/>
  <c r="W26" i="288"/>
  <c r="T16" i="286"/>
  <c r="U16" i="286" s="1"/>
  <c r="M16" i="286"/>
  <c r="O16" i="286" s="1"/>
  <c r="T9" i="286"/>
  <c r="U9" i="286" s="1"/>
  <c r="M9" i="286"/>
  <c r="O9" i="286" s="1"/>
  <c r="V99" i="285"/>
  <c r="AN99" i="285"/>
  <c r="AU99" i="285" s="1"/>
  <c r="AN95" i="285"/>
  <c r="AU95" i="285" s="1"/>
  <c r="V95" i="285"/>
  <c r="T89" i="285"/>
  <c r="U89" i="285" s="1"/>
  <c r="AN50" i="285"/>
  <c r="AU50" i="285" s="1"/>
  <c r="V50" i="285"/>
  <c r="M44" i="285"/>
  <c r="O44" i="285" s="1"/>
  <c r="AN58" i="284"/>
  <c r="V58" i="284"/>
  <c r="AN13" i="284"/>
  <c r="V13" i="284"/>
  <c r="AN23" i="288"/>
  <c r="W23" i="288"/>
  <c r="M8" i="288"/>
  <c r="O8" i="288" s="1"/>
  <c r="T8" i="288"/>
  <c r="U8" i="288" s="1"/>
  <c r="M38" i="286"/>
  <c r="O38" i="286" s="1"/>
  <c r="M119" i="285"/>
  <c r="O119" i="285" s="1"/>
  <c r="AM122" i="285"/>
  <c r="T102" i="285"/>
  <c r="U102" i="285" s="1"/>
  <c r="M102" i="285"/>
  <c r="O102" i="285" s="1"/>
  <c r="M92" i="285"/>
  <c r="O92" i="285" s="1"/>
  <c r="M56" i="285"/>
  <c r="O56" i="285" s="1"/>
  <c r="V48" i="285"/>
  <c r="AN48" i="285"/>
  <c r="AU48" i="285" s="1"/>
  <c r="O9" i="285"/>
  <c r="O26" i="284"/>
  <c r="W10" i="289"/>
  <c r="AN10" i="289"/>
  <c r="AN12" i="286"/>
  <c r="W12" i="286"/>
  <c r="T83" i="285"/>
  <c r="U83" i="285" s="1"/>
  <c r="M83" i="285"/>
  <c r="O83" i="285" s="1"/>
  <c r="M45" i="285"/>
  <c r="O45" i="285" s="1"/>
  <c r="M46" i="284"/>
  <c r="O46" i="284" s="1"/>
  <c r="AN16" i="288"/>
  <c r="W16" i="288"/>
  <c r="AN8" i="286"/>
  <c r="W8" i="286"/>
  <c r="T112" i="285"/>
  <c r="U112" i="285" s="1"/>
  <c r="M112" i="285"/>
  <c r="O112" i="285" s="1"/>
  <c r="M78" i="285"/>
  <c r="O78" i="285" s="1"/>
  <c r="T58" i="285"/>
  <c r="U58" i="285" s="1"/>
  <c r="M58" i="285"/>
  <c r="O58" i="285" s="1"/>
  <c r="AN36" i="285"/>
  <c r="AU36" i="285" s="1"/>
  <c r="V36" i="285"/>
  <c r="T20" i="285"/>
  <c r="U20" i="285" s="1"/>
  <c r="M20" i="285"/>
  <c r="O20" i="285" s="1"/>
  <c r="T42" i="284"/>
  <c r="U42" i="284" s="1"/>
  <c r="M42" i="284"/>
  <c r="O42" i="284" s="1"/>
  <c r="L12" i="306"/>
  <c r="P8" i="282"/>
  <c r="V104" i="285"/>
  <c r="AN104" i="285"/>
  <c r="AU104" i="285" s="1"/>
  <c r="M84" i="285"/>
  <c r="O84" i="285" s="1"/>
  <c r="T84" i="285"/>
  <c r="U84" i="285" s="1"/>
  <c r="L18" i="306"/>
  <c r="J19" i="97"/>
  <c r="M8" i="306"/>
  <c r="O7" i="282"/>
  <c r="O8" i="306" s="1"/>
  <c r="L10" i="305"/>
  <c r="P10" i="280"/>
  <c r="V20" i="97"/>
  <c r="M11" i="285"/>
  <c r="O11" i="285" s="1"/>
  <c r="V79" i="284"/>
  <c r="AN79" i="284"/>
  <c r="AN90" i="285"/>
  <c r="AU90" i="285" s="1"/>
  <c r="V90" i="285"/>
  <c r="V55" i="285"/>
  <c r="AN55" i="285"/>
  <c r="AU55" i="285" s="1"/>
  <c r="AN49" i="285"/>
  <c r="AU49" i="285" s="1"/>
  <c r="V49" i="285"/>
  <c r="M10" i="285"/>
  <c r="O10" i="285" s="1"/>
  <c r="V57" i="284"/>
  <c r="AN57" i="284"/>
  <c r="M50" i="284"/>
  <c r="O50" i="284" s="1"/>
  <c r="M43" i="284"/>
  <c r="O43" i="284" s="1"/>
  <c r="T43" i="284"/>
  <c r="U43" i="284" s="1"/>
  <c r="M19" i="284"/>
  <c r="O19" i="284" s="1"/>
  <c r="P12" i="305"/>
  <c r="T12" i="280"/>
  <c r="M12" i="280"/>
  <c r="P7" i="305"/>
  <c r="M7" i="280"/>
  <c r="T9" i="305"/>
  <c r="U9" i="280"/>
  <c r="L8" i="303"/>
  <c r="P8" i="278"/>
  <c r="P26" i="276"/>
  <c r="L26" i="301"/>
  <c r="P6" i="301"/>
  <c r="M6" i="276"/>
  <c r="L5" i="303"/>
  <c r="L10" i="278"/>
  <c r="P5" i="278"/>
  <c r="P14" i="277"/>
  <c r="L13" i="302"/>
  <c r="P24" i="276"/>
  <c r="L24" i="301"/>
  <c r="P16" i="301"/>
  <c r="M16" i="276"/>
  <c r="T16" i="276" s="1"/>
  <c r="P9" i="276"/>
  <c r="L9" i="301"/>
  <c r="M11" i="301"/>
  <c r="O11" i="276"/>
  <c r="O11" i="301" s="1"/>
  <c r="T5" i="301"/>
  <c r="K127" i="309"/>
  <c r="W125" i="309"/>
  <c r="W11" i="300"/>
  <c r="F108" i="300"/>
  <c r="P113" i="275"/>
  <c r="L61" i="300"/>
  <c r="L113" i="309"/>
  <c r="O110" i="309"/>
  <c r="O58" i="300"/>
  <c r="O104" i="300"/>
  <c r="O98" i="309"/>
  <c r="F80" i="309"/>
  <c r="F40" i="300"/>
  <c r="L50" i="300"/>
  <c r="L69" i="309"/>
  <c r="P69" i="275"/>
  <c r="L79" i="300"/>
  <c r="O48" i="275"/>
  <c r="L48" i="309"/>
  <c r="L114" i="300"/>
  <c r="P42" i="275"/>
  <c r="L42" i="309"/>
  <c r="F26" i="300"/>
  <c r="F29" i="309"/>
  <c r="L113" i="300"/>
  <c r="P15" i="275"/>
  <c r="L15" i="309"/>
  <c r="F14" i="300"/>
  <c r="F16" i="300" s="1"/>
  <c r="F7" i="309"/>
  <c r="N62" i="300"/>
  <c r="L9" i="97" s="1"/>
  <c r="AS44" i="300"/>
  <c r="U105" i="300"/>
  <c r="U118" i="309"/>
  <c r="V118" i="275"/>
  <c r="O25" i="300"/>
  <c r="O107" i="309"/>
  <c r="L24" i="300"/>
  <c r="L102" i="309"/>
  <c r="P102" i="275"/>
  <c r="L23" i="300"/>
  <c r="P100" i="275"/>
  <c r="L100" i="309"/>
  <c r="L53" i="300"/>
  <c r="L91" i="309"/>
  <c r="P91" i="275"/>
  <c r="S20" i="300"/>
  <c r="S41" i="300" s="1"/>
  <c r="S76" i="309"/>
  <c r="F7" i="300"/>
  <c r="F62" i="309"/>
  <c r="L118" i="300"/>
  <c r="P39" i="275"/>
  <c r="L39" i="309"/>
  <c r="F18" i="300"/>
  <c r="F28" i="309"/>
  <c r="S62" i="300"/>
  <c r="L33" i="300"/>
  <c r="L19" i="309"/>
  <c r="P19" i="275"/>
  <c r="L116" i="300"/>
  <c r="P8" i="275"/>
  <c r="L8" i="309"/>
  <c r="F5" i="309"/>
  <c r="F28" i="300"/>
  <c r="F127" i="275"/>
  <c r="D9" i="12" s="1"/>
  <c r="T130" i="300"/>
  <c r="T105" i="309"/>
  <c r="U105" i="275"/>
  <c r="S111" i="300"/>
  <c r="P40" i="300"/>
  <c r="T80" i="275"/>
  <c r="P80" i="309"/>
  <c r="M80" i="275"/>
  <c r="P80" i="300"/>
  <c r="T50" i="275"/>
  <c r="P50" i="309"/>
  <c r="M50" i="275"/>
  <c r="N108" i="300"/>
  <c r="AS112" i="300"/>
  <c r="N115" i="300"/>
  <c r="L16" i="97" s="1"/>
  <c r="P55" i="300"/>
  <c r="P101" i="309"/>
  <c r="M101" i="275"/>
  <c r="P88" i="300"/>
  <c r="T86" i="275"/>
  <c r="M86" i="275"/>
  <c r="P86" i="309"/>
  <c r="F38" i="300"/>
  <c r="F77" i="309"/>
  <c r="P71" i="309"/>
  <c r="T71" i="275"/>
  <c r="M71" i="275"/>
  <c r="P83" i="300"/>
  <c r="L36" i="300"/>
  <c r="P61" i="275"/>
  <c r="L61" i="309"/>
  <c r="P82" i="300"/>
  <c r="P59" i="309"/>
  <c r="M59" i="275"/>
  <c r="T59" i="275" s="1"/>
  <c r="P35" i="300"/>
  <c r="T45" i="275"/>
  <c r="M45" i="275"/>
  <c r="P45" i="309"/>
  <c r="L73" i="300"/>
  <c r="L33" i="309"/>
  <c r="P33" i="275"/>
  <c r="P69" i="300"/>
  <c r="T24" i="275"/>
  <c r="M24" i="275"/>
  <c r="P24" i="309"/>
  <c r="W98" i="300"/>
  <c r="W122" i="309"/>
  <c r="T93" i="300"/>
  <c r="U97" i="275"/>
  <c r="T97" i="309"/>
  <c r="P7" i="300"/>
  <c r="P62" i="309"/>
  <c r="T62" i="275"/>
  <c r="M62" i="275"/>
  <c r="P47" i="300"/>
  <c r="P56" i="309"/>
  <c r="T56" i="275"/>
  <c r="M56" i="275"/>
  <c r="O105" i="300"/>
  <c r="O118" i="309"/>
  <c r="P138" i="300"/>
  <c r="P88" i="309"/>
  <c r="T88" i="275"/>
  <c r="M88" i="275"/>
  <c r="P52" i="300"/>
  <c r="P83" i="309"/>
  <c r="T83" i="275"/>
  <c r="M83" i="275"/>
  <c r="U117" i="275"/>
  <c r="M104" i="300"/>
  <c r="M98" i="309"/>
  <c r="AA136" i="299"/>
  <c r="L124" i="308"/>
  <c r="L53" i="299"/>
  <c r="P124" i="274"/>
  <c r="P119" i="308"/>
  <c r="P92" i="299"/>
  <c r="T119" i="274"/>
  <c r="M119" i="274"/>
  <c r="P90" i="299"/>
  <c r="P105" i="308"/>
  <c r="M105" i="274"/>
  <c r="T105" i="274" s="1"/>
  <c r="P87" i="299"/>
  <c r="P100" i="308"/>
  <c r="M100" i="274"/>
  <c r="T100" i="274" s="1"/>
  <c r="O9" i="299"/>
  <c r="O84" i="308"/>
  <c r="P79" i="299"/>
  <c r="P83" i="308"/>
  <c r="M83" i="274"/>
  <c r="P41" i="299"/>
  <c r="P67" i="308"/>
  <c r="M67" i="274"/>
  <c r="P64" i="308"/>
  <c r="P101" i="299"/>
  <c r="M64" i="274"/>
  <c r="D13" i="97"/>
  <c r="L129" i="274"/>
  <c r="L130" i="274" s="1"/>
  <c r="J8" i="12" s="1"/>
  <c r="P95" i="299"/>
  <c r="P122" i="308"/>
  <c r="M122" i="274"/>
  <c r="T122" i="274"/>
  <c r="L128" i="299"/>
  <c r="L99" i="308"/>
  <c r="P99" i="274"/>
  <c r="L86" i="299"/>
  <c r="L97" i="308"/>
  <c r="P97" i="274"/>
  <c r="S51" i="299"/>
  <c r="S91" i="308"/>
  <c r="L71" i="308"/>
  <c r="L57" i="299"/>
  <c r="P71" i="274"/>
  <c r="F123" i="299"/>
  <c r="F124" i="299" s="1"/>
  <c r="D16" i="97" s="1"/>
  <c r="F65" i="308"/>
  <c r="L73" i="299"/>
  <c r="L61" i="308"/>
  <c r="P61" i="274"/>
  <c r="S130" i="299"/>
  <c r="Q14" i="97" s="1"/>
  <c r="L70" i="299"/>
  <c r="L49" i="308"/>
  <c r="P49" i="274"/>
  <c r="L25" i="299"/>
  <c r="L25" i="308"/>
  <c r="P25" i="274"/>
  <c r="M67" i="272"/>
  <c r="P36" i="298"/>
  <c r="P30" i="272"/>
  <c r="L51" i="298"/>
  <c r="L131" i="274"/>
  <c r="I8" i="12"/>
  <c r="P117" i="308"/>
  <c r="P60" i="299"/>
  <c r="M117" i="274"/>
  <c r="T117" i="274" s="1"/>
  <c r="P89" i="308"/>
  <c r="P49" i="299"/>
  <c r="M89" i="274"/>
  <c r="T89" i="274" s="1"/>
  <c r="Q9" i="97"/>
  <c r="P37" i="299"/>
  <c r="P48" i="308"/>
  <c r="M48" i="274"/>
  <c r="T48" i="274" s="1"/>
  <c r="P27" i="299"/>
  <c r="P33" i="308"/>
  <c r="T33" i="274"/>
  <c r="M33" i="274"/>
  <c r="P17" i="299"/>
  <c r="M14" i="274"/>
  <c r="P14" i="308"/>
  <c r="K112" i="308"/>
  <c r="L113" i="308" s="1"/>
  <c r="P113" i="308" s="1"/>
  <c r="K129" i="308"/>
  <c r="S119" i="299"/>
  <c r="Q12" i="97" s="1"/>
  <c r="F130" i="299"/>
  <c r="F110" i="299"/>
  <c r="F119" i="299" s="1"/>
  <c r="D12" i="97" s="1"/>
  <c r="F35" i="308"/>
  <c r="T62" i="272"/>
  <c r="M62" i="272"/>
  <c r="P65" i="298"/>
  <c r="L30" i="298"/>
  <c r="P53" i="272"/>
  <c r="L56" i="298"/>
  <c r="P45" i="272"/>
  <c r="T83" i="299"/>
  <c r="T93" i="308"/>
  <c r="U93" i="274"/>
  <c r="E7" i="97"/>
  <c r="T55" i="272"/>
  <c r="P29" i="298"/>
  <c r="M49" i="272"/>
  <c r="M117" i="299"/>
  <c r="M107" i="308"/>
  <c r="O107" i="274"/>
  <c r="M73" i="308"/>
  <c r="M45" i="299"/>
  <c r="T23" i="308"/>
  <c r="T23" i="299"/>
  <c r="U23" i="274"/>
  <c r="L46" i="298"/>
  <c r="P16" i="272"/>
  <c r="L40" i="298"/>
  <c r="P6" i="272"/>
  <c r="M9" i="299"/>
  <c r="M84" i="308"/>
  <c r="O55" i="272"/>
  <c r="O31" i="298" s="1"/>
  <c r="P10" i="298"/>
  <c r="T19" i="272"/>
  <c r="M19" i="272"/>
  <c r="L78" i="272"/>
  <c r="I7" i="12"/>
  <c r="M61" i="299"/>
  <c r="M118" i="308"/>
  <c r="O118" i="274"/>
  <c r="M52" i="299"/>
  <c r="M116" i="308"/>
  <c r="M76" i="299"/>
  <c r="M77" i="308"/>
  <c r="O77" i="274"/>
  <c r="P75" i="299"/>
  <c r="P76" i="308"/>
  <c r="M76" i="274"/>
  <c r="T76" i="274" s="1"/>
  <c r="T42" i="299"/>
  <c r="T68" i="308"/>
  <c r="U68" i="274"/>
  <c r="T70" i="272"/>
  <c r="M38" i="272"/>
  <c r="T38" i="272" s="1"/>
  <c r="P54" i="298"/>
  <c r="M29" i="272"/>
  <c r="P50" i="298"/>
  <c r="T29" i="272"/>
  <c r="L12" i="298"/>
  <c r="P22" i="272"/>
  <c r="L47" i="298"/>
  <c r="P17" i="272"/>
  <c r="L45" i="298"/>
  <c r="P14" i="272"/>
  <c r="P41" i="298"/>
  <c r="M7" i="272"/>
  <c r="F11" i="43"/>
  <c r="P20" i="97"/>
  <c r="P30" i="97" s="1"/>
  <c r="P101" i="297"/>
  <c r="P102" i="297" s="1"/>
  <c r="O102" i="297"/>
  <c r="AC101" i="297"/>
  <c r="AC102" i="297" s="1"/>
  <c r="T7" i="295"/>
  <c r="U7" i="295" s="1"/>
  <c r="O56" i="297"/>
  <c r="P28" i="297"/>
  <c r="P56" i="297" s="1"/>
  <c r="AC28" i="297"/>
  <c r="Y106" i="297"/>
  <c r="P6" i="295"/>
  <c r="L15" i="295"/>
  <c r="M10" i="292"/>
  <c r="O10" i="292" s="1"/>
  <c r="AN8" i="295"/>
  <c r="V8" i="295"/>
  <c r="M18" i="294"/>
  <c r="O18" i="294" s="1"/>
  <c r="M15" i="294"/>
  <c r="O15" i="294" s="1"/>
  <c r="T12" i="294"/>
  <c r="U12" i="294" s="1"/>
  <c r="T10" i="294"/>
  <c r="U10" i="294" s="1"/>
  <c r="M10" i="294"/>
  <c r="O10" i="294" s="1"/>
  <c r="T7" i="294"/>
  <c r="U7" i="294" s="1"/>
  <c r="M7" i="294"/>
  <c r="O7" i="294" s="1"/>
  <c r="W15" i="291"/>
  <c r="AN15" i="291"/>
  <c r="T10" i="291"/>
  <c r="U10" i="291" s="1"/>
  <c r="V13" i="290"/>
  <c r="AN13" i="290"/>
  <c r="AN14" i="286"/>
  <c r="W14" i="286"/>
  <c r="M16" i="291"/>
  <c r="O16" i="291" s="1"/>
  <c r="M24" i="290"/>
  <c r="O24" i="290" s="1"/>
  <c r="T20" i="290"/>
  <c r="U20" i="290" s="1"/>
  <c r="W11" i="289"/>
  <c r="AN11" i="289"/>
  <c r="T45" i="286"/>
  <c r="U45" i="286" s="1"/>
  <c r="M45" i="286"/>
  <c r="O45" i="286" s="1"/>
  <c r="T26" i="286"/>
  <c r="U26" i="286" s="1"/>
  <c r="T18" i="288"/>
  <c r="U18" i="288" s="1"/>
  <c r="M64" i="286"/>
  <c r="O64" i="286" s="1"/>
  <c r="T52" i="286"/>
  <c r="U52" i="286" s="1"/>
  <c r="T40" i="286"/>
  <c r="U40" i="286" s="1"/>
  <c r="M40" i="286"/>
  <c r="O40" i="286" s="1"/>
  <c r="T30" i="286"/>
  <c r="U30" i="286" s="1"/>
  <c r="M30" i="286"/>
  <c r="O30" i="286" s="1"/>
  <c r="T22" i="286"/>
  <c r="U22" i="286" s="1"/>
  <c r="M22" i="286"/>
  <c r="O22" i="286" s="1"/>
  <c r="V86" i="285"/>
  <c r="AN86" i="285"/>
  <c r="AU86" i="285" s="1"/>
  <c r="T14" i="291"/>
  <c r="U14" i="291" s="1"/>
  <c r="M14" i="291"/>
  <c r="O14" i="291" s="1"/>
  <c r="W15" i="288"/>
  <c r="AN15" i="288"/>
  <c r="W46" i="286"/>
  <c r="AN46" i="286"/>
  <c r="T34" i="286"/>
  <c r="U34" i="286" s="1"/>
  <c r="M34" i="286"/>
  <c r="O34" i="286" s="1"/>
  <c r="O23" i="286"/>
  <c r="AP66" i="286"/>
  <c r="O67" i="285"/>
  <c r="M12" i="291"/>
  <c r="O12" i="291" s="1"/>
  <c r="M8" i="290"/>
  <c r="O8" i="290" s="1"/>
  <c r="T13" i="288"/>
  <c r="U13" i="288" s="1"/>
  <c r="M56" i="286"/>
  <c r="O56" i="286" s="1"/>
  <c r="M25" i="286"/>
  <c r="O25" i="286" s="1"/>
  <c r="T25" i="286"/>
  <c r="U25" i="286" s="1"/>
  <c r="M14" i="289"/>
  <c r="O14" i="289" s="1"/>
  <c r="M108" i="285"/>
  <c r="P121" i="285"/>
  <c r="M76" i="285"/>
  <c r="O76" i="285" s="1"/>
  <c r="T73" i="285"/>
  <c r="U73" i="285" s="1"/>
  <c r="M73" i="285"/>
  <c r="O73" i="285" s="1"/>
  <c r="V83" i="284"/>
  <c r="AN83" i="284"/>
  <c r="T72" i="284"/>
  <c r="U72" i="284" s="1"/>
  <c r="M40" i="284"/>
  <c r="O40" i="284" s="1"/>
  <c r="AN29" i="284"/>
  <c r="V29" i="284"/>
  <c r="V12" i="284"/>
  <c r="AN12" i="284"/>
  <c r="P123" i="285"/>
  <c r="T81" i="285"/>
  <c r="U81" i="285" s="1"/>
  <c r="M77" i="285"/>
  <c r="O77" i="285" s="1"/>
  <c r="T77" i="285"/>
  <c r="U77" i="285" s="1"/>
  <c r="M62" i="285"/>
  <c r="O62" i="285" s="1"/>
  <c r="T62" i="285"/>
  <c r="U62" i="285" s="1"/>
  <c r="V29" i="285"/>
  <c r="AN29" i="285"/>
  <c r="AU29" i="285" s="1"/>
  <c r="M21" i="285"/>
  <c r="O21" i="285" s="1"/>
  <c r="T21" i="285"/>
  <c r="U21" i="285" s="1"/>
  <c r="T77" i="284"/>
  <c r="U77" i="284" s="1"/>
  <c r="M75" i="284"/>
  <c r="O75" i="284" s="1"/>
  <c r="M16" i="284"/>
  <c r="O16" i="284" s="1"/>
  <c r="T49" i="286"/>
  <c r="U49" i="286" s="1"/>
  <c r="M49" i="286"/>
  <c r="O49" i="286" s="1"/>
  <c r="M31" i="285"/>
  <c r="O31" i="285" s="1"/>
  <c r="U6" i="285"/>
  <c r="O56" i="284"/>
  <c r="M32" i="284"/>
  <c r="O32" i="284" s="1"/>
  <c r="T32" i="284"/>
  <c r="U32" i="284" s="1"/>
  <c r="AM84" i="284"/>
  <c r="AJ7" i="296" s="1"/>
  <c r="K18" i="306"/>
  <c r="K19" i="306" s="1"/>
  <c r="L20" i="306" s="1"/>
  <c r="P20" i="306" s="1"/>
  <c r="I19" i="97"/>
  <c r="T94" i="285"/>
  <c r="U94" i="285" s="1"/>
  <c r="M94" i="285"/>
  <c r="O94" i="285" s="1"/>
  <c r="T52" i="284"/>
  <c r="U52" i="284" s="1"/>
  <c r="M52" i="284"/>
  <c r="O52" i="284" s="1"/>
  <c r="T10" i="284"/>
  <c r="U10" i="284" s="1"/>
  <c r="M10" i="284"/>
  <c r="O10" i="284" s="1"/>
  <c r="M42" i="290"/>
  <c r="O42" i="290" s="1"/>
  <c r="T20" i="288"/>
  <c r="U20" i="288" s="1"/>
  <c r="T35" i="285"/>
  <c r="U35" i="285" s="1"/>
  <c r="T26" i="285"/>
  <c r="U26" i="285" s="1"/>
  <c r="M26" i="285"/>
  <c r="O26" i="285" s="1"/>
  <c r="T74" i="284"/>
  <c r="U74" i="284" s="1"/>
  <c r="M39" i="284"/>
  <c r="O39" i="284" s="1"/>
  <c r="T7" i="282"/>
  <c r="K17" i="305"/>
  <c r="L18" i="305" s="1"/>
  <c r="P18" i="305" s="1"/>
  <c r="P5" i="305"/>
  <c r="M5" i="280"/>
  <c r="T5" i="280" s="1"/>
  <c r="F14" i="279"/>
  <c r="D13" i="12" s="1"/>
  <c r="T103" i="285"/>
  <c r="U103" i="285" s="1"/>
  <c r="V39" i="285"/>
  <c r="AN39" i="285"/>
  <c r="AU39" i="285" s="1"/>
  <c r="T15" i="285"/>
  <c r="U15" i="285" s="1"/>
  <c r="AN78" i="284"/>
  <c r="V78" i="284"/>
  <c r="T60" i="284"/>
  <c r="U60" i="284" s="1"/>
  <c r="M60" i="284"/>
  <c r="O60" i="284" s="1"/>
  <c r="L16" i="305"/>
  <c r="P16" i="280"/>
  <c r="P17" i="280" s="1"/>
  <c r="N14" i="12" s="1"/>
  <c r="P11" i="305"/>
  <c r="T11" i="280"/>
  <c r="M11" i="280"/>
  <c r="V40" i="285"/>
  <c r="AN40" i="285"/>
  <c r="AU40" i="285" s="1"/>
  <c r="T28" i="284"/>
  <c r="U28" i="284" s="1"/>
  <c r="M28" i="284"/>
  <c r="O28" i="284" s="1"/>
  <c r="P10" i="306"/>
  <c r="M13" i="282"/>
  <c r="L17" i="280"/>
  <c r="J14" i="12" s="1"/>
  <c r="P9" i="278"/>
  <c r="L9" i="303"/>
  <c r="P8" i="277"/>
  <c r="L9" i="302"/>
  <c r="L14" i="302" s="1"/>
  <c r="L17" i="302" s="1"/>
  <c r="F17" i="302"/>
  <c r="P22" i="276"/>
  <c r="L22" i="301"/>
  <c r="L14" i="301"/>
  <c r="P14" i="276"/>
  <c r="P12" i="302"/>
  <c r="M13" i="277"/>
  <c r="M23" i="276"/>
  <c r="T23" i="276" s="1"/>
  <c r="P23" i="301"/>
  <c r="U15" i="276"/>
  <c r="P8" i="276"/>
  <c r="L8" i="301"/>
  <c r="L28" i="301" s="1"/>
  <c r="P15" i="277"/>
  <c r="N11" i="12" s="1"/>
  <c r="T11" i="276"/>
  <c r="X141" i="300"/>
  <c r="T9" i="277"/>
  <c r="M12" i="276"/>
  <c r="P12" i="301"/>
  <c r="M15" i="301"/>
  <c r="O15" i="276"/>
  <c r="O15" i="301" s="1"/>
  <c r="F15" i="277"/>
  <c r="D11" i="12" s="1"/>
  <c r="H141" i="300"/>
  <c r="L127" i="275"/>
  <c r="J9" i="12" s="1"/>
  <c r="F125" i="309"/>
  <c r="F11" i="300"/>
  <c r="O98" i="300"/>
  <c r="O122" i="309"/>
  <c r="M112" i="300"/>
  <c r="M115" i="309"/>
  <c r="O115" i="275"/>
  <c r="M57" i="300"/>
  <c r="M109" i="309"/>
  <c r="O109" i="275"/>
  <c r="M110" i="300"/>
  <c r="M104" i="309"/>
  <c r="O104" i="275"/>
  <c r="F101" i="309"/>
  <c r="F55" i="300"/>
  <c r="F63" i="309"/>
  <c r="F5" i="300"/>
  <c r="F6" i="300" s="1"/>
  <c r="D6" i="97" s="1"/>
  <c r="K13" i="300"/>
  <c r="K141" i="300" s="1"/>
  <c r="L81" i="300"/>
  <c r="L57" i="309"/>
  <c r="P57" i="275"/>
  <c r="F124" i="300"/>
  <c r="F34" i="309"/>
  <c r="L121" i="300"/>
  <c r="P20" i="275"/>
  <c r="L20" i="309"/>
  <c r="L133" i="300"/>
  <c r="P14" i="275"/>
  <c r="L14" i="309"/>
  <c r="L120" i="300"/>
  <c r="L131" i="300" s="1"/>
  <c r="P12" i="275"/>
  <c r="L12" i="309"/>
  <c r="M10" i="300"/>
  <c r="O106" i="275"/>
  <c r="T106" i="275"/>
  <c r="M106" i="309"/>
  <c r="T9" i="300"/>
  <c r="T103" i="309"/>
  <c r="V101" i="309"/>
  <c r="V55" i="300"/>
  <c r="V62" i="300" s="1"/>
  <c r="L139" i="300"/>
  <c r="L95" i="309"/>
  <c r="P95" i="275"/>
  <c r="L91" i="300"/>
  <c r="P90" i="275"/>
  <c r="L90" i="309"/>
  <c r="P81" i="275"/>
  <c r="L51" i="300"/>
  <c r="L70" i="309"/>
  <c r="P70" i="275"/>
  <c r="L15" i="300"/>
  <c r="L58" i="309"/>
  <c r="P58" i="275"/>
  <c r="L76" i="300"/>
  <c r="P43" i="275"/>
  <c r="L43" i="309"/>
  <c r="L42" i="300"/>
  <c r="L23" i="309"/>
  <c r="P23" i="275"/>
  <c r="P18" i="275"/>
  <c r="L32" i="300"/>
  <c r="L18" i="309"/>
  <c r="L14" i="300"/>
  <c r="L16" i="300" s="1"/>
  <c r="P7" i="275"/>
  <c r="L7" i="309"/>
  <c r="L127" i="309" s="1"/>
  <c r="P128" i="309" s="1"/>
  <c r="P87" i="300"/>
  <c r="M85" i="275"/>
  <c r="T85" i="275" s="1"/>
  <c r="P85" i="309"/>
  <c r="P5" i="300"/>
  <c r="P6" i="300" s="1"/>
  <c r="T63" i="275"/>
  <c r="M63" i="275"/>
  <c r="P63" i="309"/>
  <c r="P127" i="300"/>
  <c r="T49" i="275"/>
  <c r="M49" i="275"/>
  <c r="P49" i="309"/>
  <c r="P12" i="300"/>
  <c r="T21" i="275"/>
  <c r="M21" i="275"/>
  <c r="P21" i="309"/>
  <c r="N67" i="300"/>
  <c r="L17" i="97" s="1"/>
  <c r="P109" i="300"/>
  <c r="P111" i="300" s="1"/>
  <c r="T96" i="275"/>
  <c r="M96" i="275"/>
  <c r="P96" i="309"/>
  <c r="S81" i="309"/>
  <c r="S85" i="300"/>
  <c r="P135" i="300"/>
  <c r="T64" i="275"/>
  <c r="M64" i="275"/>
  <c r="P64" i="309"/>
  <c r="P134" i="300"/>
  <c r="P60" i="309"/>
  <c r="M60" i="275"/>
  <c r="L27" i="300"/>
  <c r="L36" i="309"/>
  <c r="P36" i="275"/>
  <c r="F34" i="300"/>
  <c r="F22" i="309"/>
  <c r="F33" i="300"/>
  <c r="F19" i="309"/>
  <c r="L132" i="300"/>
  <c r="L13" i="309"/>
  <c r="M76" i="275"/>
  <c r="P48" i="300"/>
  <c r="P65" i="309"/>
  <c r="M65" i="275"/>
  <c r="P70" i="300"/>
  <c r="P26" i="309"/>
  <c r="M26" i="275"/>
  <c r="Z136" i="299"/>
  <c r="E12" i="97"/>
  <c r="P136" i="300"/>
  <c r="P67" i="309"/>
  <c r="M67" i="275"/>
  <c r="T67" i="275" s="1"/>
  <c r="L128" i="275"/>
  <c r="G136" i="299"/>
  <c r="AA66" i="300"/>
  <c r="AA126" i="309"/>
  <c r="T115" i="275"/>
  <c r="T98" i="275"/>
  <c r="P72" i="300"/>
  <c r="P32" i="309"/>
  <c r="M32" i="275"/>
  <c r="P123" i="300"/>
  <c r="P31" i="309"/>
  <c r="M31" i="275"/>
  <c r="B12" i="97"/>
  <c r="L125" i="308"/>
  <c r="L97" i="299"/>
  <c r="O125" i="274"/>
  <c r="F95" i="299"/>
  <c r="F122" i="308"/>
  <c r="F129" i="308" s="1"/>
  <c r="P106" i="299"/>
  <c r="P109" i="308"/>
  <c r="M109" i="274"/>
  <c r="T109" i="274" s="1"/>
  <c r="P50" i="299"/>
  <c r="P90" i="308"/>
  <c r="M90" i="274"/>
  <c r="T90" i="274" s="1"/>
  <c r="P77" i="299"/>
  <c r="P80" i="308"/>
  <c r="M80" i="274"/>
  <c r="T80" i="274" s="1"/>
  <c r="I9" i="97"/>
  <c r="P43" i="299"/>
  <c r="P69" i="308"/>
  <c r="T69" i="274"/>
  <c r="M69" i="274"/>
  <c r="O72" i="299"/>
  <c r="O55" i="308"/>
  <c r="P104" i="299"/>
  <c r="P50" i="308"/>
  <c r="M50" i="274"/>
  <c r="T50" i="274" s="1"/>
  <c r="P45" i="308"/>
  <c r="P34" i="299"/>
  <c r="M45" i="274"/>
  <c r="T45" i="274" s="1"/>
  <c r="S133" i="299"/>
  <c r="P11" i="299"/>
  <c r="P5" i="308"/>
  <c r="M5" i="274"/>
  <c r="T5" i="274" s="1"/>
  <c r="P37" i="272"/>
  <c r="L53" i="298"/>
  <c r="L127" i="308"/>
  <c r="L98" i="299"/>
  <c r="P127" i="274"/>
  <c r="L95" i="299"/>
  <c r="L122" i="308"/>
  <c r="L129" i="308" s="1"/>
  <c r="L130" i="308" s="1"/>
  <c r="O122" i="274"/>
  <c r="S85" i="299"/>
  <c r="S100" i="299" s="1"/>
  <c r="S96" i="308"/>
  <c r="S47" i="299"/>
  <c r="S87" i="308"/>
  <c r="L82" i="308"/>
  <c r="L78" i="299"/>
  <c r="P82" i="274"/>
  <c r="L125" i="299"/>
  <c r="L130" i="299" s="1"/>
  <c r="L52" i="308"/>
  <c r="P52" i="274"/>
  <c r="L32" i="299"/>
  <c r="L41" i="308"/>
  <c r="P41" i="274"/>
  <c r="L110" i="299"/>
  <c r="L35" i="308"/>
  <c r="P35" i="274"/>
  <c r="L24" i="308"/>
  <c r="L24" i="299"/>
  <c r="P24" i="274"/>
  <c r="P20" i="299"/>
  <c r="P20" i="308"/>
  <c r="T20" i="274"/>
  <c r="M20" i="274"/>
  <c r="L15" i="299"/>
  <c r="P11" i="274"/>
  <c r="L11" i="308"/>
  <c r="L5" i="299"/>
  <c r="L10" i="299" s="1"/>
  <c r="L8" i="308"/>
  <c r="P8" i="274"/>
  <c r="P39" i="272"/>
  <c r="L21" i="298"/>
  <c r="P15" i="298"/>
  <c r="M28" i="272"/>
  <c r="P82" i="299"/>
  <c r="P92" i="308"/>
  <c r="M92" i="274"/>
  <c r="T92" i="274" s="1"/>
  <c r="P44" i="299"/>
  <c r="P72" i="308"/>
  <c r="M72" i="274"/>
  <c r="T72" i="274" s="1"/>
  <c r="B16" i="97"/>
  <c r="L133" i="299"/>
  <c r="P34" i="308"/>
  <c r="P28" i="299"/>
  <c r="M34" i="274"/>
  <c r="N64" i="299"/>
  <c r="L8" i="97" s="1"/>
  <c r="P64" i="298"/>
  <c r="M61" i="272"/>
  <c r="P60" i="298"/>
  <c r="M54" i="272"/>
  <c r="T54" i="272" s="1"/>
  <c r="F89" i="308"/>
  <c r="F49" i="299"/>
  <c r="S33" i="299"/>
  <c r="S64" i="299" s="1"/>
  <c r="Q8" i="97" s="1"/>
  <c r="S44" i="308"/>
  <c r="S112" i="308" s="1"/>
  <c r="K133" i="299"/>
  <c r="N100" i="299"/>
  <c r="L11" i="97" s="1"/>
  <c r="L62" i="299"/>
  <c r="P17" i="274"/>
  <c r="L17" i="308"/>
  <c r="L16" i="299"/>
  <c r="P12" i="274"/>
  <c r="L12" i="308"/>
  <c r="F5" i="299"/>
  <c r="F10" i="299" s="1"/>
  <c r="F8" i="308"/>
  <c r="F112" i="308" s="1"/>
  <c r="F130" i="308" s="1"/>
  <c r="V75" i="272"/>
  <c r="V37" i="298" s="1"/>
  <c r="U37" i="298"/>
  <c r="P65" i="272"/>
  <c r="L71" i="298"/>
  <c r="L59" i="298"/>
  <c r="P52" i="272"/>
  <c r="L55" i="298"/>
  <c r="P44" i="272"/>
  <c r="M41" i="272"/>
  <c r="T41" i="272" s="1"/>
  <c r="P23" i="298"/>
  <c r="P27" i="272"/>
  <c r="L73" i="298"/>
  <c r="P86" i="308"/>
  <c r="P81" i="299"/>
  <c r="M86" i="274"/>
  <c r="T86" i="274" s="1"/>
  <c r="P123" i="299"/>
  <c r="P124" i="299" s="1"/>
  <c r="P65" i="308"/>
  <c r="M65" i="274"/>
  <c r="T65" i="274" s="1"/>
  <c r="P58" i="298"/>
  <c r="T51" i="272"/>
  <c r="M51" i="272"/>
  <c r="T31" i="272"/>
  <c r="T107" i="274"/>
  <c r="P91" i="299"/>
  <c r="P106" i="308"/>
  <c r="T106" i="274"/>
  <c r="M106" i="274"/>
  <c r="M95" i="308"/>
  <c r="M84" i="299"/>
  <c r="O95" i="274"/>
  <c r="P115" i="299"/>
  <c r="P81" i="308"/>
  <c r="M81" i="274"/>
  <c r="T81" i="274" s="1"/>
  <c r="T73" i="274"/>
  <c r="M70" i="308"/>
  <c r="M8" i="299"/>
  <c r="O70" i="274"/>
  <c r="L6" i="298"/>
  <c r="P10" i="272"/>
  <c r="Q16" i="12"/>
  <c r="Q29" i="97" s="1"/>
  <c r="T84" i="274"/>
  <c r="P102" i="299"/>
  <c r="P31" i="308"/>
  <c r="M31" i="274"/>
  <c r="P72" i="298"/>
  <c r="T66" i="272"/>
  <c r="M66" i="272"/>
  <c r="P9" i="298"/>
  <c r="M18" i="272"/>
  <c r="T18" i="272" s="1"/>
  <c r="K39" i="298"/>
  <c r="I7" i="97" s="1"/>
  <c r="T118" i="274"/>
  <c r="T116" i="274"/>
  <c r="M129" i="299"/>
  <c r="M110" i="308"/>
  <c r="O110" i="274"/>
  <c r="M88" i="299"/>
  <c r="M103" i="308"/>
  <c r="O103" i="274"/>
  <c r="P59" i="299"/>
  <c r="P102" i="308"/>
  <c r="T102" i="274"/>
  <c r="M102" i="274"/>
  <c r="P80" i="299"/>
  <c r="P85" i="308"/>
  <c r="T85" i="274"/>
  <c r="M85" i="274"/>
  <c r="T77" i="274"/>
  <c r="M26" i="299"/>
  <c r="M29" i="308"/>
  <c r="O29" i="274"/>
  <c r="T40" i="272"/>
  <c r="M40" i="272"/>
  <c r="P22" i="298"/>
  <c r="S80" i="298"/>
  <c r="P48" i="298"/>
  <c r="M21" i="272"/>
  <c r="T21" i="272" s="1"/>
  <c r="L7" i="298"/>
  <c r="P13" i="272"/>
  <c r="D22" i="38"/>
  <c r="E22" i="38" s="1"/>
  <c r="D21" i="38"/>
  <c r="P81" i="297"/>
  <c r="P82" i="297" s="1"/>
  <c r="O82" i="297"/>
  <c r="AC81" i="297"/>
  <c r="AC82" i="297" s="1"/>
  <c r="AC25" i="297"/>
  <c r="AB55" i="297"/>
  <c r="AA56" i="297"/>
  <c r="AA104" i="297" s="1"/>
  <c r="AC30" i="297"/>
  <c r="Q30" i="297"/>
  <c r="Q56" i="297" s="1"/>
  <c r="Q104" i="297" s="1"/>
  <c r="Q117" i="297" s="1"/>
  <c r="M104" i="297"/>
  <c r="M117" i="297" s="1"/>
  <c r="P16" i="293"/>
  <c r="T6" i="293"/>
  <c r="M6" i="293"/>
  <c r="M17" i="294"/>
  <c r="O17" i="294" s="1"/>
  <c r="M9" i="294"/>
  <c r="O9" i="294" s="1"/>
  <c r="W14" i="293"/>
  <c r="AN14" i="293"/>
  <c r="T19" i="290"/>
  <c r="U19" i="290" s="1"/>
  <c r="M19" i="290"/>
  <c r="O19" i="290" s="1"/>
  <c r="T19" i="294"/>
  <c r="U19" i="294" s="1"/>
  <c r="M19" i="294"/>
  <c r="O19" i="294" s="1"/>
  <c r="T9" i="292"/>
  <c r="U9" i="292" s="1"/>
  <c r="M9" i="292"/>
  <c r="W11" i="291"/>
  <c r="AN11" i="291"/>
  <c r="P59" i="297"/>
  <c r="P61" i="297" s="1"/>
  <c r="P104" i="297" s="1"/>
  <c r="P117" i="297" s="1"/>
  <c r="AC59" i="297"/>
  <c r="AC61" i="297" s="1"/>
  <c r="O61" i="297"/>
  <c r="O104" i="297" s="1"/>
  <c r="O117" i="297" s="1"/>
  <c r="V25" i="290"/>
  <c r="AN25" i="290"/>
  <c r="T8" i="287"/>
  <c r="U6" i="287"/>
  <c r="M18" i="286"/>
  <c r="O18" i="286" s="1"/>
  <c r="V8" i="292"/>
  <c r="AN8" i="292"/>
  <c r="AN9" i="288"/>
  <c r="W9" i="288"/>
  <c r="M17" i="291"/>
  <c r="O17" i="291" s="1"/>
  <c r="T17" i="291"/>
  <c r="U17" i="291" s="1"/>
  <c r="AN40" i="290"/>
  <c r="V40" i="290"/>
  <c r="V14" i="290"/>
  <c r="AN14" i="290"/>
  <c r="W41" i="286"/>
  <c r="AN41" i="286"/>
  <c r="M37" i="290"/>
  <c r="O37" i="290" s="1"/>
  <c r="M11" i="290"/>
  <c r="O11" i="290" s="1"/>
  <c r="O15" i="289"/>
  <c r="T47" i="286"/>
  <c r="U47" i="286" s="1"/>
  <c r="M47" i="286"/>
  <c r="O47" i="286" s="1"/>
  <c r="T39" i="286"/>
  <c r="U39" i="286" s="1"/>
  <c r="M39" i="286"/>
  <c r="O39" i="286" s="1"/>
  <c r="AN9" i="295"/>
  <c r="V9" i="295"/>
  <c r="V33" i="290"/>
  <c r="AN33" i="290"/>
  <c r="AN29" i="290"/>
  <c r="V29" i="290"/>
  <c r="AN18" i="290"/>
  <c r="V18" i="290"/>
  <c r="W24" i="288"/>
  <c r="AN24" i="288"/>
  <c r="T42" i="286"/>
  <c r="U42" i="286" s="1"/>
  <c r="M42" i="286"/>
  <c r="O42" i="286" s="1"/>
  <c r="T27" i="286"/>
  <c r="U27" i="286" s="1"/>
  <c r="M27" i="286"/>
  <c r="O27" i="286" s="1"/>
  <c r="AO122" i="285"/>
  <c r="M10" i="293"/>
  <c r="O10" i="293" s="1"/>
  <c r="AN32" i="290"/>
  <c r="V32" i="290"/>
  <c r="P15" i="289"/>
  <c r="M9" i="287"/>
  <c r="M15" i="286"/>
  <c r="O15" i="286" s="1"/>
  <c r="V66" i="285"/>
  <c r="AN66" i="285"/>
  <c r="AU66" i="285" s="1"/>
  <c r="AN7" i="289"/>
  <c r="W7" i="289"/>
  <c r="AN17" i="286"/>
  <c r="W17" i="286"/>
  <c r="AN97" i="285"/>
  <c r="AU97" i="285" s="1"/>
  <c r="V97" i="285"/>
  <c r="AN93" i="285"/>
  <c r="AU93" i="285" s="1"/>
  <c r="V93" i="285"/>
  <c r="V64" i="285"/>
  <c r="AN64" i="285"/>
  <c r="AU64" i="285" s="1"/>
  <c r="V61" i="284"/>
  <c r="AN61" i="284"/>
  <c r="V25" i="284"/>
  <c r="AN25" i="284"/>
  <c r="W17" i="288"/>
  <c r="AN17" i="288"/>
  <c r="AN60" i="286"/>
  <c r="W60" i="286"/>
  <c r="AN120" i="285"/>
  <c r="AU120" i="285" s="1"/>
  <c r="V120" i="285"/>
  <c r="AN101" i="285"/>
  <c r="AU101" i="285" s="1"/>
  <c r="V101" i="285"/>
  <c r="M65" i="285"/>
  <c r="O65" i="285" s="1"/>
  <c r="T65" i="285"/>
  <c r="U65" i="285" s="1"/>
  <c r="M43" i="285"/>
  <c r="O43" i="285" s="1"/>
  <c r="T43" i="285"/>
  <c r="U43" i="285" s="1"/>
  <c r="P105" i="285"/>
  <c r="AN37" i="284"/>
  <c r="V37" i="284"/>
  <c r="AI19" i="296"/>
  <c r="M5" i="282"/>
  <c r="P15" i="306"/>
  <c r="P16" i="306" s="1"/>
  <c r="AN59" i="285"/>
  <c r="AU59" i="285" s="1"/>
  <c r="V59" i="285"/>
  <c r="M33" i="285"/>
  <c r="O33" i="285" s="1"/>
  <c r="AN25" i="285"/>
  <c r="AU25" i="285" s="1"/>
  <c r="V25" i="285"/>
  <c r="M22" i="285"/>
  <c r="O22" i="285" s="1"/>
  <c r="P9" i="306"/>
  <c r="T12" i="282"/>
  <c r="M12" i="282"/>
  <c r="T96" i="285"/>
  <c r="U96" i="285" s="1"/>
  <c r="M96" i="285"/>
  <c r="O96" i="285" s="1"/>
  <c r="L18" i="280"/>
  <c r="P18" i="280" s="1"/>
  <c r="I14" i="12"/>
  <c r="M44" i="286"/>
  <c r="O44" i="286" s="1"/>
  <c r="AN109" i="285"/>
  <c r="AU109" i="285" s="1"/>
  <c r="V109" i="285"/>
  <c r="M98" i="285"/>
  <c r="O98" i="285" s="1"/>
  <c r="M63" i="284"/>
  <c r="O63" i="284" s="1"/>
  <c r="M51" i="284"/>
  <c r="O51" i="284" s="1"/>
  <c r="T51" i="284"/>
  <c r="U51" i="284" s="1"/>
  <c r="W10" i="288"/>
  <c r="AN10" i="288"/>
  <c r="M87" i="285"/>
  <c r="O87" i="285" s="1"/>
  <c r="T87" i="285"/>
  <c r="U87" i="285" s="1"/>
  <c r="AN57" i="285"/>
  <c r="AU57" i="285" s="1"/>
  <c r="V57" i="285"/>
  <c r="M7" i="285"/>
  <c r="V71" i="284"/>
  <c r="AN71" i="284"/>
  <c r="AN45" i="284"/>
  <c r="V45" i="284"/>
  <c r="AN36" i="284"/>
  <c r="V36" i="284"/>
  <c r="AN31" i="284"/>
  <c r="V31" i="284"/>
  <c r="M15" i="284"/>
  <c r="O15" i="284" s="1"/>
  <c r="L13" i="306"/>
  <c r="P9" i="282"/>
  <c r="L15" i="304"/>
  <c r="P12" i="279"/>
  <c r="L7" i="303"/>
  <c r="P7" i="278"/>
  <c r="L21" i="301"/>
  <c r="P21" i="276"/>
  <c r="L6" i="303"/>
  <c r="P6" i="278"/>
  <c r="M11" i="277"/>
  <c r="P6" i="302"/>
  <c r="L29" i="276"/>
  <c r="P29" i="276" s="1"/>
  <c r="I10" i="12"/>
  <c r="L16" i="277"/>
  <c r="P16" i="277" s="1"/>
  <c r="I11" i="12"/>
  <c r="P11" i="302"/>
  <c r="M12" i="277"/>
  <c r="F28" i="276"/>
  <c r="D10" i="12" s="1"/>
  <c r="P18" i="276"/>
  <c r="L18" i="301"/>
  <c r="T7" i="276"/>
  <c r="M7" i="276"/>
  <c r="P7" i="301"/>
  <c r="M15" i="302"/>
  <c r="M16" i="302" s="1"/>
  <c r="N141" i="300"/>
  <c r="L18" i="97"/>
  <c r="P29" i="301"/>
  <c r="M19" i="301"/>
  <c r="O19" i="276"/>
  <c r="O19" i="301" s="1"/>
  <c r="W100" i="300"/>
  <c r="W123" i="309"/>
  <c r="W102" i="300"/>
  <c r="W121" i="309"/>
  <c r="L116" i="309"/>
  <c r="L96" i="300"/>
  <c r="P116" i="275"/>
  <c r="F25" i="300"/>
  <c r="F107" i="309"/>
  <c r="U9" i="300"/>
  <c r="E10" i="160"/>
  <c r="U103" i="309"/>
  <c r="V103" i="275"/>
  <c r="F87" i="300"/>
  <c r="F85" i="309"/>
  <c r="F86" i="300"/>
  <c r="F82" i="309"/>
  <c r="L43" i="300"/>
  <c r="P38" i="275"/>
  <c r="L38" i="309"/>
  <c r="AS141" i="300"/>
  <c r="L17" i="300"/>
  <c r="P17" i="275"/>
  <c r="L17" i="309"/>
  <c r="P132" i="300"/>
  <c r="M13" i="275"/>
  <c r="P13" i="309"/>
  <c r="L31" i="300"/>
  <c r="P11" i="275"/>
  <c r="L11" i="309"/>
  <c r="P28" i="300"/>
  <c r="T5" i="275"/>
  <c r="M5" i="275"/>
  <c r="P5" i="309"/>
  <c r="O60" i="300"/>
  <c r="O112" i="309"/>
  <c r="O108" i="275"/>
  <c r="M56" i="300"/>
  <c r="T108" i="275"/>
  <c r="M108" i="309"/>
  <c r="O130" i="300"/>
  <c r="O105" i="309"/>
  <c r="F137" i="300"/>
  <c r="F84" i="309"/>
  <c r="L39" i="300"/>
  <c r="L78" i="309"/>
  <c r="P78" i="275"/>
  <c r="F136" i="300"/>
  <c r="F67" i="309"/>
  <c r="L45" i="300"/>
  <c r="L54" i="309"/>
  <c r="P54" i="275"/>
  <c r="S79" i="300"/>
  <c r="S99" i="300" s="1"/>
  <c r="S48" i="309"/>
  <c r="F122" i="300"/>
  <c r="F131" i="300" s="1"/>
  <c r="D15" i="97" s="1"/>
  <c r="F27" i="309"/>
  <c r="L34" i="300"/>
  <c r="P22" i="275"/>
  <c r="L22" i="309"/>
  <c r="P16" i="275"/>
  <c r="L68" i="300"/>
  <c r="L99" i="300" s="1"/>
  <c r="L16" i="309"/>
  <c r="L29" i="300"/>
  <c r="P9" i="275"/>
  <c r="L9" i="309"/>
  <c r="F65" i="300"/>
  <c r="F67" i="300" s="1"/>
  <c r="D17" i="97" s="1"/>
  <c r="F6" i="309"/>
  <c r="P19" i="300"/>
  <c r="T44" i="275"/>
  <c r="M44" i="275"/>
  <c r="P44" i="309"/>
  <c r="L128" i="309"/>
  <c r="W107" i="300"/>
  <c r="W124" i="309"/>
  <c r="M59" i="300"/>
  <c r="M111" i="309"/>
  <c r="O111" i="275"/>
  <c r="M25" i="300"/>
  <c r="M107" i="309"/>
  <c r="T107" i="275"/>
  <c r="P94" i="300"/>
  <c r="P99" i="309"/>
  <c r="M99" i="275"/>
  <c r="L54" i="300"/>
  <c r="P93" i="275"/>
  <c r="L93" i="309"/>
  <c r="P86" i="300"/>
  <c r="P82" i="309"/>
  <c r="M82" i="275"/>
  <c r="F81" i="309"/>
  <c r="F85" i="300"/>
  <c r="F99" i="300" s="1"/>
  <c r="F53" i="309"/>
  <c r="F44" i="300"/>
  <c r="P63" i="300"/>
  <c r="P64" i="300" s="1"/>
  <c r="T51" i="275"/>
  <c r="M51" i="275"/>
  <c r="P51" i="309"/>
  <c r="P126" i="300"/>
  <c r="P40" i="309"/>
  <c r="M40" i="275"/>
  <c r="P74" i="300"/>
  <c r="T35" i="275"/>
  <c r="M35" i="275"/>
  <c r="P35" i="309"/>
  <c r="L18" i="300"/>
  <c r="L28" i="309"/>
  <c r="P28" i="275"/>
  <c r="F62" i="300"/>
  <c r="D9" i="97" s="1"/>
  <c r="D130" i="308"/>
  <c r="L13" i="300"/>
  <c r="P75" i="300"/>
  <c r="P41" i="309"/>
  <c r="M41" i="275"/>
  <c r="T41" i="275" s="1"/>
  <c r="P122" i="300"/>
  <c r="P27" i="309"/>
  <c r="M27" i="275"/>
  <c r="T27" i="275" s="1"/>
  <c r="P89" i="300"/>
  <c r="P87" i="309"/>
  <c r="M87" i="275"/>
  <c r="T87" i="275" s="1"/>
  <c r="T109" i="275"/>
  <c r="J136" i="299"/>
  <c r="Q130" i="308"/>
  <c r="N112" i="308"/>
  <c r="N130" i="308" s="1"/>
  <c r="L126" i="308"/>
  <c r="L54" i="299"/>
  <c r="P126" i="274"/>
  <c r="P121" i="308"/>
  <c r="P94" i="299"/>
  <c r="M121" i="274"/>
  <c r="O45" i="299"/>
  <c r="O73" i="308"/>
  <c r="P105" i="299"/>
  <c r="P62" i="308"/>
  <c r="M62" i="274"/>
  <c r="Q13" i="97"/>
  <c r="O112" i="299"/>
  <c r="O53" i="308"/>
  <c r="O111" i="299"/>
  <c r="O37" i="308"/>
  <c r="P21" i="299"/>
  <c r="T21" i="274"/>
  <c r="P21" i="308"/>
  <c r="M21" i="274"/>
  <c r="S99" i="299"/>
  <c r="S128" i="308"/>
  <c r="S129" i="308" s="1"/>
  <c r="S130" i="308" s="1"/>
  <c r="L118" i="299"/>
  <c r="L119" i="299" s="1"/>
  <c r="J12" i="97" s="1"/>
  <c r="L108" i="308"/>
  <c r="P108" i="274"/>
  <c r="L89" i="299"/>
  <c r="L104" i="308"/>
  <c r="P104" i="274"/>
  <c r="F102" i="308"/>
  <c r="F59" i="299"/>
  <c r="S48" i="299"/>
  <c r="S88" i="308"/>
  <c r="F86" i="308"/>
  <c r="F81" i="299"/>
  <c r="F100" i="299" s="1"/>
  <c r="D11" i="97" s="1"/>
  <c r="L46" i="299"/>
  <c r="L79" i="308"/>
  <c r="P79" i="274"/>
  <c r="L59" i="308"/>
  <c r="L39" i="299"/>
  <c r="P59" i="274"/>
  <c r="L56" i="299"/>
  <c r="L42" i="308"/>
  <c r="P42" i="274"/>
  <c r="L69" i="299"/>
  <c r="L40" i="308"/>
  <c r="P40" i="274"/>
  <c r="L29" i="299"/>
  <c r="L36" i="308"/>
  <c r="P36" i="274"/>
  <c r="P109" i="299"/>
  <c r="P30" i="308"/>
  <c r="M30" i="274"/>
  <c r="P19" i="299"/>
  <c r="P19" i="308"/>
  <c r="M19" i="274"/>
  <c r="L14" i="299"/>
  <c r="L10" i="308"/>
  <c r="P10" i="274"/>
  <c r="L67" i="299"/>
  <c r="L68" i="299" s="1"/>
  <c r="L7" i="308"/>
  <c r="L112" i="308" s="1"/>
  <c r="P7" i="274"/>
  <c r="L17" i="298"/>
  <c r="P33" i="272"/>
  <c r="N119" i="299"/>
  <c r="P30" i="299"/>
  <c r="P38" i="308"/>
  <c r="M38" i="274"/>
  <c r="O23" i="308"/>
  <c r="O23" i="299"/>
  <c r="M57" i="272"/>
  <c r="P33" i="298"/>
  <c r="P51" i="299"/>
  <c r="P91" i="308"/>
  <c r="T91" i="274"/>
  <c r="M91" i="274"/>
  <c r="P48" i="299"/>
  <c r="P88" i="308"/>
  <c r="T88" i="274"/>
  <c r="M88" i="274"/>
  <c r="F42" i="308"/>
  <c r="F56" i="299"/>
  <c r="P108" i="299"/>
  <c r="M16" i="274"/>
  <c r="P16" i="308"/>
  <c r="F15" i="299"/>
  <c r="F11" i="308"/>
  <c r="P74" i="272"/>
  <c r="L76" i="298"/>
  <c r="L35" i="298"/>
  <c r="P64" i="272"/>
  <c r="L62" i="298"/>
  <c r="P59" i="272"/>
  <c r="P47" i="272"/>
  <c r="L27" i="298"/>
  <c r="T43" i="272"/>
  <c r="M43" i="272"/>
  <c r="P25" i="298"/>
  <c r="P36" i="272"/>
  <c r="L20" i="298"/>
  <c r="M128" i="274"/>
  <c r="G130" i="274"/>
  <c r="P40" i="299"/>
  <c r="P66" i="308"/>
  <c r="T66" i="274"/>
  <c r="M66" i="274"/>
  <c r="P121" i="299"/>
  <c r="P63" i="308"/>
  <c r="T63" i="274"/>
  <c r="M63" i="274"/>
  <c r="P28" i="298"/>
  <c r="T48" i="272"/>
  <c r="M48" i="272"/>
  <c r="T34" i="272"/>
  <c r="M34" i="272"/>
  <c r="P18" i="298"/>
  <c r="P13" i="298"/>
  <c r="T24" i="272"/>
  <c r="M24" i="272"/>
  <c r="P43" i="298"/>
  <c r="M11" i="272"/>
  <c r="D39" i="298"/>
  <c r="B7" i="97" s="1"/>
  <c r="B20" i="97" s="1"/>
  <c r="T84" i="299"/>
  <c r="T95" i="308"/>
  <c r="U95" i="274"/>
  <c r="P116" i="299"/>
  <c r="P94" i="308"/>
  <c r="M94" i="274"/>
  <c r="T70" i="308"/>
  <c r="T8" i="299"/>
  <c r="U70" i="274"/>
  <c r="M72" i="299"/>
  <c r="M55" i="308"/>
  <c r="M51" i="308"/>
  <c r="M38" i="299"/>
  <c r="O51" i="274"/>
  <c r="P78" i="272"/>
  <c r="E7" i="12"/>
  <c r="P70" i="298"/>
  <c r="T9" i="272"/>
  <c r="M9" i="272"/>
  <c r="Q7" i="97"/>
  <c r="P75" i="308"/>
  <c r="P74" i="299"/>
  <c r="M75" i="274"/>
  <c r="P74" i="308"/>
  <c r="P65" i="299"/>
  <c r="P66" i="299" s="1"/>
  <c r="M74" i="274"/>
  <c r="M126" i="299"/>
  <c r="M58" i="308"/>
  <c r="O58" i="274"/>
  <c r="P113" i="299"/>
  <c r="P56" i="308"/>
  <c r="T56" i="274"/>
  <c r="M56" i="274"/>
  <c r="M112" i="299"/>
  <c r="M53" i="308"/>
  <c r="M27" i="308"/>
  <c r="M7" i="299"/>
  <c r="O8" i="97"/>
  <c r="O20" i="97" s="1"/>
  <c r="O30" i="97" s="1"/>
  <c r="P8" i="298"/>
  <c r="M15" i="272"/>
  <c r="P129" i="274"/>
  <c r="T129" i="299"/>
  <c r="T110" i="308"/>
  <c r="U110" i="274"/>
  <c r="T88" i="299"/>
  <c r="T103" i="308"/>
  <c r="U103" i="274"/>
  <c r="M111" i="299"/>
  <c r="M37" i="308"/>
  <c r="T26" i="299"/>
  <c r="T29" i="308"/>
  <c r="U29" i="274"/>
  <c r="L78" i="298"/>
  <c r="L79" i="298" s="1"/>
  <c r="P25" i="272"/>
  <c r="L44" i="298"/>
  <c r="P12" i="272"/>
  <c r="F77" i="298"/>
  <c r="F80" i="298" s="1"/>
  <c r="T21" i="12"/>
  <c r="E21" i="38"/>
  <c r="T24" i="97"/>
  <c r="F8" i="100"/>
  <c r="B29" i="97"/>
  <c r="E31" i="39"/>
  <c r="G11" i="41" s="1"/>
  <c r="C30" i="97"/>
  <c r="D26" i="40"/>
  <c r="D27" i="40" s="1"/>
  <c r="J23" i="40"/>
  <c r="G24" i="40"/>
  <c r="X30" i="97"/>
  <c r="X25" i="97"/>
  <c r="W30" i="97"/>
  <c r="W25" i="97"/>
  <c r="F18" i="304"/>
  <c r="T7" i="279"/>
  <c r="P10" i="304"/>
  <c r="M7" i="279"/>
  <c r="O9" i="279"/>
  <c r="O11" i="304" s="1"/>
  <c r="P7" i="304"/>
  <c r="P8" i="304" s="1"/>
  <c r="M6" i="279"/>
  <c r="T6" i="279" s="1"/>
  <c r="L9" i="304"/>
  <c r="P5" i="279"/>
  <c r="L14" i="279"/>
  <c r="L17" i="304"/>
  <c r="S18" i="304"/>
  <c r="P5" i="304"/>
  <c r="P6" i="304" s="1"/>
  <c r="N6" i="97" s="1"/>
  <c r="M8" i="279"/>
  <c r="T8" i="279" s="1"/>
  <c r="K13" i="304"/>
  <c r="I10" i="97" s="1"/>
  <c r="P14" i="304"/>
  <c r="M10" i="279"/>
  <c r="T10" i="279" s="1"/>
  <c r="AM18" i="304"/>
  <c r="L15" i="279"/>
  <c r="I13" i="12"/>
  <c r="I16" i="12" s="1"/>
  <c r="I11" i="97"/>
  <c r="L12" i="304"/>
  <c r="P11" i="279"/>
  <c r="P16" i="304"/>
  <c r="M13" i="279"/>
  <c r="T9" i="279"/>
  <c r="I26" i="40"/>
  <c r="I27" i="40" s="1"/>
  <c r="I24" i="40"/>
  <c r="T122" i="300" l="1"/>
  <c r="U27" i="275"/>
  <c r="T27" i="309"/>
  <c r="T75" i="300"/>
  <c r="U41" i="275"/>
  <c r="T41" i="309"/>
  <c r="T9" i="298"/>
  <c r="U18" i="272"/>
  <c r="T115" i="299"/>
  <c r="T81" i="308"/>
  <c r="U81" i="274"/>
  <c r="U41" i="272"/>
  <c r="T23" i="298"/>
  <c r="T82" i="299"/>
  <c r="T92" i="308"/>
  <c r="U92" i="274"/>
  <c r="T11" i="299"/>
  <c r="T5" i="308"/>
  <c r="U5" i="274"/>
  <c r="T45" i="308"/>
  <c r="T34" i="299"/>
  <c r="U45" i="274"/>
  <c r="T50" i="299"/>
  <c r="T90" i="308"/>
  <c r="U90" i="274"/>
  <c r="T136" i="300"/>
  <c r="T67" i="309"/>
  <c r="U67" i="275"/>
  <c r="T87" i="300"/>
  <c r="T85" i="309"/>
  <c r="U85" i="275"/>
  <c r="T117" i="308"/>
  <c r="T60" i="299"/>
  <c r="U117" i="274"/>
  <c r="T90" i="299"/>
  <c r="T105" i="308"/>
  <c r="U105" i="274"/>
  <c r="T82" i="300"/>
  <c r="U59" i="275"/>
  <c r="T59" i="309"/>
  <c r="U35" i="272"/>
  <c r="T19" i="298"/>
  <c r="T134" i="299"/>
  <c r="T135" i="299" s="1"/>
  <c r="U13" i="274"/>
  <c r="T13" i="308"/>
  <c r="T7" i="302"/>
  <c r="U6" i="277"/>
  <c r="T5" i="306"/>
  <c r="T6" i="306" s="1"/>
  <c r="U10" i="282"/>
  <c r="T79" i="300"/>
  <c r="T48" i="309"/>
  <c r="U48" i="275"/>
  <c r="T48" i="298"/>
  <c r="U21" i="272"/>
  <c r="T44" i="299"/>
  <c r="T72" i="308"/>
  <c r="U72" i="274"/>
  <c r="T77" i="299"/>
  <c r="T80" i="308"/>
  <c r="U80" i="274"/>
  <c r="T37" i="299"/>
  <c r="T48" i="308"/>
  <c r="U48" i="274"/>
  <c r="T89" i="308"/>
  <c r="T49" i="299"/>
  <c r="U89" i="274"/>
  <c r="T87" i="299"/>
  <c r="T100" i="308"/>
  <c r="U100" i="274"/>
  <c r="T65" i="300"/>
  <c r="T67" i="300" s="1"/>
  <c r="R17" i="97" s="1"/>
  <c r="T6" i="309"/>
  <c r="U6" i="275"/>
  <c r="U14" i="280"/>
  <c r="T14" i="305"/>
  <c r="T7" i="306"/>
  <c r="U6" i="282"/>
  <c r="T89" i="300"/>
  <c r="T87" i="309"/>
  <c r="U87" i="275"/>
  <c r="T86" i="308"/>
  <c r="T81" i="299"/>
  <c r="U86" i="274"/>
  <c r="U23" i="276"/>
  <c r="T23" i="301"/>
  <c r="T54" i="298"/>
  <c r="U38" i="272"/>
  <c r="T123" i="308"/>
  <c r="T96" i="299"/>
  <c r="U123" i="274"/>
  <c r="U58" i="272"/>
  <c r="T61" i="298"/>
  <c r="S141" i="300"/>
  <c r="T17" i="306"/>
  <c r="U11" i="282"/>
  <c r="T123" i="299"/>
  <c r="T124" i="299" s="1"/>
  <c r="T65" i="308"/>
  <c r="U65" i="274"/>
  <c r="T60" i="298"/>
  <c r="U54" i="272"/>
  <c r="Q11" i="97"/>
  <c r="Q20" i="97" s="1"/>
  <c r="Q30" i="97" s="1"/>
  <c r="T104" i="299"/>
  <c r="T50" i="308"/>
  <c r="U50" i="274"/>
  <c r="T106" i="299"/>
  <c r="T109" i="308"/>
  <c r="U109" i="274"/>
  <c r="T5" i="305"/>
  <c r="U5" i="280"/>
  <c r="T75" i="299"/>
  <c r="T76" i="308"/>
  <c r="U76" i="274"/>
  <c r="U16" i="276"/>
  <c r="T16" i="301"/>
  <c r="U68" i="275"/>
  <c r="T49" i="300"/>
  <c r="T68" i="309"/>
  <c r="T8" i="302"/>
  <c r="U7" i="277"/>
  <c r="E16" i="12"/>
  <c r="E29" i="97" s="1"/>
  <c r="T121" i="299"/>
  <c r="T63" i="308"/>
  <c r="U63" i="274"/>
  <c r="P78" i="298"/>
  <c r="P79" i="298" s="1"/>
  <c r="T25" i="272"/>
  <c r="M25" i="272"/>
  <c r="O38" i="299"/>
  <c r="O51" i="308"/>
  <c r="M116" i="299"/>
  <c r="M94" i="308"/>
  <c r="O94" i="274"/>
  <c r="M43" i="298"/>
  <c r="O11" i="272"/>
  <c r="O43" i="298" s="1"/>
  <c r="T18" i="298"/>
  <c r="U34" i="272"/>
  <c r="T74" i="272"/>
  <c r="M74" i="272"/>
  <c r="P76" i="298"/>
  <c r="M108" i="299"/>
  <c r="M16" i="308"/>
  <c r="O16" i="274"/>
  <c r="P17" i="298"/>
  <c r="M33" i="272"/>
  <c r="T33" i="272"/>
  <c r="P118" i="299"/>
  <c r="P108" i="308"/>
  <c r="M108" i="274"/>
  <c r="T108" i="274"/>
  <c r="M94" i="299"/>
  <c r="M121" i="308"/>
  <c r="O121" i="274"/>
  <c r="L13" i="304"/>
  <c r="B30" i="97"/>
  <c r="U70" i="308"/>
  <c r="U8" i="299"/>
  <c r="V70" i="274"/>
  <c r="T94" i="274"/>
  <c r="T11" i="272"/>
  <c r="M28" i="298"/>
  <c r="O48" i="272"/>
  <c r="O28" i="298" s="1"/>
  <c r="M121" i="299"/>
  <c r="M63" i="308"/>
  <c r="O63" i="274"/>
  <c r="M40" i="299"/>
  <c r="M66" i="308"/>
  <c r="O66" i="274"/>
  <c r="P131" i="274"/>
  <c r="E8" i="12"/>
  <c r="P20" i="298"/>
  <c r="M36" i="272"/>
  <c r="P62" i="298"/>
  <c r="T59" i="272"/>
  <c r="M59" i="272"/>
  <c r="T16" i="274"/>
  <c r="M88" i="308"/>
  <c r="M48" i="299"/>
  <c r="O88" i="274"/>
  <c r="M51" i="299"/>
  <c r="M91" i="308"/>
  <c r="O91" i="274"/>
  <c r="P56" i="299"/>
  <c r="P42" i="308"/>
  <c r="M42" i="274"/>
  <c r="T42" i="274" s="1"/>
  <c r="P59" i="308"/>
  <c r="P39" i="299"/>
  <c r="M59" i="274"/>
  <c r="T59" i="274" s="1"/>
  <c r="M21" i="299"/>
  <c r="M21" i="308"/>
  <c r="O21" i="274"/>
  <c r="T121" i="274"/>
  <c r="P126" i="308"/>
  <c r="P54" i="299"/>
  <c r="M126" i="274"/>
  <c r="T126" i="274" s="1"/>
  <c r="T25" i="300"/>
  <c r="T107" i="309"/>
  <c r="U107" i="275"/>
  <c r="P45" i="300"/>
  <c r="M54" i="275"/>
  <c r="P54" i="309"/>
  <c r="O56" i="300"/>
  <c r="O108" i="309"/>
  <c r="M28" i="300"/>
  <c r="M5" i="309"/>
  <c r="O5" i="275"/>
  <c r="P116" i="309"/>
  <c r="P96" i="300"/>
  <c r="T116" i="275"/>
  <c r="M116" i="275"/>
  <c r="O7" i="276"/>
  <c r="O7" i="301" s="1"/>
  <c r="M7" i="301"/>
  <c r="P7" i="303"/>
  <c r="M7" i="278"/>
  <c r="T7" i="278"/>
  <c r="T15" i="284"/>
  <c r="U15" i="284" s="1"/>
  <c r="T63" i="284"/>
  <c r="U63" i="284" s="1"/>
  <c r="M9" i="306"/>
  <c r="O12" i="282"/>
  <c r="O9" i="306" s="1"/>
  <c r="T22" i="285"/>
  <c r="U22" i="285" s="1"/>
  <c r="T33" i="285"/>
  <c r="U33" i="285" s="1"/>
  <c r="T15" i="286"/>
  <c r="U15" i="286" s="1"/>
  <c r="T11" i="290"/>
  <c r="U11" i="290" s="1"/>
  <c r="O9" i="292"/>
  <c r="O12" i="292" s="1"/>
  <c r="M12" i="292"/>
  <c r="T9" i="294"/>
  <c r="U9" i="294" s="1"/>
  <c r="M22" i="298"/>
  <c r="O40" i="272"/>
  <c r="O22" i="298" s="1"/>
  <c r="T52" i="299"/>
  <c r="T116" i="308"/>
  <c r="U116" i="274"/>
  <c r="P6" i="298"/>
  <c r="M10" i="272"/>
  <c r="T10" i="272" s="1"/>
  <c r="M58" i="298"/>
  <c r="O51" i="272"/>
  <c r="O58" i="298" s="1"/>
  <c r="T52" i="272"/>
  <c r="M52" i="272"/>
  <c r="P59" i="298"/>
  <c r="M65" i="272"/>
  <c r="P71" i="298"/>
  <c r="P15" i="299"/>
  <c r="M11" i="274"/>
  <c r="T11" i="274" s="1"/>
  <c r="P11" i="308"/>
  <c r="O95" i="299"/>
  <c r="O122" i="308"/>
  <c r="P127" i="308"/>
  <c r="P98" i="299"/>
  <c r="M127" i="274"/>
  <c r="L140" i="300"/>
  <c r="M109" i="300"/>
  <c r="M111" i="300" s="1"/>
  <c r="M96" i="309"/>
  <c r="O96" i="275"/>
  <c r="M18" i="275"/>
  <c r="T18" i="275" s="1"/>
  <c r="P32" i="300"/>
  <c r="P18" i="309"/>
  <c r="L62" i="300"/>
  <c r="J9" i="97" s="1"/>
  <c r="M90" i="275"/>
  <c r="T90" i="275" s="1"/>
  <c r="P90" i="309"/>
  <c r="P91" i="300"/>
  <c r="O106" i="309"/>
  <c r="O10" i="300"/>
  <c r="P120" i="300"/>
  <c r="P12" i="309"/>
  <c r="T12" i="275"/>
  <c r="M12" i="275"/>
  <c r="P133" i="300"/>
  <c r="P14" i="309"/>
  <c r="T14" i="275"/>
  <c r="M14" i="275"/>
  <c r="P121" i="300"/>
  <c r="P20" i="309"/>
  <c r="M20" i="275"/>
  <c r="T20" i="275" s="1"/>
  <c r="O57" i="300"/>
  <c r="O109" i="309"/>
  <c r="P8" i="301"/>
  <c r="P28" i="301" s="1"/>
  <c r="M8" i="276"/>
  <c r="P14" i="301"/>
  <c r="T14" i="276"/>
  <c r="M14" i="276"/>
  <c r="P9" i="302"/>
  <c r="P14" i="302" s="1"/>
  <c r="P17" i="302" s="1"/>
  <c r="M8" i="277"/>
  <c r="T8" i="277" s="1"/>
  <c r="M11" i="305"/>
  <c r="O11" i="280"/>
  <c r="O11" i="305" s="1"/>
  <c r="T8" i="306"/>
  <c r="U7" i="282"/>
  <c r="T42" i="290"/>
  <c r="U42" i="290" s="1"/>
  <c r="T31" i="285"/>
  <c r="U31" i="285" s="1"/>
  <c r="T16" i="284"/>
  <c r="U16" i="284" s="1"/>
  <c r="AN77" i="284"/>
  <c r="V77" i="284"/>
  <c r="T40" i="284"/>
  <c r="U40" i="284" s="1"/>
  <c r="P122" i="285"/>
  <c r="T14" i="289"/>
  <c r="U14" i="289" s="1"/>
  <c r="T56" i="286"/>
  <c r="U56" i="286" s="1"/>
  <c r="T8" i="290"/>
  <c r="U8" i="290" s="1"/>
  <c r="T64" i="286"/>
  <c r="U64" i="286" s="1"/>
  <c r="AN20" i="290"/>
  <c r="V20" i="290"/>
  <c r="T16" i="291"/>
  <c r="U16" i="291" s="1"/>
  <c r="AN12" i="294"/>
  <c r="V12" i="294"/>
  <c r="T18" i="294"/>
  <c r="U18" i="294" s="1"/>
  <c r="T10" i="292"/>
  <c r="U10" i="292" s="1"/>
  <c r="U42" i="299"/>
  <c r="U68" i="308"/>
  <c r="V68" i="274"/>
  <c r="P40" i="298"/>
  <c r="T6" i="272"/>
  <c r="M6" i="272"/>
  <c r="T31" i="298"/>
  <c r="U55" i="272"/>
  <c r="T53" i="272"/>
  <c r="M53" i="272"/>
  <c r="P30" i="298"/>
  <c r="M65" i="298"/>
  <c r="O62" i="272"/>
  <c r="O65" i="298" s="1"/>
  <c r="D14" i="97"/>
  <c r="M27" i="299"/>
  <c r="M33" i="308"/>
  <c r="O33" i="274"/>
  <c r="P73" i="299"/>
  <c r="P61" i="308"/>
  <c r="M61" i="274"/>
  <c r="T61" i="274" s="1"/>
  <c r="P86" i="299"/>
  <c r="P97" i="308"/>
  <c r="M97" i="274"/>
  <c r="T97" i="274" s="1"/>
  <c r="P128" i="299"/>
  <c r="P99" i="308"/>
  <c r="M99" i="274"/>
  <c r="T99" i="274" s="1"/>
  <c r="M95" i="299"/>
  <c r="M122" i="308"/>
  <c r="M92" i="299"/>
  <c r="M119" i="308"/>
  <c r="O119" i="274"/>
  <c r="M52" i="300"/>
  <c r="M83" i="309"/>
  <c r="O83" i="275"/>
  <c r="M138" i="300"/>
  <c r="M88" i="309"/>
  <c r="O88" i="275"/>
  <c r="M69" i="300"/>
  <c r="M24" i="309"/>
  <c r="O24" i="275"/>
  <c r="M35" i="300"/>
  <c r="M45" i="309"/>
  <c r="O45" i="275"/>
  <c r="M83" i="300"/>
  <c r="M71" i="309"/>
  <c r="O71" i="275"/>
  <c r="U130" i="300"/>
  <c r="U105" i="309"/>
  <c r="W105" i="275"/>
  <c r="P33" i="300"/>
  <c r="M19" i="275"/>
  <c r="P19" i="309"/>
  <c r="P118" i="300"/>
  <c r="P39" i="309"/>
  <c r="M39" i="275"/>
  <c r="T39" i="275" s="1"/>
  <c r="P100" i="309"/>
  <c r="M100" i="275"/>
  <c r="P23" i="300"/>
  <c r="P114" i="300"/>
  <c r="P42" i="309"/>
  <c r="T42" i="275"/>
  <c r="M42" i="275"/>
  <c r="P24" i="301"/>
  <c r="T24" i="276"/>
  <c r="M24" i="276"/>
  <c r="L10" i="303"/>
  <c r="P11" i="303" s="1"/>
  <c r="P8" i="303"/>
  <c r="T8" i="278"/>
  <c r="M8" i="278"/>
  <c r="M12" i="305"/>
  <c r="O12" i="280"/>
  <c r="O12" i="305" s="1"/>
  <c r="T19" i="284"/>
  <c r="U19" i="284" s="1"/>
  <c r="T50" i="284"/>
  <c r="U50" i="284" s="1"/>
  <c r="T10" i="285"/>
  <c r="U10" i="285" s="1"/>
  <c r="T45" i="285"/>
  <c r="U45" i="285" s="1"/>
  <c r="T56" i="285"/>
  <c r="U56" i="285" s="1"/>
  <c r="T119" i="285"/>
  <c r="U119" i="285" s="1"/>
  <c r="T44" i="285"/>
  <c r="U44" i="285" s="1"/>
  <c r="T11" i="286"/>
  <c r="U11" i="286" s="1"/>
  <c r="P43" i="290"/>
  <c r="M6" i="290"/>
  <c r="T6" i="290" s="1"/>
  <c r="T53" i="286"/>
  <c r="U53" i="286" s="1"/>
  <c r="M21" i="294"/>
  <c r="O6" i="294"/>
  <c r="O21" i="294" s="1"/>
  <c r="T13" i="294"/>
  <c r="U13" i="294" s="1"/>
  <c r="V56" i="272"/>
  <c r="V32" i="298" s="1"/>
  <c r="U32" i="298"/>
  <c r="M114" i="299"/>
  <c r="M57" i="308"/>
  <c r="O57" i="274"/>
  <c r="M103" i="299"/>
  <c r="M32" i="308"/>
  <c r="O32" i="274"/>
  <c r="M32" i="272"/>
  <c r="P16" i="298"/>
  <c r="M12" i="299"/>
  <c r="M6" i="308"/>
  <c r="O6" i="274"/>
  <c r="M63" i="299"/>
  <c r="M18" i="308"/>
  <c r="O18" i="274"/>
  <c r="M22" i="299"/>
  <c r="M22" i="308"/>
  <c r="O22" i="274"/>
  <c r="M129" i="300"/>
  <c r="M72" i="309"/>
  <c r="O72" i="275"/>
  <c r="M73" i="309"/>
  <c r="M37" i="300"/>
  <c r="O73" i="275"/>
  <c r="M117" i="300"/>
  <c r="M25" i="309"/>
  <c r="O25" i="275"/>
  <c r="M26" i="300"/>
  <c r="M29" i="309"/>
  <c r="O29" i="275"/>
  <c r="M46" i="300"/>
  <c r="M55" i="309"/>
  <c r="O55" i="275"/>
  <c r="P84" i="300"/>
  <c r="P75" i="309"/>
  <c r="M75" i="275"/>
  <c r="T75" i="275" s="1"/>
  <c r="O106" i="300"/>
  <c r="O119" i="309"/>
  <c r="P22" i="300"/>
  <c r="P94" i="309"/>
  <c r="M94" i="275"/>
  <c r="M25" i="301"/>
  <c r="O25" i="276"/>
  <c r="O25" i="301" s="1"/>
  <c r="P10" i="301"/>
  <c r="T10" i="276"/>
  <c r="M10" i="276"/>
  <c r="M6" i="305"/>
  <c r="O6" i="280"/>
  <c r="O6" i="305" s="1"/>
  <c r="AN17" i="285"/>
  <c r="AU17" i="285" s="1"/>
  <c r="V17" i="285"/>
  <c r="AN14" i="285"/>
  <c r="AU14" i="285" s="1"/>
  <c r="V14" i="285"/>
  <c r="P18" i="306"/>
  <c r="N19" i="97"/>
  <c r="T34" i="285"/>
  <c r="U34" i="285" s="1"/>
  <c r="T47" i="284"/>
  <c r="U47" i="284" s="1"/>
  <c r="P11" i="306"/>
  <c r="AN7" i="284"/>
  <c r="V7" i="284"/>
  <c r="AN13" i="285"/>
  <c r="AU13" i="285" s="1"/>
  <c r="V13" i="285"/>
  <c r="AN110" i="285"/>
  <c r="AU110" i="285" s="1"/>
  <c r="V110" i="285"/>
  <c r="T15" i="289"/>
  <c r="T13" i="293"/>
  <c r="U13" i="293" s="1"/>
  <c r="V31" i="290"/>
  <c r="AN31" i="290"/>
  <c r="T50" i="286"/>
  <c r="U50" i="286" s="1"/>
  <c r="T27" i="290"/>
  <c r="U27" i="290" s="1"/>
  <c r="T10" i="290"/>
  <c r="U10" i="290" s="1"/>
  <c r="AN16" i="294"/>
  <c r="V16" i="294"/>
  <c r="T7" i="291"/>
  <c r="U7" i="291" s="1"/>
  <c r="D80" i="298"/>
  <c r="U27" i="308"/>
  <c r="U7" i="299"/>
  <c r="V27" i="274"/>
  <c r="U59" i="300"/>
  <c r="W111" i="275"/>
  <c r="U111" i="309"/>
  <c r="M75" i="308"/>
  <c r="M74" i="299"/>
  <c r="O75" i="274"/>
  <c r="T28" i="298"/>
  <c r="U48" i="272"/>
  <c r="M99" i="299"/>
  <c r="M128" i="308"/>
  <c r="O128" i="274"/>
  <c r="T128" i="274"/>
  <c r="T48" i="299"/>
  <c r="T88" i="308"/>
  <c r="U88" i="274"/>
  <c r="T51" i="299"/>
  <c r="T91" i="308"/>
  <c r="U91" i="274"/>
  <c r="M33" i="298"/>
  <c r="O57" i="272"/>
  <c r="O33" i="298" s="1"/>
  <c r="M30" i="299"/>
  <c r="M38" i="308"/>
  <c r="O38" i="274"/>
  <c r="L12" i="97"/>
  <c r="N136" i="299"/>
  <c r="M19" i="299"/>
  <c r="M19" i="308"/>
  <c r="O19" i="274"/>
  <c r="M109" i="299"/>
  <c r="M30" i="308"/>
  <c r="O30" i="274"/>
  <c r="P29" i="299"/>
  <c r="P36" i="308"/>
  <c r="T36" i="274"/>
  <c r="M36" i="274"/>
  <c r="P69" i="299"/>
  <c r="P40" i="308"/>
  <c r="M40" i="274"/>
  <c r="T40" i="274" s="1"/>
  <c r="P46" i="299"/>
  <c r="P79" i="308"/>
  <c r="M79" i="274"/>
  <c r="T79" i="274" s="1"/>
  <c r="M105" i="299"/>
  <c r="M62" i="308"/>
  <c r="O62" i="274"/>
  <c r="M126" i="300"/>
  <c r="M40" i="309"/>
  <c r="O40" i="275"/>
  <c r="M86" i="300"/>
  <c r="M82" i="309"/>
  <c r="O82" i="275"/>
  <c r="M94" i="300"/>
  <c r="M99" i="309"/>
  <c r="O99" i="275"/>
  <c r="P29" i="300"/>
  <c r="M9" i="275"/>
  <c r="P9" i="309"/>
  <c r="T9" i="275"/>
  <c r="P34" i="300"/>
  <c r="P22" i="309"/>
  <c r="M22" i="275"/>
  <c r="T22" i="275" s="1"/>
  <c r="T28" i="300"/>
  <c r="U5" i="275"/>
  <c r="T5" i="309"/>
  <c r="M132" i="300"/>
  <c r="M13" i="309"/>
  <c r="V9" i="300"/>
  <c r="V13" i="300" s="1"/>
  <c r="V103" i="309"/>
  <c r="U7" i="276"/>
  <c r="T7" i="301"/>
  <c r="M11" i="302"/>
  <c r="O12" i="277"/>
  <c r="O11" i="302" s="1"/>
  <c r="M6" i="302"/>
  <c r="O11" i="277"/>
  <c r="O6" i="302" s="1"/>
  <c r="M9" i="282"/>
  <c r="P13" i="306"/>
  <c r="M105" i="285"/>
  <c r="O7" i="285"/>
  <c r="O105" i="285" s="1"/>
  <c r="V87" i="285"/>
  <c r="AN87" i="285"/>
  <c r="AU87" i="285" s="1"/>
  <c r="V51" i="284"/>
  <c r="AN51" i="284"/>
  <c r="T9" i="306"/>
  <c r="U12" i="282"/>
  <c r="M15" i="306"/>
  <c r="M16" i="306" s="1"/>
  <c r="O5" i="282"/>
  <c r="V65" i="285"/>
  <c r="AN65" i="285"/>
  <c r="AU65" i="285" s="1"/>
  <c r="AN27" i="286"/>
  <c r="W27" i="286"/>
  <c r="AN47" i="286"/>
  <c r="W47" i="286"/>
  <c r="W17" i="291"/>
  <c r="AN17" i="291"/>
  <c r="V9" i="292"/>
  <c r="AN9" i="292"/>
  <c r="V19" i="290"/>
  <c r="AN19" i="290"/>
  <c r="AE55" i="297"/>
  <c r="AE56" i="297" s="1"/>
  <c r="AE104" i="297" s="1"/>
  <c r="E25" i="40" s="1"/>
  <c r="AB56" i="297"/>
  <c r="AB104" i="297" s="1"/>
  <c r="U21" i="12"/>
  <c r="U24" i="97"/>
  <c r="F9" i="100"/>
  <c r="P7" i="298"/>
  <c r="T13" i="272"/>
  <c r="M13" i="272"/>
  <c r="T22" i="298"/>
  <c r="U40" i="272"/>
  <c r="T76" i="299"/>
  <c r="T77" i="308"/>
  <c r="U77" i="274"/>
  <c r="O129" i="299"/>
  <c r="O110" i="308"/>
  <c r="T118" i="308"/>
  <c r="T61" i="299"/>
  <c r="U118" i="274"/>
  <c r="M102" i="299"/>
  <c r="M31" i="308"/>
  <c r="O31" i="274"/>
  <c r="T9" i="299"/>
  <c r="T84" i="308"/>
  <c r="U84" i="274"/>
  <c r="T58" i="298"/>
  <c r="U51" i="272"/>
  <c r="T27" i="272"/>
  <c r="M27" i="272"/>
  <c r="P73" i="298"/>
  <c r="T44" i="272"/>
  <c r="P55" i="298"/>
  <c r="M44" i="272"/>
  <c r="I15" i="97"/>
  <c r="K136" i="299"/>
  <c r="L137" i="299" s="1"/>
  <c r="M64" i="298"/>
  <c r="O61" i="272"/>
  <c r="O64" i="298" s="1"/>
  <c r="M34" i="308"/>
  <c r="M28" i="299"/>
  <c r="O34" i="274"/>
  <c r="J15" i="97"/>
  <c r="M15" i="298"/>
  <c r="O28" i="272"/>
  <c r="O15" i="298" s="1"/>
  <c r="P82" i="308"/>
  <c r="P78" i="299"/>
  <c r="M82" i="274"/>
  <c r="T82" i="274"/>
  <c r="P53" i="298"/>
  <c r="T37" i="272"/>
  <c r="M37" i="272"/>
  <c r="O125" i="308"/>
  <c r="O97" i="299"/>
  <c r="M123" i="300"/>
  <c r="M31" i="309"/>
  <c r="O31" i="275"/>
  <c r="M72" i="300"/>
  <c r="M32" i="309"/>
  <c r="O32" i="275"/>
  <c r="T104" i="300"/>
  <c r="T98" i="309"/>
  <c r="U98" i="275"/>
  <c r="P137" i="299"/>
  <c r="M70" i="300"/>
  <c r="M26" i="309"/>
  <c r="O26" i="275"/>
  <c r="M65" i="309"/>
  <c r="M48" i="300"/>
  <c r="O65" i="275"/>
  <c r="M20" i="300"/>
  <c r="M76" i="309"/>
  <c r="O76" i="275"/>
  <c r="T76" i="275"/>
  <c r="P27" i="300"/>
  <c r="P36" i="309"/>
  <c r="M36" i="275"/>
  <c r="T36" i="275" s="1"/>
  <c r="M134" i="300"/>
  <c r="M60" i="309"/>
  <c r="O60" i="275"/>
  <c r="T109" i="300"/>
  <c r="T111" i="300" s="1"/>
  <c r="T96" i="309"/>
  <c r="U96" i="275"/>
  <c r="P85" i="300"/>
  <c r="P81" i="309"/>
  <c r="M81" i="275"/>
  <c r="P81" i="300"/>
  <c r="P57" i="309"/>
  <c r="M57" i="275"/>
  <c r="O110" i="300"/>
  <c r="O104" i="309"/>
  <c r="M12" i="301"/>
  <c r="O12" i="276"/>
  <c r="O12" i="301" s="1"/>
  <c r="U11" i="276"/>
  <c r="T11" i="301"/>
  <c r="U15" i="301"/>
  <c r="W15" i="276"/>
  <c r="W15" i="301" s="1"/>
  <c r="M12" i="302"/>
  <c r="O13" i="277"/>
  <c r="O12" i="302" s="1"/>
  <c r="M10" i="306"/>
  <c r="O13" i="282"/>
  <c r="O10" i="306" s="1"/>
  <c r="AN28" i="284"/>
  <c r="V28" i="284"/>
  <c r="T11" i="305"/>
  <c r="U11" i="280"/>
  <c r="V103" i="285"/>
  <c r="AN103" i="285"/>
  <c r="AU103" i="285" s="1"/>
  <c r="AN26" i="285"/>
  <c r="AU26" i="285" s="1"/>
  <c r="V26" i="285"/>
  <c r="AN52" i="284"/>
  <c r="V52" i="284"/>
  <c r="V21" i="285"/>
  <c r="AN21" i="285"/>
  <c r="AU21" i="285" s="1"/>
  <c r="V62" i="285"/>
  <c r="AN62" i="285"/>
  <c r="AU62" i="285" s="1"/>
  <c r="V81" i="285"/>
  <c r="AN81" i="285"/>
  <c r="AU81" i="285" s="1"/>
  <c r="AN72" i="284"/>
  <c r="V72" i="284"/>
  <c r="V73" i="285"/>
  <c r="AN73" i="285"/>
  <c r="AU73" i="285" s="1"/>
  <c r="M121" i="285"/>
  <c r="M122" i="285" s="1"/>
  <c r="O108" i="285"/>
  <c r="O121" i="285" s="1"/>
  <c r="O122" i="285" s="1"/>
  <c r="W25" i="286"/>
  <c r="AN25" i="286"/>
  <c r="AN13" i="288"/>
  <c r="W13" i="288"/>
  <c r="AN14" i="291"/>
  <c r="W14" i="291"/>
  <c r="AN22" i="286"/>
  <c r="W22" i="286"/>
  <c r="W40" i="286"/>
  <c r="AN40" i="286"/>
  <c r="AN18" i="288"/>
  <c r="W18" i="288"/>
  <c r="W45" i="286"/>
  <c r="AN45" i="286"/>
  <c r="AN10" i="291"/>
  <c r="W10" i="291"/>
  <c r="V7" i="294"/>
  <c r="AN7" i="294"/>
  <c r="M6" i="295"/>
  <c r="P15" i="295"/>
  <c r="M41" i="298"/>
  <c r="O7" i="272"/>
  <c r="O41" i="298" s="1"/>
  <c r="P45" i="298"/>
  <c r="T14" i="272"/>
  <c r="M14" i="272"/>
  <c r="T50" i="298"/>
  <c r="U29" i="272"/>
  <c r="O118" i="308"/>
  <c r="O61" i="299"/>
  <c r="L77" i="298"/>
  <c r="U23" i="299"/>
  <c r="AX23" i="299" s="1"/>
  <c r="U23" i="308"/>
  <c r="V23" i="274"/>
  <c r="M29" i="298"/>
  <c r="O49" i="272"/>
  <c r="O29" i="298" s="1"/>
  <c r="P56" i="298"/>
  <c r="M45" i="272"/>
  <c r="U62" i="272"/>
  <c r="T65" i="298"/>
  <c r="M17" i="299"/>
  <c r="M14" i="308"/>
  <c r="O14" i="274"/>
  <c r="T27" i="299"/>
  <c r="T33" i="308"/>
  <c r="U33" i="274"/>
  <c r="M37" i="299"/>
  <c r="M48" i="308"/>
  <c r="O48" i="274"/>
  <c r="M36" i="298"/>
  <c r="O67" i="272"/>
  <c r="O36" i="298" s="1"/>
  <c r="M64" i="308"/>
  <c r="M101" i="299"/>
  <c r="O64" i="274"/>
  <c r="M67" i="308"/>
  <c r="M41" i="299"/>
  <c r="O67" i="274"/>
  <c r="M79" i="299"/>
  <c r="M83" i="308"/>
  <c r="O83" i="274"/>
  <c r="T119" i="308"/>
  <c r="T92" i="299"/>
  <c r="U119" i="274"/>
  <c r="P124" i="308"/>
  <c r="P129" i="308" s="1"/>
  <c r="P130" i="308" s="1"/>
  <c r="P53" i="299"/>
  <c r="T124" i="274"/>
  <c r="M124" i="274"/>
  <c r="T52" i="300"/>
  <c r="U83" i="275"/>
  <c r="T83" i="309"/>
  <c r="T138" i="300"/>
  <c r="U88" i="275"/>
  <c r="T88" i="309"/>
  <c r="P13" i="300"/>
  <c r="T69" i="300"/>
  <c r="U24" i="275"/>
  <c r="T24" i="309"/>
  <c r="T45" i="309"/>
  <c r="U45" i="275"/>
  <c r="T35" i="300"/>
  <c r="P36" i="300"/>
  <c r="P61" i="309"/>
  <c r="M61" i="275"/>
  <c r="T61" i="275" s="1"/>
  <c r="T83" i="300"/>
  <c r="U71" i="275"/>
  <c r="T71" i="309"/>
  <c r="M55" i="300"/>
  <c r="M101" i="309"/>
  <c r="O101" i="275"/>
  <c r="T80" i="300"/>
  <c r="T50" i="309"/>
  <c r="U50" i="275"/>
  <c r="T40" i="300"/>
  <c r="T80" i="309"/>
  <c r="U80" i="275"/>
  <c r="P116" i="300"/>
  <c r="P119" i="300" s="1"/>
  <c r="T8" i="275"/>
  <c r="M8" i="275"/>
  <c r="P8" i="309"/>
  <c r="F41" i="300"/>
  <c r="V105" i="300"/>
  <c r="V118" i="309"/>
  <c r="P5" i="303"/>
  <c r="P10" i="278"/>
  <c r="M5" i="278"/>
  <c r="T5" i="278" s="1"/>
  <c r="M6" i="301"/>
  <c r="O6" i="276"/>
  <c r="M7" i="305"/>
  <c r="O7" i="280"/>
  <c r="O7" i="305" s="1"/>
  <c r="T12" i="305"/>
  <c r="U12" i="280"/>
  <c r="V43" i="284"/>
  <c r="AN43" i="284"/>
  <c r="T10" i="280"/>
  <c r="M10" i="280"/>
  <c r="P10" i="305"/>
  <c r="L14" i="306"/>
  <c r="V20" i="285"/>
  <c r="AN20" i="285"/>
  <c r="AU20" i="285" s="1"/>
  <c r="AN58" i="285"/>
  <c r="AU58" i="285" s="1"/>
  <c r="V58" i="285"/>
  <c r="AN112" i="285"/>
  <c r="AU112" i="285" s="1"/>
  <c r="V112" i="285"/>
  <c r="V102" i="285"/>
  <c r="AN102" i="285"/>
  <c r="AU102" i="285" s="1"/>
  <c r="W9" i="286"/>
  <c r="AN9" i="286"/>
  <c r="AN7" i="286"/>
  <c r="W7" i="286"/>
  <c r="AN55" i="286"/>
  <c r="W55" i="286"/>
  <c r="M27" i="288"/>
  <c r="O6" i="288"/>
  <c r="O27" i="288" s="1"/>
  <c r="U6" i="294"/>
  <c r="M20" i="291"/>
  <c r="O6" i="291"/>
  <c r="O20" i="291" s="1"/>
  <c r="V11" i="292"/>
  <c r="AN11" i="292"/>
  <c r="P49" i="298"/>
  <c r="M23" i="272"/>
  <c r="T23" i="272" s="1"/>
  <c r="M35" i="299"/>
  <c r="M46" i="308"/>
  <c r="O46" i="274"/>
  <c r="M47" i="308"/>
  <c r="M36" i="299"/>
  <c r="O47" i="274"/>
  <c r="M54" i="308"/>
  <c r="M71" i="299"/>
  <c r="O54" i="274"/>
  <c r="O42" i="299"/>
  <c r="O68" i="308"/>
  <c r="M11" i="298"/>
  <c r="O20" i="272"/>
  <c r="O11" i="298" s="1"/>
  <c r="T114" i="299"/>
  <c r="T57" i="308"/>
  <c r="U57" i="274"/>
  <c r="P5" i="298"/>
  <c r="P77" i="272"/>
  <c r="M5" i="272"/>
  <c r="T5" i="272" s="1"/>
  <c r="U26" i="272"/>
  <c r="T14" i="298"/>
  <c r="M63" i="272"/>
  <c r="T63" i="272" s="1"/>
  <c r="P34" i="298"/>
  <c r="F64" i="299"/>
  <c r="F136" i="299" s="1"/>
  <c r="M18" i="299"/>
  <c r="M15" i="308"/>
  <c r="O15" i="274"/>
  <c r="T103" i="299"/>
  <c r="T32" i="308"/>
  <c r="U32" i="274"/>
  <c r="T131" i="299"/>
  <c r="T43" i="308"/>
  <c r="U43" i="274"/>
  <c r="T120" i="308"/>
  <c r="T93" i="299"/>
  <c r="U120" i="274"/>
  <c r="T66" i="298"/>
  <c r="U68" i="272"/>
  <c r="T12" i="299"/>
  <c r="T6" i="308"/>
  <c r="U6" i="274"/>
  <c r="T63" i="299"/>
  <c r="T18" i="308"/>
  <c r="U18" i="274"/>
  <c r="P26" i="308"/>
  <c r="P6" i="299"/>
  <c r="M26" i="274"/>
  <c r="T26" i="274" s="1"/>
  <c r="P39" i="308"/>
  <c r="P31" i="299"/>
  <c r="M39" i="274"/>
  <c r="T39" i="274"/>
  <c r="M44" i="308"/>
  <c r="M33" i="299"/>
  <c r="O44" i="274"/>
  <c r="T22" i="308"/>
  <c r="T22" i="299"/>
  <c r="U22" i="274"/>
  <c r="M137" i="300"/>
  <c r="M84" i="309"/>
  <c r="O84" i="275"/>
  <c r="M30" i="309"/>
  <c r="M71" i="300"/>
  <c r="O30" i="275"/>
  <c r="M125" i="300"/>
  <c r="M37" i="309"/>
  <c r="O37" i="275"/>
  <c r="T37" i="300"/>
  <c r="T73" i="309"/>
  <c r="U73" i="275"/>
  <c r="M8" i="300"/>
  <c r="M74" i="309"/>
  <c r="O74" i="275"/>
  <c r="T117" i="300"/>
  <c r="U25" i="275"/>
  <c r="T25" i="309"/>
  <c r="U29" i="275"/>
  <c r="T26" i="300"/>
  <c r="T29" i="309"/>
  <c r="T46" i="300"/>
  <c r="U55" i="275"/>
  <c r="T55" i="309"/>
  <c r="M21" i="300"/>
  <c r="M79" i="309"/>
  <c r="O79" i="275"/>
  <c r="M92" i="300"/>
  <c r="M92" i="309"/>
  <c r="O92" i="275"/>
  <c r="M103" i="300"/>
  <c r="M108" i="300" s="1"/>
  <c r="M52" i="309"/>
  <c r="O52" i="275"/>
  <c r="L20" i="97"/>
  <c r="L30" i="97" s="1"/>
  <c r="M77" i="275"/>
  <c r="P77" i="309"/>
  <c r="P38" i="300"/>
  <c r="T95" i="300"/>
  <c r="U114" i="275"/>
  <c r="T114" i="309"/>
  <c r="P78" i="300"/>
  <c r="P47" i="309"/>
  <c r="M47" i="275"/>
  <c r="T47" i="275" s="1"/>
  <c r="P128" i="300"/>
  <c r="P66" i="309"/>
  <c r="M66" i="275"/>
  <c r="T66" i="275" s="1"/>
  <c r="P90" i="300"/>
  <c r="P89" i="309"/>
  <c r="M89" i="275"/>
  <c r="T89" i="275" s="1"/>
  <c r="W110" i="309"/>
  <c r="W58" i="300"/>
  <c r="M13" i="301"/>
  <c r="O13" i="276"/>
  <c r="O13" i="301" s="1"/>
  <c r="T25" i="301"/>
  <c r="U25" i="276"/>
  <c r="M27" i="301"/>
  <c r="O27" i="276"/>
  <c r="O27" i="301" s="1"/>
  <c r="T6" i="305"/>
  <c r="U6" i="280"/>
  <c r="M10" i="302"/>
  <c r="O10" i="277"/>
  <c r="O10" i="302" s="1"/>
  <c r="M20" i="301"/>
  <c r="O20" i="276"/>
  <c r="O20" i="301" s="1"/>
  <c r="M8" i="280"/>
  <c r="T8" i="280" s="1"/>
  <c r="P8" i="305"/>
  <c r="P17" i="305" s="1"/>
  <c r="T15" i="305"/>
  <c r="U15" i="280"/>
  <c r="V73" i="284"/>
  <c r="AN73" i="284"/>
  <c r="AN21" i="288"/>
  <c r="W21" i="288"/>
  <c r="AN18" i="284"/>
  <c r="V18" i="284"/>
  <c r="U6" i="284"/>
  <c r="V79" i="285"/>
  <c r="AN79" i="285"/>
  <c r="AU79" i="285" s="1"/>
  <c r="AN76" i="284"/>
  <c r="V76" i="284"/>
  <c r="AN33" i="286"/>
  <c r="W33" i="286"/>
  <c r="W9" i="291"/>
  <c r="AN9" i="291"/>
  <c r="W24" i="286"/>
  <c r="AN24" i="286"/>
  <c r="AN63" i="286"/>
  <c r="W63" i="286"/>
  <c r="W9" i="289"/>
  <c r="AN9" i="289"/>
  <c r="W13" i="291"/>
  <c r="AN13" i="291"/>
  <c r="V11" i="294"/>
  <c r="AN11" i="294"/>
  <c r="W8" i="293"/>
  <c r="AN8" i="293"/>
  <c r="U112" i="299"/>
  <c r="U53" i="308"/>
  <c r="V53" i="274"/>
  <c r="Q5" i="44"/>
  <c r="O47" i="299"/>
  <c r="O87" i="308"/>
  <c r="W5" i="301"/>
  <c r="K80" i="298"/>
  <c r="L81" i="298" s="1"/>
  <c r="U26" i="299"/>
  <c r="U29" i="308"/>
  <c r="V29" i="274"/>
  <c r="M74" i="308"/>
  <c r="M65" i="299"/>
  <c r="M66" i="299" s="1"/>
  <c r="O74" i="274"/>
  <c r="T40" i="299"/>
  <c r="T66" i="308"/>
  <c r="U66" i="274"/>
  <c r="U129" i="299"/>
  <c r="AX129" i="299" s="1"/>
  <c r="U110" i="308"/>
  <c r="V110" i="274"/>
  <c r="M8" i="298"/>
  <c r="O15" i="272"/>
  <c r="O8" i="298" s="1"/>
  <c r="M113" i="299"/>
  <c r="M56" i="308"/>
  <c r="O56" i="274"/>
  <c r="O126" i="299"/>
  <c r="O58" i="308"/>
  <c r="T74" i="274"/>
  <c r="T75" i="274"/>
  <c r="M70" i="298"/>
  <c r="O9" i="272"/>
  <c r="O70" i="298" s="1"/>
  <c r="M13" i="298"/>
  <c r="O24" i="272"/>
  <c r="O13" i="298" s="1"/>
  <c r="M18" i="298"/>
  <c r="O34" i="272"/>
  <c r="O18" i="298" s="1"/>
  <c r="M25" i="298"/>
  <c r="O43" i="272"/>
  <c r="O25" i="298" s="1"/>
  <c r="P27" i="298"/>
  <c r="M47" i="272"/>
  <c r="T47" i="272" s="1"/>
  <c r="P35" i="298"/>
  <c r="T64" i="272"/>
  <c r="M64" i="272"/>
  <c r="T57" i="272"/>
  <c r="T38" i="274"/>
  <c r="P67" i="299"/>
  <c r="P68" i="299" s="1"/>
  <c r="M7" i="274"/>
  <c r="T7" i="274" s="1"/>
  <c r="P7" i="308"/>
  <c r="P112" i="308" s="1"/>
  <c r="P14" i="299"/>
  <c r="M10" i="274"/>
  <c r="T10" i="274" s="1"/>
  <c r="P10" i="308"/>
  <c r="T19" i="274"/>
  <c r="T30" i="274"/>
  <c r="T21" i="299"/>
  <c r="T21" i="308"/>
  <c r="U21" i="274"/>
  <c r="T62" i="274"/>
  <c r="T109" i="309"/>
  <c r="T57" i="300"/>
  <c r="U109" i="275"/>
  <c r="P18" i="300"/>
  <c r="P28" i="309"/>
  <c r="M28" i="275"/>
  <c r="M74" i="300"/>
  <c r="M35" i="309"/>
  <c r="O35" i="275"/>
  <c r="T40" i="275"/>
  <c r="M63" i="300"/>
  <c r="M64" i="300" s="1"/>
  <c r="M51" i="309"/>
  <c r="O51" i="275"/>
  <c r="T82" i="275"/>
  <c r="M19" i="300"/>
  <c r="M44" i="309"/>
  <c r="O44" i="275"/>
  <c r="M16" i="275"/>
  <c r="P68" i="300"/>
  <c r="P16" i="309"/>
  <c r="P39" i="300"/>
  <c r="M78" i="275"/>
  <c r="T78" i="275" s="1"/>
  <c r="P78" i="309"/>
  <c r="T56" i="300"/>
  <c r="U108" i="275"/>
  <c r="T108" i="309"/>
  <c r="P127" i="275"/>
  <c r="P31" i="300"/>
  <c r="P11" i="309"/>
  <c r="M11" i="275"/>
  <c r="T11" i="275" s="1"/>
  <c r="T13" i="275"/>
  <c r="P17" i="300"/>
  <c r="P17" i="309"/>
  <c r="M17" i="275"/>
  <c r="T12" i="277"/>
  <c r="T11" i="277"/>
  <c r="P21" i="301"/>
  <c r="M21" i="276"/>
  <c r="T21" i="276"/>
  <c r="T7" i="285"/>
  <c r="T98" i="285"/>
  <c r="U98" i="285" s="1"/>
  <c r="T44" i="286"/>
  <c r="U44" i="286" s="1"/>
  <c r="T5" i="282"/>
  <c r="T10" i="293"/>
  <c r="U10" i="293" s="1"/>
  <c r="T37" i="290"/>
  <c r="U37" i="290" s="1"/>
  <c r="T18" i="286"/>
  <c r="U18" i="286" s="1"/>
  <c r="T17" i="294"/>
  <c r="U17" i="294" s="1"/>
  <c r="M16" i="293"/>
  <c r="O6" i="293"/>
  <c r="O16" i="293" s="1"/>
  <c r="O26" i="299"/>
  <c r="O29" i="308"/>
  <c r="M85" i="308"/>
  <c r="M80" i="299"/>
  <c r="O85" i="274"/>
  <c r="M59" i="299"/>
  <c r="M102" i="308"/>
  <c r="O102" i="274"/>
  <c r="O88" i="299"/>
  <c r="O103" i="308"/>
  <c r="M72" i="298"/>
  <c r="O66" i="272"/>
  <c r="O72" i="298" s="1"/>
  <c r="T31" i="274"/>
  <c r="T73" i="308"/>
  <c r="T45" i="299"/>
  <c r="U73" i="274"/>
  <c r="M106" i="308"/>
  <c r="M91" i="299"/>
  <c r="O106" i="274"/>
  <c r="T117" i="299"/>
  <c r="T107" i="308"/>
  <c r="U107" i="274"/>
  <c r="P16" i="299"/>
  <c r="P12" i="308"/>
  <c r="M12" i="274"/>
  <c r="T12" i="274" s="1"/>
  <c r="P62" i="299"/>
  <c r="P17" i="308"/>
  <c r="M17" i="274"/>
  <c r="M60" i="298"/>
  <c r="O54" i="272"/>
  <c r="O60" i="298" s="1"/>
  <c r="T61" i="272"/>
  <c r="T34" i="274"/>
  <c r="T28" i="272"/>
  <c r="M39" i="272"/>
  <c r="P21" i="298"/>
  <c r="T39" i="272"/>
  <c r="M20" i="299"/>
  <c r="M20" i="308"/>
  <c r="O20" i="274"/>
  <c r="P110" i="299"/>
  <c r="P35" i="308"/>
  <c r="M35" i="274"/>
  <c r="T35" i="274" s="1"/>
  <c r="P32" i="299"/>
  <c r="P41" i="308"/>
  <c r="M41" i="274"/>
  <c r="T41" i="274" s="1"/>
  <c r="P125" i="299"/>
  <c r="P52" i="308"/>
  <c r="M52" i="274"/>
  <c r="T52" i="274" s="1"/>
  <c r="M11" i="299"/>
  <c r="M5" i="308"/>
  <c r="O5" i="274"/>
  <c r="Q15" i="97"/>
  <c r="S136" i="299"/>
  <c r="M43" i="299"/>
  <c r="M69" i="308"/>
  <c r="O69" i="274"/>
  <c r="T31" i="275"/>
  <c r="T112" i="300"/>
  <c r="T115" i="309"/>
  <c r="U115" i="275"/>
  <c r="T26" i="275"/>
  <c r="T65" i="275"/>
  <c r="T60" i="275"/>
  <c r="M135" i="300"/>
  <c r="M64" i="309"/>
  <c r="O64" i="275"/>
  <c r="M21" i="309"/>
  <c r="M12" i="300"/>
  <c r="O21" i="275"/>
  <c r="M127" i="300"/>
  <c r="M49" i="309"/>
  <c r="O49" i="275"/>
  <c r="M5" i="300"/>
  <c r="M6" i="300" s="1"/>
  <c r="M63" i="309"/>
  <c r="O63" i="275"/>
  <c r="M87" i="300"/>
  <c r="M85" i="309"/>
  <c r="O85" i="275"/>
  <c r="M23" i="275"/>
  <c r="P23" i="309"/>
  <c r="P42" i="300"/>
  <c r="P15" i="300"/>
  <c r="T58" i="275"/>
  <c r="M58" i="275"/>
  <c r="P58" i="309"/>
  <c r="P51" i="300"/>
  <c r="T70" i="275"/>
  <c r="M70" i="275"/>
  <c r="P70" i="309"/>
  <c r="T12" i="276"/>
  <c r="T13" i="277"/>
  <c r="T13" i="282"/>
  <c r="AN15" i="285"/>
  <c r="AU15" i="285" s="1"/>
  <c r="V15" i="285"/>
  <c r="T39" i="284"/>
  <c r="U39" i="284" s="1"/>
  <c r="AN35" i="285"/>
  <c r="AU35" i="285" s="1"/>
  <c r="V35" i="285"/>
  <c r="AT7" i="296"/>
  <c r="AJ19" i="296"/>
  <c r="AR7" i="296"/>
  <c r="V6" i="285"/>
  <c r="AN6" i="285"/>
  <c r="T75" i="284"/>
  <c r="U75" i="284" s="1"/>
  <c r="T76" i="285"/>
  <c r="U76" i="285" s="1"/>
  <c r="T108" i="285"/>
  <c r="M15" i="289"/>
  <c r="T16" i="289" s="1"/>
  <c r="T12" i="291"/>
  <c r="U12" i="291" s="1"/>
  <c r="AN52" i="286"/>
  <c r="W52" i="286"/>
  <c r="T24" i="290"/>
  <c r="U24" i="290" s="1"/>
  <c r="T15" i="294"/>
  <c r="U15" i="294" s="1"/>
  <c r="AN7" i="295"/>
  <c r="W7" i="295"/>
  <c r="W15" i="295" s="1"/>
  <c r="T7" i="272"/>
  <c r="P12" i="298"/>
  <c r="M22" i="272"/>
  <c r="M54" i="298"/>
  <c r="O38" i="272"/>
  <c r="O54" i="298" s="1"/>
  <c r="M129" i="274"/>
  <c r="M10" i="298"/>
  <c r="O19" i="272"/>
  <c r="O10" i="298" s="1"/>
  <c r="O117" i="299"/>
  <c r="O107" i="308"/>
  <c r="T49" i="272"/>
  <c r="U83" i="299"/>
  <c r="U93" i="308"/>
  <c r="V93" i="274"/>
  <c r="K130" i="308"/>
  <c r="L131" i="308" s="1"/>
  <c r="P131" i="308" s="1"/>
  <c r="T14" i="274"/>
  <c r="T30" i="272"/>
  <c r="M30" i="272"/>
  <c r="P51" i="298"/>
  <c r="P71" i="308"/>
  <c r="P57" i="299"/>
  <c r="M71" i="274"/>
  <c r="T64" i="274"/>
  <c r="T67" i="274"/>
  <c r="T83" i="274"/>
  <c r="M47" i="300"/>
  <c r="M56" i="309"/>
  <c r="O56" i="275"/>
  <c r="M62" i="309"/>
  <c r="M7" i="300"/>
  <c r="M13" i="300" s="1"/>
  <c r="O62" i="275"/>
  <c r="M88" i="300"/>
  <c r="M86" i="309"/>
  <c r="O86" i="275"/>
  <c r="F127" i="309"/>
  <c r="L119" i="300"/>
  <c r="J14" i="97" s="1"/>
  <c r="P113" i="300"/>
  <c r="P115" i="300" s="1"/>
  <c r="N16" i="97" s="1"/>
  <c r="P15" i="309"/>
  <c r="M15" i="275"/>
  <c r="T15" i="275" s="1"/>
  <c r="P50" i="300"/>
  <c r="P69" i="309"/>
  <c r="M69" i="275"/>
  <c r="T69" i="275" s="1"/>
  <c r="P61" i="300"/>
  <c r="P113" i="309"/>
  <c r="M113" i="275"/>
  <c r="T113" i="275" s="1"/>
  <c r="P9" i="301"/>
  <c r="T9" i="276"/>
  <c r="M9" i="276"/>
  <c r="T6" i="276"/>
  <c r="M26" i="276"/>
  <c r="P26" i="301"/>
  <c r="T7" i="280"/>
  <c r="T11" i="285"/>
  <c r="U11" i="285" s="1"/>
  <c r="L19" i="306"/>
  <c r="T78" i="285"/>
  <c r="U78" i="285" s="1"/>
  <c r="T46" i="284"/>
  <c r="U46" i="284" s="1"/>
  <c r="T92" i="285"/>
  <c r="U92" i="285" s="1"/>
  <c r="T38" i="286"/>
  <c r="U38" i="286" s="1"/>
  <c r="T51" i="286"/>
  <c r="U51" i="286" s="1"/>
  <c r="T9" i="293"/>
  <c r="U9" i="293" s="1"/>
  <c r="T114" i="285"/>
  <c r="U114" i="285" s="1"/>
  <c r="W7" i="288"/>
  <c r="AN7" i="288"/>
  <c r="T41" i="290"/>
  <c r="U41" i="290" s="1"/>
  <c r="T16" i="290"/>
  <c r="U16" i="290" s="1"/>
  <c r="T6" i="291"/>
  <c r="P42" i="298"/>
  <c r="T8" i="272"/>
  <c r="M8" i="272"/>
  <c r="M55" i="299"/>
  <c r="M28" i="308"/>
  <c r="O28" i="274"/>
  <c r="T46" i="274"/>
  <c r="T47" i="274"/>
  <c r="T54" i="274"/>
  <c r="T20" i="272"/>
  <c r="M63" i="298"/>
  <c r="O60" i="272"/>
  <c r="O63" i="298" s="1"/>
  <c r="V69" i="272"/>
  <c r="V67" i="298" s="1"/>
  <c r="U67" i="298"/>
  <c r="M96" i="308"/>
  <c r="M85" i="299"/>
  <c r="O96" i="274"/>
  <c r="T15" i="274"/>
  <c r="M131" i="299"/>
  <c r="M43" i="308"/>
  <c r="O43" i="274"/>
  <c r="M93" i="299"/>
  <c r="M120" i="308"/>
  <c r="O120" i="274"/>
  <c r="M66" i="298"/>
  <c r="O68" i="272"/>
  <c r="O66" i="298" s="1"/>
  <c r="P13" i="299"/>
  <c r="P64" i="299" s="1"/>
  <c r="M9" i="274"/>
  <c r="P9" i="308"/>
  <c r="T9" i="274"/>
  <c r="T44" i="274"/>
  <c r="P120" i="299"/>
  <c r="P122" i="299" s="1"/>
  <c r="N13" i="97" s="1"/>
  <c r="P60" i="308"/>
  <c r="M60" i="274"/>
  <c r="T60" i="274"/>
  <c r="P58" i="299"/>
  <c r="P78" i="308"/>
  <c r="M78" i="274"/>
  <c r="T78" i="274"/>
  <c r="P127" i="299"/>
  <c r="P98" i="308"/>
  <c r="M98" i="274"/>
  <c r="T98" i="274"/>
  <c r="P132" i="299"/>
  <c r="P133" i="299" s="1"/>
  <c r="P101" i="308"/>
  <c r="M101" i="274"/>
  <c r="T101" i="274"/>
  <c r="P107" i="299"/>
  <c r="P111" i="308"/>
  <c r="M111" i="274"/>
  <c r="T84" i="275"/>
  <c r="T30" i="275"/>
  <c r="T37" i="275"/>
  <c r="T129" i="300"/>
  <c r="T72" i="309"/>
  <c r="U72" i="275"/>
  <c r="P77" i="300"/>
  <c r="P46" i="309"/>
  <c r="M46" i="275"/>
  <c r="T46" i="275" s="1"/>
  <c r="T79" i="275"/>
  <c r="T92" i="275"/>
  <c r="M124" i="300"/>
  <c r="M34" i="309"/>
  <c r="O34" i="275"/>
  <c r="T52" i="275"/>
  <c r="W112" i="275"/>
  <c r="U60" i="300"/>
  <c r="U112" i="309"/>
  <c r="P44" i="300"/>
  <c r="M53" i="275"/>
  <c r="P53" i="309"/>
  <c r="T53" i="275"/>
  <c r="O95" i="300"/>
  <c r="O114" i="309"/>
  <c r="P30" i="300"/>
  <c r="P10" i="309"/>
  <c r="T10" i="275"/>
  <c r="M10" i="275"/>
  <c r="P17" i="301"/>
  <c r="T17" i="276"/>
  <c r="M17" i="276"/>
  <c r="T27" i="276"/>
  <c r="T10" i="277"/>
  <c r="T20" i="276"/>
  <c r="M7" i="302"/>
  <c r="O6" i="277"/>
  <c r="T34" i="284"/>
  <c r="U34" i="284" s="1"/>
  <c r="T70" i="284"/>
  <c r="U70" i="284" s="1"/>
  <c r="M15" i="305"/>
  <c r="O15" i="280"/>
  <c r="O15" i="305" s="1"/>
  <c r="T23" i="284"/>
  <c r="U23" i="284" s="1"/>
  <c r="AN16" i="285"/>
  <c r="AU16" i="285" s="1"/>
  <c r="V16" i="285"/>
  <c r="M84" i="284"/>
  <c r="O6" i="284"/>
  <c r="O84" i="284" s="1"/>
  <c r="T85" i="285"/>
  <c r="U85" i="285" s="1"/>
  <c r="T30" i="285"/>
  <c r="U30" i="285" s="1"/>
  <c r="P66" i="286"/>
  <c r="M6" i="286"/>
  <c r="T6" i="286"/>
  <c r="AN57" i="286"/>
  <c r="W57" i="286"/>
  <c r="T29" i="286"/>
  <c r="U29" i="286" s="1"/>
  <c r="AN14" i="288"/>
  <c r="W14" i="288"/>
  <c r="T35" i="290"/>
  <c r="U35" i="290" s="1"/>
  <c r="D16" i="12"/>
  <c r="U72" i="299"/>
  <c r="U55" i="308"/>
  <c r="V55" i="274"/>
  <c r="E20" i="97"/>
  <c r="E30" i="97" s="1"/>
  <c r="T47" i="299"/>
  <c r="T87" i="308"/>
  <c r="U87" i="274"/>
  <c r="M97" i="299"/>
  <c r="M125" i="308"/>
  <c r="U51" i="308"/>
  <c r="U38" i="299"/>
  <c r="V51" i="274"/>
  <c r="U19" i="301"/>
  <c r="W19" i="276"/>
  <c r="W19" i="301" s="1"/>
  <c r="U111" i="299"/>
  <c r="U37" i="308"/>
  <c r="V37" i="274"/>
  <c r="P44" i="298"/>
  <c r="T12" i="272"/>
  <c r="M12" i="272"/>
  <c r="K18" i="304"/>
  <c r="L19" i="304" s="1"/>
  <c r="D8" i="97"/>
  <c r="U88" i="299"/>
  <c r="AX88" i="299" s="1"/>
  <c r="U103" i="308"/>
  <c r="V103" i="274"/>
  <c r="T15" i="272"/>
  <c r="T113" i="299"/>
  <c r="T56" i="308"/>
  <c r="U56" i="274"/>
  <c r="T70" i="298"/>
  <c r="U9" i="272"/>
  <c r="U95" i="308"/>
  <c r="U84" i="299"/>
  <c r="V95" i="274"/>
  <c r="T13" i="298"/>
  <c r="U24" i="272"/>
  <c r="U43" i="272"/>
  <c r="T25" i="298"/>
  <c r="L100" i="299"/>
  <c r="L136" i="299" s="1"/>
  <c r="P89" i="299"/>
  <c r="P104" i="308"/>
  <c r="M104" i="274"/>
  <c r="T104" i="274"/>
  <c r="M89" i="300"/>
  <c r="M87" i="309"/>
  <c r="O87" i="275"/>
  <c r="M122" i="300"/>
  <c r="M27" i="309"/>
  <c r="O27" i="275"/>
  <c r="M75" i="300"/>
  <c r="M41" i="309"/>
  <c r="O41" i="275"/>
  <c r="T74" i="300"/>
  <c r="T35" i="309"/>
  <c r="U35" i="275"/>
  <c r="T63" i="300"/>
  <c r="T64" i="300" s="1"/>
  <c r="U51" i="275"/>
  <c r="T51" i="309"/>
  <c r="P54" i="300"/>
  <c r="P93" i="309"/>
  <c r="T93" i="275"/>
  <c r="M93" i="275"/>
  <c r="O111" i="309"/>
  <c r="O59" i="300"/>
  <c r="T19" i="300"/>
  <c r="T44" i="309"/>
  <c r="U44" i="275"/>
  <c r="P140" i="300"/>
  <c r="L41" i="300"/>
  <c r="P43" i="300"/>
  <c r="P38" i="309"/>
  <c r="M38" i="275"/>
  <c r="T18" i="276"/>
  <c r="M18" i="276"/>
  <c r="P18" i="301"/>
  <c r="P6" i="303"/>
  <c r="M6" i="278"/>
  <c r="T6" i="278" s="1"/>
  <c r="P15" i="304"/>
  <c r="M12" i="279"/>
  <c r="AN96" i="285"/>
  <c r="AU96" i="285" s="1"/>
  <c r="V96" i="285"/>
  <c r="P14" i="282"/>
  <c r="N15" i="12" s="1"/>
  <c r="V43" i="285"/>
  <c r="AN43" i="285"/>
  <c r="AU43" i="285" s="1"/>
  <c r="AN42" i="286"/>
  <c r="W42" i="286"/>
  <c r="AN39" i="286"/>
  <c r="W39" i="286"/>
  <c r="U8" i="287"/>
  <c r="W6" i="287"/>
  <c r="W8" i="287" s="1"/>
  <c r="AN19" i="294"/>
  <c r="V19" i="294"/>
  <c r="T16" i="293"/>
  <c r="M18" i="293" s="1"/>
  <c r="U6" i="293"/>
  <c r="M48" i="298"/>
  <c r="O21" i="272"/>
  <c r="O48" i="298" s="1"/>
  <c r="T80" i="299"/>
  <c r="T85" i="308"/>
  <c r="U85" i="274"/>
  <c r="T59" i="299"/>
  <c r="T102" i="308"/>
  <c r="U102" i="274"/>
  <c r="M9" i="298"/>
  <c r="O18" i="272"/>
  <c r="O9" i="298" s="1"/>
  <c r="T72" i="298"/>
  <c r="U66" i="272"/>
  <c r="O8" i="299"/>
  <c r="O70" i="308"/>
  <c r="M115" i="299"/>
  <c r="M81" i="308"/>
  <c r="O81" i="274"/>
  <c r="O84" i="299"/>
  <c r="O95" i="308"/>
  <c r="T91" i="299"/>
  <c r="T106" i="308"/>
  <c r="U106" i="274"/>
  <c r="T52" i="298"/>
  <c r="U31" i="272"/>
  <c r="M123" i="299"/>
  <c r="M124" i="299" s="1"/>
  <c r="M65" i="308"/>
  <c r="O65" i="274"/>
  <c r="M86" i="308"/>
  <c r="M81" i="299"/>
  <c r="O86" i="274"/>
  <c r="M23" i="298"/>
  <c r="O41" i="272"/>
  <c r="O23" i="298" s="1"/>
  <c r="M72" i="308"/>
  <c r="M44" i="299"/>
  <c r="O72" i="274"/>
  <c r="M82" i="299"/>
  <c r="M92" i="308"/>
  <c r="O92" i="274"/>
  <c r="P5" i="299"/>
  <c r="P10" i="299" s="1"/>
  <c r="M8" i="274"/>
  <c r="P8" i="308"/>
  <c r="T20" i="299"/>
  <c r="T20" i="308"/>
  <c r="U20" i="274"/>
  <c r="P24" i="308"/>
  <c r="P24" i="299"/>
  <c r="M24" i="274"/>
  <c r="T24" i="274"/>
  <c r="P112" i="274"/>
  <c r="P130" i="274" s="1"/>
  <c r="M45" i="308"/>
  <c r="M34" i="299"/>
  <c r="O45" i="274"/>
  <c r="M104" i="299"/>
  <c r="M50" i="308"/>
  <c r="O50" i="274"/>
  <c r="T43" i="299"/>
  <c r="T69" i="308"/>
  <c r="U69" i="274"/>
  <c r="M80" i="308"/>
  <c r="M77" i="299"/>
  <c r="O80" i="274"/>
  <c r="M50" i="299"/>
  <c r="M90" i="308"/>
  <c r="O90" i="274"/>
  <c r="M106" i="299"/>
  <c r="M109" i="308"/>
  <c r="O109" i="274"/>
  <c r="T32" i="275"/>
  <c r="M136" i="300"/>
  <c r="M67" i="309"/>
  <c r="O67" i="275"/>
  <c r="O13" i="275"/>
  <c r="T135" i="300"/>
  <c r="T64" i="309"/>
  <c r="U64" i="275"/>
  <c r="T12" i="300"/>
  <c r="T21" i="309"/>
  <c r="U21" i="275"/>
  <c r="T127" i="300"/>
  <c r="T49" i="309"/>
  <c r="U49" i="275"/>
  <c r="T5" i="300"/>
  <c r="T6" i="300" s="1"/>
  <c r="T63" i="309"/>
  <c r="U63" i="275"/>
  <c r="P14" i="300"/>
  <c r="P16" i="300" s="1"/>
  <c r="M7" i="275"/>
  <c r="P7" i="309"/>
  <c r="P127" i="309" s="1"/>
  <c r="T7" i="275"/>
  <c r="P43" i="309"/>
  <c r="M43" i="275"/>
  <c r="P76" i="300"/>
  <c r="P139" i="300"/>
  <c r="M95" i="275"/>
  <c r="P95" i="309"/>
  <c r="T10" i="300"/>
  <c r="U106" i="275"/>
  <c r="T106" i="309"/>
  <c r="O112" i="300"/>
  <c r="O115" i="309"/>
  <c r="L142" i="300"/>
  <c r="P28" i="276"/>
  <c r="N10" i="12" s="1"/>
  <c r="T5" i="302"/>
  <c r="U9" i="277"/>
  <c r="O23" i="276"/>
  <c r="O23" i="301" s="1"/>
  <c r="M23" i="301"/>
  <c r="T22" i="276"/>
  <c r="M22" i="276"/>
  <c r="P22" i="301"/>
  <c r="P9" i="303"/>
  <c r="T9" i="278"/>
  <c r="M9" i="278"/>
  <c r="P16" i="305"/>
  <c r="M16" i="280"/>
  <c r="AN60" i="284"/>
  <c r="V60" i="284"/>
  <c r="M5" i="305"/>
  <c r="O5" i="280"/>
  <c r="AN74" i="284"/>
  <c r="V74" i="284"/>
  <c r="AN20" i="288"/>
  <c r="W20" i="288"/>
  <c r="AN10" i="284"/>
  <c r="V10" i="284"/>
  <c r="AN94" i="285"/>
  <c r="AU94" i="285" s="1"/>
  <c r="V94" i="285"/>
  <c r="V32" i="284"/>
  <c r="AN32" i="284"/>
  <c r="AN49" i="286"/>
  <c r="W49" i="286"/>
  <c r="V77" i="285"/>
  <c r="AN77" i="285"/>
  <c r="AU77" i="285" s="1"/>
  <c r="V34" i="286"/>
  <c r="V66" i="286" s="1"/>
  <c r="AN34" i="286"/>
  <c r="W30" i="286"/>
  <c r="AN30" i="286"/>
  <c r="AN26" i="286"/>
  <c r="W26" i="286"/>
  <c r="AN10" i="294"/>
  <c r="V10" i="294"/>
  <c r="AC56" i="297"/>
  <c r="AC104" i="297" s="1"/>
  <c r="P47" i="298"/>
  <c r="M17" i="272"/>
  <c r="M50" i="298"/>
  <c r="O29" i="272"/>
  <c r="O50" i="298" s="1"/>
  <c r="T68" i="298"/>
  <c r="U70" i="272"/>
  <c r="M75" i="299"/>
  <c r="M76" i="308"/>
  <c r="O76" i="274"/>
  <c r="O76" i="299"/>
  <c r="O77" i="308"/>
  <c r="T10" i="298"/>
  <c r="U19" i="272"/>
  <c r="P46" i="298"/>
  <c r="M16" i="272"/>
  <c r="T16" i="272" s="1"/>
  <c r="M89" i="308"/>
  <c r="M49" i="299"/>
  <c r="O89" i="274"/>
  <c r="M60" i="299"/>
  <c r="M117" i="308"/>
  <c r="O117" i="274"/>
  <c r="T67" i="272"/>
  <c r="P25" i="299"/>
  <c r="P25" i="308"/>
  <c r="M25" i="274"/>
  <c r="T25" i="274"/>
  <c r="P70" i="299"/>
  <c r="P49" i="308"/>
  <c r="M49" i="274"/>
  <c r="T49" i="274"/>
  <c r="T95" i="299"/>
  <c r="T122" i="308"/>
  <c r="U122" i="274"/>
  <c r="P119" i="299"/>
  <c r="M100" i="308"/>
  <c r="M87" i="299"/>
  <c r="O100" i="274"/>
  <c r="M90" i="299"/>
  <c r="M105" i="308"/>
  <c r="O105" i="274"/>
  <c r="U97" i="300"/>
  <c r="U117" i="309"/>
  <c r="V117" i="275"/>
  <c r="T47" i="300"/>
  <c r="U56" i="275"/>
  <c r="T56" i="309"/>
  <c r="T7" i="300"/>
  <c r="T62" i="309"/>
  <c r="U62" i="275"/>
  <c r="U93" i="300"/>
  <c r="U97" i="309"/>
  <c r="V97" i="275"/>
  <c r="P73" i="300"/>
  <c r="P33" i="309"/>
  <c r="M33" i="275"/>
  <c r="M82" i="300"/>
  <c r="M59" i="309"/>
  <c r="O59" i="275"/>
  <c r="T88" i="300"/>
  <c r="T86" i="309"/>
  <c r="U86" i="275"/>
  <c r="M80" i="300"/>
  <c r="M50" i="309"/>
  <c r="O50" i="275"/>
  <c r="M40" i="300"/>
  <c r="M80" i="309"/>
  <c r="O80" i="275"/>
  <c r="F13" i="300"/>
  <c r="D10" i="97" s="1"/>
  <c r="M91" i="275"/>
  <c r="P53" i="300"/>
  <c r="P91" i="309"/>
  <c r="P24" i="300"/>
  <c r="M102" i="275"/>
  <c r="T102" i="275" s="1"/>
  <c r="P102" i="309"/>
  <c r="L115" i="300"/>
  <c r="J16" i="97" s="1"/>
  <c r="O79" i="300"/>
  <c r="O48" i="309"/>
  <c r="M16" i="301"/>
  <c r="O16" i="276"/>
  <c r="O16" i="301" s="1"/>
  <c r="M14" i="277"/>
  <c r="P13" i="302"/>
  <c r="J12" i="12"/>
  <c r="P11" i="278"/>
  <c r="U9" i="305"/>
  <c r="V9" i="280"/>
  <c r="V9" i="305" s="1"/>
  <c r="V25" i="97"/>
  <c r="V30" i="97"/>
  <c r="AN84" i="285"/>
  <c r="AU84" i="285" s="1"/>
  <c r="V84" i="285"/>
  <c r="P12" i="306"/>
  <c r="P14" i="306" s="1"/>
  <c r="M8" i="282"/>
  <c r="AN42" i="284"/>
  <c r="V42" i="284"/>
  <c r="AN83" i="285"/>
  <c r="AU83" i="285" s="1"/>
  <c r="V83" i="285"/>
  <c r="W8" i="288"/>
  <c r="AN8" i="288"/>
  <c r="V89" i="285"/>
  <c r="AN89" i="285"/>
  <c r="AU89" i="285" s="1"/>
  <c r="W16" i="286"/>
  <c r="AN16" i="286"/>
  <c r="T6" i="288"/>
  <c r="W11" i="293"/>
  <c r="AN11" i="293"/>
  <c r="D7" i="97"/>
  <c r="T55" i="299"/>
  <c r="T28" i="308"/>
  <c r="U28" i="274"/>
  <c r="L39" i="298"/>
  <c r="J7" i="97" s="1"/>
  <c r="M96" i="299"/>
  <c r="M123" i="308"/>
  <c r="O123" i="274"/>
  <c r="M14" i="298"/>
  <c r="O26" i="272"/>
  <c r="O14" i="298" s="1"/>
  <c r="U60" i="272"/>
  <c r="T63" i="298"/>
  <c r="T96" i="308"/>
  <c r="T85" i="299"/>
  <c r="U96" i="274"/>
  <c r="M19" i="298"/>
  <c r="O35" i="272"/>
  <c r="O19" i="298" s="1"/>
  <c r="P26" i="298"/>
  <c r="T46" i="272"/>
  <c r="M46" i="272"/>
  <c r="M61" i="298"/>
  <c r="O58" i="272"/>
  <c r="O61" i="298" s="1"/>
  <c r="M134" i="299"/>
  <c r="M135" i="299" s="1"/>
  <c r="M13" i="308"/>
  <c r="O13" i="274"/>
  <c r="L64" i="299"/>
  <c r="P57" i="298"/>
  <c r="M50" i="272"/>
  <c r="T50" i="272" s="1"/>
  <c r="M49" i="300"/>
  <c r="M68" i="309"/>
  <c r="O68" i="275"/>
  <c r="T74" i="275"/>
  <c r="M65" i="300"/>
  <c r="M67" i="300" s="1"/>
  <c r="K17" i="97" s="1"/>
  <c r="M6" i="309"/>
  <c r="O6" i="275"/>
  <c r="T124" i="300"/>
  <c r="T34" i="309"/>
  <c r="U34" i="275"/>
  <c r="T106" i="300"/>
  <c r="T119" i="309"/>
  <c r="U119" i="275"/>
  <c r="P128" i="275"/>
  <c r="F140" i="300"/>
  <c r="T13" i="276"/>
  <c r="M8" i="302"/>
  <c r="O7" i="277"/>
  <c r="O8" i="302" s="1"/>
  <c r="U5" i="277"/>
  <c r="T15" i="302"/>
  <c r="T16" i="302" s="1"/>
  <c r="P13" i="305"/>
  <c r="M13" i="280"/>
  <c r="T13" i="280" s="1"/>
  <c r="AN8" i="285"/>
  <c r="AU8" i="285" s="1"/>
  <c r="V8" i="285"/>
  <c r="M14" i="305"/>
  <c r="O14" i="280"/>
  <c r="O14" i="305" s="1"/>
  <c r="M5" i="306"/>
  <c r="M6" i="306" s="1"/>
  <c r="O10" i="282"/>
  <c r="O5" i="306" s="1"/>
  <c r="O6" i="306" s="1"/>
  <c r="M17" i="306"/>
  <c r="O11" i="282"/>
  <c r="O17" i="306" s="1"/>
  <c r="AN55" i="284"/>
  <c r="V55" i="284"/>
  <c r="AN8" i="284"/>
  <c r="V8" i="284"/>
  <c r="AN33" i="284"/>
  <c r="V33" i="284"/>
  <c r="AN24" i="285"/>
  <c r="AU24" i="285" s="1"/>
  <c r="V24" i="285"/>
  <c r="V68" i="285"/>
  <c r="AN68" i="285"/>
  <c r="AU68" i="285" s="1"/>
  <c r="W54" i="286"/>
  <c r="AN54" i="286"/>
  <c r="M7" i="306"/>
  <c r="M11" i="306" s="1"/>
  <c r="O6" i="282"/>
  <c r="O7" i="306" s="1"/>
  <c r="O11" i="306" s="1"/>
  <c r="V30" i="284"/>
  <c r="AN30" i="284"/>
  <c r="V23" i="285"/>
  <c r="AN23" i="285"/>
  <c r="AU23" i="285" s="1"/>
  <c r="AN100" i="285"/>
  <c r="AU100" i="285" s="1"/>
  <c r="V100" i="285"/>
  <c r="AN68" i="284"/>
  <c r="V68" i="284"/>
  <c r="V74" i="285"/>
  <c r="AN74" i="285"/>
  <c r="AU74" i="285" s="1"/>
  <c r="U15" i="289"/>
  <c r="AN6" i="289"/>
  <c r="W6" i="289"/>
  <c r="AN58" i="286"/>
  <c r="W58" i="286"/>
  <c r="AN21" i="290"/>
  <c r="V21" i="290"/>
  <c r="W21" i="286"/>
  <c r="AN21" i="286"/>
  <c r="AN8" i="294"/>
  <c r="V8" i="294"/>
  <c r="AN14" i="294"/>
  <c r="V14" i="294"/>
  <c r="Q18" i="12"/>
  <c r="U126" i="299"/>
  <c r="U58" i="308"/>
  <c r="V58" i="274"/>
  <c r="T125" i="308"/>
  <c r="T97" i="299"/>
  <c r="U125" i="274"/>
  <c r="I18" i="97"/>
  <c r="I20" i="97" s="1"/>
  <c r="J22" i="97" s="1"/>
  <c r="U110" i="300"/>
  <c r="U104" i="309"/>
  <c r="W104" i="275"/>
  <c r="M48" i="309"/>
  <c r="M79" i="300"/>
  <c r="J24" i="40"/>
  <c r="T7" i="304"/>
  <c r="T8" i="304" s="1"/>
  <c r="U6" i="279"/>
  <c r="M16" i="304"/>
  <c r="O13" i="279"/>
  <c r="O16" i="304" s="1"/>
  <c r="U8" i="279"/>
  <c r="T5" i="304"/>
  <c r="T6" i="304" s="1"/>
  <c r="R6" i="97" s="1"/>
  <c r="T5" i="279"/>
  <c r="P14" i="279"/>
  <c r="N13" i="12" s="1"/>
  <c r="P9" i="304"/>
  <c r="M5" i="279"/>
  <c r="T10" i="304"/>
  <c r="U7" i="279"/>
  <c r="T13" i="279"/>
  <c r="M14" i="304"/>
  <c r="O10" i="279"/>
  <c r="O14" i="304" s="1"/>
  <c r="M11" i="279"/>
  <c r="T11" i="279" s="1"/>
  <c r="P12" i="304"/>
  <c r="P17" i="304"/>
  <c r="M7" i="304"/>
  <c r="M8" i="304" s="1"/>
  <c r="O6" i="279"/>
  <c r="O7" i="304" s="1"/>
  <c r="O8" i="304" s="1"/>
  <c r="U10" i="279"/>
  <c r="T14" i="304"/>
  <c r="L18" i="304"/>
  <c r="P19" i="304" s="1"/>
  <c r="J11" i="97"/>
  <c r="T11" i="304"/>
  <c r="U9" i="279"/>
  <c r="I18" i="12"/>
  <c r="J17" i="12"/>
  <c r="I29" i="97"/>
  <c r="M5" i="304"/>
  <c r="M6" i="304" s="1"/>
  <c r="K6" i="97" s="1"/>
  <c r="O8" i="279"/>
  <c r="O5" i="304" s="1"/>
  <c r="O6" i="304" s="1"/>
  <c r="J13" i="12"/>
  <c r="J16" i="12" s="1"/>
  <c r="P15" i="279"/>
  <c r="M10" i="304"/>
  <c r="O7" i="279"/>
  <c r="O10" i="304" s="1"/>
  <c r="U50" i="272" l="1"/>
  <c r="T57" i="298"/>
  <c r="T13" i="305"/>
  <c r="U13" i="280"/>
  <c r="T24" i="300"/>
  <c r="U102" i="275"/>
  <c r="T102" i="309"/>
  <c r="N8" i="12"/>
  <c r="T32" i="299"/>
  <c r="T41" i="308"/>
  <c r="U41" i="274"/>
  <c r="T16" i="299"/>
  <c r="U12" i="274"/>
  <c r="T12" i="308"/>
  <c r="T31" i="300"/>
  <c r="T11" i="309"/>
  <c r="U11" i="275"/>
  <c r="T39" i="300"/>
  <c r="T78" i="309"/>
  <c r="U78" i="275"/>
  <c r="T67" i="299"/>
  <c r="T68" i="299" s="1"/>
  <c r="T7" i="308"/>
  <c r="U7" i="274"/>
  <c r="T8" i="305"/>
  <c r="U8" i="280"/>
  <c r="T5" i="303"/>
  <c r="T10" i="278"/>
  <c r="R12" i="12" s="1"/>
  <c r="U5" i="278"/>
  <c r="T46" i="299"/>
  <c r="T79" i="308"/>
  <c r="U79" i="274"/>
  <c r="T73" i="299"/>
  <c r="T61" i="308"/>
  <c r="U61" i="274"/>
  <c r="T126" i="308"/>
  <c r="T54" i="299"/>
  <c r="U126" i="274"/>
  <c r="T113" i="300"/>
  <c r="U15" i="275"/>
  <c r="T15" i="309"/>
  <c r="T125" i="299"/>
  <c r="T52" i="308"/>
  <c r="U52" i="274"/>
  <c r="T14" i="299"/>
  <c r="T10" i="308"/>
  <c r="U10" i="274"/>
  <c r="T78" i="300"/>
  <c r="T47" i="309"/>
  <c r="U47" i="275"/>
  <c r="T49" i="298"/>
  <c r="U23" i="272"/>
  <c r="T34" i="300"/>
  <c r="T22" i="309"/>
  <c r="U22" i="275"/>
  <c r="T118" i="300"/>
  <c r="T39" i="309"/>
  <c r="U39" i="275"/>
  <c r="T86" i="299"/>
  <c r="T97" i="308"/>
  <c r="U97" i="274"/>
  <c r="T15" i="299"/>
  <c r="T11" i="308"/>
  <c r="U11" i="274"/>
  <c r="T46" i="298"/>
  <c r="U16" i="272"/>
  <c r="T6" i="303"/>
  <c r="U6" i="278"/>
  <c r="T50" i="300"/>
  <c r="U69" i="275"/>
  <c r="T69" i="309"/>
  <c r="T128" i="300"/>
  <c r="T66" i="309"/>
  <c r="U66" i="275"/>
  <c r="T26" i="308"/>
  <c r="T6" i="299"/>
  <c r="U26" i="274"/>
  <c r="T5" i="298"/>
  <c r="U5" i="272"/>
  <c r="T36" i="300"/>
  <c r="U61" i="275"/>
  <c r="T61" i="309"/>
  <c r="T27" i="300"/>
  <c r="T36" i="309"/>
  <c r="U36" i="275"/>
  <c r="T84" i="300"/>
  <c r="T75" i="309"/>
  <c r="U75" i="275"/>
  <c r="T128" i="299"/>
  <c r="T99" i="308"/>
  <c r="U99" i="274"/>
  <c r="U8" i="277"/>
  <c r="T9" i="302"/>
  <c r="T91" i="300"/>
  <c r="T90" i="309"/>
  <c r="U90" i="275"/>
  <c r="T32" i="300"/>
  <c r="T18" i="309"/>
  <c r="U18" i="275"/>
  <c r="T6" i="298"/>
  <c r="U10" i="272"/>
  <c r="T56" i="299"/>
  <c r="T42" i="308"/>
  <c r="U42" i="274"/>
  <c r="T77" i="300"/>
  <c r="T46" i="309"/>
  <c r="U46" i="275"/>
  <c r="T61" i="300"/>
  <c r="T113" i="309"/>
  <c r="U113" i="275"/>
  <c r="T110" i="299"/>
  <c r="T35" i="308"/>
  <c r="U35" i="274"/>
  <c r="U47" i="272"/>
  <c r="T27" i="298"/>
  <c r="T90" i="300"/>
  <c r="T89" i="309"/>
  <c r="U89" i="275"/>
  <c r="T34" i="298"/>
  <c r="U63" i="272"/>
  <c r="T69" i="299"/>
  <c r="T40" i="308"/>
  <c r="U40" i="274"/>
  <c r="T43" i="290"/>
  <c r="M44" i="290" s="1"/>
  <c r="U6" i="290"/>
  <c r="T121" i="300"/>
  <c r="T20" i="309"/>
  <c r="U20" i="275"/>
  <c r="T59" i="308"/>
  <c r="T39" i="299"/>
  <c r="U59" i="274"/>
  <c r="V60" i="272"/>
  <c r="V63" i="298" s="1"/>
  <c r="U63" i="298"/>
  <c r="T13" i="301"/>
  <c r="U13" i="276"/>
  <c r="T8" i="300"/>
  <c r="T74" i="309"/>
  <c r="U74" i="275"/>
  <c r="O134" i="299"/>
  <c r="O135" i="299" s="1"/>
  <c r="O13" i="308"/>
  <c r="N12" i="97"/>
  <c r="I30" i="97"/>
  <c r="P13" i="304"/>
  <c r="N10" i="97" s="1"/>
  <c r="U97" i="299"/>
  <c r="U125" i="308"/>
  <c r="V125" i="274"/>
  <c r="F141" i="300"/>
  <c r="D18" i="97"/>
  <c r="D20" i="97" s="1"/>
  <c r="D30" i="97" s="1"/>
  <c r="O65" i="300"/>
  <c r="O67" i="300" s="1"/>
  <c r="M17" i="97" s="1"/>
  <c r="O6" i="309"/>
  <c r="O49" i="300"/>
  <c r="O68" i="309"/>
  <c r="M26" i="298"/>
  <c r="O46" i="272"/>
  <c r="O26" i="298" s="1"/>
  <c r="O96" i="299"/>
  <c r="O123" i="308"/>
  <c r="U55" i="299"/>
  <c r="U28" i="308"/>
  <c r="W28" i="274"/>
  <c r="O80" i="300"/>
  <c r="O50" i="309"/>
  <c r="U7" i="300"/>
  <c r="U62" i="309"/>
  <c r="W62" i="275"/>
  <c r="U47" i="300"/>
  <c r="W56" i="275"/>
  <c r="U56" i="309"/>
  <c r="O87" i="299"/>
  <c r="O100" i="308"/>
  <c r="U95" i="299"/>
  <c r="U122" i="308"/>
  <c r="V122" i="274"/>
  <c r="M49" i="308"/>
  <c r="M70" i="299"/>
  <c r="O49" i="274"/>
  <c r="M25" i="299"/>
  <c r="M25" i="308"/>
  <c r="O25" i="274"/>
  <c r="O60" i="299"/>
  <c r="O117" i="308"/>
  <c r="O5" i="305"/>
  <c r="M9" i="303"/>
  <c r="O9" i="278"/>
  <c r="O9" i="303" s="1"/>
  <c r="M22" i="301"/>
  <c r="O22" i="276"/>
  <c r="O22" i="301" s="1"/>
  <c r="U5" i="302"/>
  <c r="W9" i="277"/>
  <c r="W5" i="302" s="1"/>
  <c r="U127" i="300"/>
  <c r="W49" i="275"/>
  <c r="U49" i="309"/>
  <c r="O77" i="299"/>
  <c r="O80" i="308"/>
  <c r="O82" i="299"/>
  <c r="O92" i="308"/>
  <c r="O81" i="299"/>
  <c r="O86" i="308"/>
  <c r="U106" i="308"/>
  <c r="U91" i="299"/>
  <c r="V106" i="274"/>
  <c r="M18" i="301"/>
  <c r="O18" i="276"/>
  <c r="O18" i="301" s="1"/>
  <c r="O75" i="300"/>
  <c r="O41" i="309"/>
  <c r="U13" i="298"/>
  <c r="V24" i="272"/>
  <c r="V13" i="298" s="1"/>
  <c r="M44" i="298"/>
  <c r="O12" i="272"/>
  <c r="O44" i="298" s="1"/>
  <c r="V51" i="308"/>
  <c r="V38" i="299"/>
  <c r="V30" i="285"/>
  <c r="AN30" i="285"/>
  <c r="AU30" i="285" s="1"/>
  <c r="O17" i="276"/>
  <c r="O17" i="301" s="1"/>
  <c r="M17" i="301"/>
  <c r="M30" i="300"/>
  <c r="M10" i="309"/>
  <c r="O10" i="275"/>
  <c r="M44" i="300"/>
  <c r="M53" i="309"/>
  <c r="O53" i="275"/>
  <c r="W60" i="300"/>
  <c r="W112" i="309"/>
  <c r="T137" i="300"/>
  <c r="T84" i="309"/>
  <c r="U84" i="275"/>
  <c r="M13" i="299"/>
  <c r="M9" i="308"/>
  <c r="O9" i="274"/>
  <c r="O120" i="308"/>
  <c r="O93" i="299"/>
  <c r="O85" i="299"/>
  <c r="O96" i="308"/>
  <c r="T54" i="308"/>
  <c r="T71" i="299"/>
  <c r="U54" i="274"/>
  <c r="W51" i="286"/>
  <c r="AN51" i="286"/>
  <c r="V78" i="285"/>
  <c r="AN78" i="285"/>
  <c r="AU78" i="285" s="1"/>
  <c r="M9" i="301"/>
  <c r="O9" i="276"/>
  <c r="O9" i="301" s="1"/>
  <c r="O7" i="300"/>
  <c r="O62" i="309"/>
  <c r="T64" i="308"/>
  <c r="T101" i="299"/>
  <c r="U64" i="274"/>
  <c r="T17" i="299"/>
  <c r="T14" i="308"/>
  <c r="U14" i="274"/>
  <c r="T41" i="298"/>
  <c r="U7" i="272"/>
  <c r="AN24" i="290"/>
  <c r="V24" i="290"/>
  <c r="V75" i="284"/>
  <c r="AN75" i="284"/>
  <c r="T10" i="306"/>
  <c r="U13" i="282"/>
  <c r="M51" i="300"/>
  <c r="M70" i="309"/>
  <c r="O70" i="275"/>
  <c r="M58" i="309"/>
  <c r="M15" i="300"/>
  <c r="O58" i="275"/>
  <c r="O12" i="300"/>
  <c r="O21" i="309"/>
  <c r="T70" i="300"/>
  <c r="U26" i="275"/>
  <c r="T26" i="309"/>
  <c r="T123" i="300"/>
  <c r="T31" i="309"/>
  <c r="U31" i="275"/>
  <c r="M112" i="274"/>
  <c r="M21" i="298"/>
  <c r="O39" i="272"/>
  <c r="O21" i="298" s="1"/>
  <c r="T102" i="299"/>
  <c r="T31" i="308"/>
  <c r="U31" i="274"/>
  <c r="O80" i="299"/>
  <c r="O85" i="308"/>
  <c r="W18" i="286"/>
  <c r="AN18" i="286"/>
  <c r="AN44" i="286"/>
  <c r="W44" i="286"/>
  <c r="O21" i="276"/>
  <c r="O21" i="301" s="1"/>
  <c r="M21" i="301"/>
  <c r="P41" i="300"/>
  <c r="U56" i="300"/>
  <c r="U108" i="309"/>
  <c r="W108" i="275"/>
  <c r="P99" i="300"/>
  <c r="T105" i="299"/>
  <c r="T62" i="308"/>
  <c r="U62" i="274"/>
  <c r="T109" i="299"/>
  <c r="T30" i="308"/>
  <c r="U30" i="274"/>
  <c r="M35" i="298"/>
  <c r="O64" i="272"/>
  <c r="O35" i="298" s="1"/>
  <c r="R5" i="44"/>
  <c r="T84" i="284"/>
  <c r="M85" i="284" s="1"/>
  <c r="U15" i="305"/>
  <c r="V15" i="280"/>
  <c r="V15" i="305" s="1"/>
  <c r="U95" i="300"/>
  <c r="U114" i="309"/>
  <c r="W114" i="275"/>
  <c r="U73" i="309"/>
  <c r="U37" i="300"/>
  <c r="W73" i="275"/>
  <c r="O33" i="299"/>
  <c r="O44" i="308"/>
  <c r="M39" i="308"/>
  <c r="M31" i="299"/>
  <c r="O39" i="274"/>
  <c r="O18" i="299"/>
  <c r="O15" i="308"/>
  <c r="O35" i="299"/>
  <c r="O46" i="308"/>
  <c r="M116" i="300"/>
  <c r="M8" i="309"/>
  <c r="O8" i="275"/>
  <c r="U35" i="300"/>
  <c r="U45" i="309"/>
  <c r="W45" i="275"/>
  <c r="M53" i="299"/>
  <c r="M124" i="308"/>
  <c r="M129" i="308" s="1"/>
  <c r="O124" i="274"/>
  <c r="U92" i="299"/>
  <c r="U119" i="308"/>
  <c r="V119" i="274"/>
  <c r="O17" i="299"/>
  <c r="O14" i="308"/>
  <c r="U65" i="298"/>
  <c r="V62" i="272"/>
  <c r="V65" i="298" s="1"/>
  <c r="U50" i="298"/>
  <c r="V29" i="272"/>
  <c r="V50" i="298" s="1"/>
  <c r="E10" i="163"/>
  <c r="U11" i="305"/>
  <c r="V11" i="280"/>
  <c r="V11" i="305" s="1"/>
  <c r="O134" i="300"/>
  <c r="O60" i="309"/>
  <c r="O20" i="300"/>
  <c r="O76" i="309"/>
  <c r="O123" i="300"/>
  <c r="O31" i="309"/>
  <c r="M55" i="298"/>
  <c r="O44" i="272"/>
  <c r="O55" i="298" s="1"/>
  <c r="M73" i="298"/>
  <c r="O27" i="272"/>
  <c r="O73" i="298" s="1"/>
  <c r="U9" i="299"/>
  <c r="U84" i="308"/>
  <c r="V84" i="274"/>
  <c r="M7" i="298"/>
  <c r="O13" i="272"/>
  <c r="O7" i="298" s="1"/>
  <c r="T12" i="292"/>
  <c r="M13" i="292" s="1"/>
  <c r="U9" i="306"/>
  <c r="W12" i="282"/>
  <c r="W9" i="306" s="1"/>
  <c r="U7" i="301"/>
  <c r="W7" i="276"/>
  <c r="W7" i="301" s="1"/>
  <c r="M29" i="300"/>
  <c r="M9" i="309"/>
  <c r="O9" i="275"/>
  <c r="O126" i="300"/>
  <c r="O40" i="309"/>
  <c r="W50" i="286"/>
  <c r="AN50" i="286"/>
  <c r="U16" i="289"/>
  <c r="M16" i="289"/>
  <c r="P19" i="306"/>
  <c r="M10" i="301"/>
  <c r="O10" i="276"/>
  <c r="O10" i="301" s="1"/>
  <c r="O37" i="300"/>
  <c r="O73" i="309"/>
  <c r="O12" i="299"/>
  <c r="O6" i="308"/>
  <c r="V119" i="285"/>
  <c r="AN119" i="285"/>
  <c r="AU119" i="285" s="1"/>
  <c r="AN50" i="284"/>
  <c r="V50" i="284"/>
  <c r="M8" i="303"/>
  <c r="O8" i="278"/>
  <c r="O8" i="303" s="1"/>
  <c r="M24" i="301"/>
  <c r="O24" i="276"/>
  <c r="O24" i="301" s="1"/>
  <c r="M114" i="300"/>
  <c r="M42" i="309"/>
  <c r="O42" i="275"/>
  <c r="O24" i="309"/>
  <c r="O69" i="300"/>
  <c r="V55" i="272"/>
  <c r="V31" i="298" s="1"/>
  <c r="U31" i="298"/>
  <c r="P77" i="298"/>
  <c r="N8" i="97" s="1"/>
  <c r="W64" i="286"/>
  <c r="AN64" i="286"/>
  <c r="V16" i="284"/>
  <c r="AN16" i="284"/>
  <c r="L141" i="300"/>
  <c r="P142" i="300" s="1"/>
  <c r="J18" i="97"/>
  <c r="M59" i="298"/>
  <c r="O52" i="272"/>
  <c r="O59" i="298" s="1"/>
  <c r="U52" i="299"/>
  <c r="U116" i="308"/>
  <c r="V116" i="274"/>
  <c r="AN11" i="290"/>
  <c r="V11" i="290"/>
  <c r="AN15" i="284"/>
  <c r="V15" i="284"/>
  <c r="V107" i="275"/>
  <c r="E15" i="160"/>
  <c r="U107" i="309"/>
  <c r="U25" i="300"/>
  <c r="O21" i="299"/>
  <c r="O21" i="308"/>
  <c r="V70" i="308"/>
  <c r="V8" i="299"/>
  <c r="O121" i="308"/>
  <c r="O94" i="299"/>
  <c r="M118" i="299"/>
  <c r="M108" i="308"/>
  <c r="O108" i="274"/>
  <c r="M17" i="298"/>
  <c r="O33" i="272"/>
  <c r="O17" i="298" s="1"/>
  <c r="U18" i="298"/>
  <c r="V34" i="272"/>
  <c r="V18" i="298" s="1"/>
  <c r="O116" i="299"/>
  <c r="O94" i="308"/>
  <c r="U16" i="301"/>
  <c r="W16" i="276"/>
  <c r="W16" i="301" s="1"/>
  <c r="U5" i="305"/>
  <c r="V5" i="280"/>
  <c r="U123" i="299"/>
  <c r="U124" i="299" s="1"/>
  <c r="U65" i="308"/>
  <c r="V65" i="274"/>
  <c r="T18" i="306"/>
  <c r="R19" i="97"/>
  <c r="U96" i="299"/>
  <c r="U123" i="308"/>
  <c r="V123" i="274"/>
  <c r="U54" i="298"/>
  <c r="V38" i="272"/>
  <c r="V54" i="298" s="1"/>
  <c r="U86" i="308"/>
  <c r="U81" i="299"/>
  <c r="E18" i="99"/>
  <c r="V86" i="274"/>
  <c r="U89" i="308"/>
  <c r="U49" i="299"/>
  <c r="V89" i="274"/>
  <c r="U79" i="300"/>
  <c r="U48" i="309"/>
  <c r="W48" i="275"/>
  <c r="E12" i="160"/>
  <c r="U134" i="299"/>
  <c r="U135" i="299" s="1"/>
  <c r="U13" i="308"/>
  <c r="V13" i="274"/>
  <c r="U136" i="300"/>
  <c r="U67" i="309"/>
  <c r="W67" i="275"/>
  <c r="O18" i="306"/>
  <c r="M19" i="97"/>
  <c r="U124" i="300"/>
  <c r="U34" i="309"/>
  <c r="W34" i="275"/>
  <c r="T26" i="298"/>
  <c r="U46" i="272"/>
  <c r="U96" i="308"/>
  <c r="U85" i="299"/>
  <c r="V96" i="274"/>
  <c r="E20" i="99"/>
  <c r="M12" i="306"/>
  <c r="O8" i="282"/>
  <c r="O12" i="306" s="1"/>
  <c r="M13" i="302"/>
  <c r="O14" i="277"/>
  <c r="O13" i="302" s="1"/>
  <c r="O80" i="309"/>
  <c r="O40" i="300"/>
  <c r="M73" i="300"/>
  <c r="M33" i="309"/>
  <c r="O33" i="275"/>
  <c r="V97" i="309"/>
  <c r="V93" i="300"/>
  <c r="O90" i="299"/>
  <c r="O105" i="308"/>
  <c r="U10" i="298"/>
  <c r="V19" i="272"/>
  <c r="V10" i="298" s="1"/>
  <c r="U68" i="298"/>
  <c r="V70" i="272"/>
  <c r="V68" i="298" s="1"/>
  <c r="M47" i="298"/>
  <c r="O17" i="272"/>
  <c r="O47" i="298" s="1"/>
  <c r="M17" i="280"/>
  <c r="K14" i="12" s="1"/>
  <c r="M16" i="305"/>
  <c r="O16" i="280"/>
  <c r="O16" i="305" s="1"/>
  <c r="T9" i="303"/>
  <c r="U9" i="278"/>
  <c r="T22" i="301"/>
  <c r="U22" i="276"/>
  <c r="T14" i="300"/>
  <c r="U7" i="275"/>
  <c r="T7" i="309"/>
  <c r="U5" i="300"/>
  <c r="U6" i="300" s="1"/>
  <c r="U63" i="309"/>
  <c r="W63" i="275"/>
  <c r="O132" i="300"/>
  <c r="O13" i="309"/>
  <c r="T72" i="300"/>
  <c r="T32" i="309"/>
  <c r="U32" i="275"/>
  <c r="O50" i="299"/>
  <c r="O90" i="308"/>
  <c r="O34" i="299"/>
  <c r="O45" i="308"/>
  <c r="T24" i="308"/>
  <c r="T24" i="299"/>
  <c r="U24" i="274"/>
  <c r="U20" i="299"/>
  <c r="U20" i="308"/>
  <c r="V20" i="274"/>
  <c r="M5" i="299"/>
  <c r="M8" i="308"/>
  <c r="O8" i="274"/>
  <c r="O115" i="299"/>
  <c r="O81" i="308"/>
  <c r="U85" i="308"/>
  <c r="U80" i="299"/>
  <c r="V85" i="274"/>
  <c r="M15" i="304"/>
  <c r="O12" i="279"/>
  <c r="O15" i="304" s="1"/>
  <c r="M6" i="303"/>
  <c r="O6" i="278"/>
  <c r="O6" i="303" s="1"/>
  <c r="U18" i="276"/>
  <c r="T18" i="301"/>
  <c r="U19" i="300"/>
  <c r="U44" i="309"/>
  <c r="W44" i="275"/>
  <c r="U74" i="300"/>
  <c r="U35" i="309"/>
  <c r="W35" i="275"/>
  <c r="T89" i="299"/>
  <c r="T104" i="308"/>
  <c r="U104" i="274"/>
  <c r="U70" i="298"/>
  <c r="V9" i="272"/>
  <c r="V70" i="298" s="1"/>
  <c r="E9" i="163"/>
  <c r="T44" i="298"/>
  <c r="U12" i="272"/>
  <c r="T66" i="286"/>
  <c r="U6" i="286"/>
  <c r="V85" i="285"/>
  <c r="AN85" i="285"/>
  <c r="AU85" i="285" s="1"/>
  <c r="AN70" i="284"/>
  <c r="V70" i="284"/>
  <c r="T20" i="301"/>
  <c r="U20" i="276"/>
  <c r="T17" i="301"/>
  <c r="U17" i="276"/>
  <c r="T30" i="300"/>
  <c r="U10" i="275"/>
  <c r="T10" i="309"/>
  <c r="T103" i="300"/>
  <c r="T108" i="300" s="1"/>
  <c r="T52" i="309"/>
  <c r="U52" i="275"/>
  <c r="T92" i="300"/>
  <c r="T92" i="309"/>
  <c r="U92" i="275"/>
  <c r="M107" i="299"/>
  <c r="M111" i="308"/>
  <c r="O111" i="274"/>
  <c r="T132" i="299"/>
  <c r="T133" i="299" s="1"/>
  <c r="T101" i="308"/>
  <c r="U101" i="274"/>
  <c r="T127" i="299"/>
  <c r="T98" i="308"/>
  <c r="U98" i="274"/>
  <c r="T58" i="299"/>
  <c r="T78" i="308"/>
  <c r="U78" i="274"/>
  <c r="T120" i="299"/>
  <c r="T122" i="299" s="1"/>
  <c r="T60" i="308"/>
  <c r="U60" i="274"/>
  <c r="T33" i="299"/>
  <c r="T44" i="308"/>
  <c r="U44" i="274"/>
  <c r="T36" i="299"/>
  <c r="T47" i="308"/>
  <c r="U47" i="274"/>
  <c r="T20" i="291"/>
  <c r="M21" i="291" s="1"/>
  <c r="U6" i="291"/>
  <c r="AN38" i="286"/>
  <c r="W38" i="286"/>
  <c r="M26" i="301"/>
  <c r="O26" i="276"/>
  <c r="O26" i="301" s="1"/>
  <c r="T9" i="301"/>
  <c r="U9" i="276"/>
  <c r="O86" i="309"/>
  <c r="O88" i="300"/>
  <c r="M71" i="308"/>
  <c r="M57" i="299"/>
  <c r="O71" i="274"/>
  <c r="T29" i="298"/>
  <c r="U49" i="272"/>
  <c r="M12" i="298"/>
  <c r="O22" i="272"/>
  <c r="O12" i="298" s="1"/>
  <c r="T121" i="285"/>
  <c r="U108" i="285"/>
  <c r="AU6" i="285"/>
  <c r="AT19" i="296"/>
  <c r="AR19" i="296"/>
  <c r="AN39" i="284"/>
  <c r="V39" i="284"/>
  <c r="T12" i="302"/>
  <c r="U13" i="277"/>
  <c r="T51" i="300"/>
  <c r="T70" i="309"/>
  <c r="U70" i="275"/>
  <c r="T15" i="300"/>
  <c r="T58" i="309"/>
  <c r="U58" i="275"/>
  <c r="M42" i="300"/>
  <c r="M23" i="309"/>
  <c r="O23" i="275"/>
  <c r="O127" i="300"/>
  <c r="O49" i="309"/>
  <c r="U112" i="300"/>
  <c r="W115" i="275"/>
  <c r="U115" i="309"/>
  <c r="O43" i="299"/>
  <c r="O69" i="308"/>
  <c r="T15" i="298"/>
  <c r="U28" i="272"/>
  <c r="U73" i="308"/>
  <c r="U45" i="299"/>
  <c r="V73" i="274"/>
  <c r="O59" i="299"/>
  <c r="O102" i="308"/>
  <c r="AN37" i="290"/>
  <c r="V37" i="290"/>
  <c r="AN98" i="285"/>
  <c r="AU98" i="285" s="1"/>
  <c r="V98" i="285"/>
  <c r="M17" i="300"/>
  <c r="M17" i="309"/>
  <c r="O17" i="275"/>
  <c r="T132" i="300"/>
  <c r="U13" i="275"/>
  <c r="T13" i="309"/>
  <c r="M68" i="300"/>
  <c r="M16" i="309"/>
  <c r="O16" i="275"/>
  <c r="T86" i="300"/>
  <c r="U82" i="275"/>
  <c r="T82" i="309"/>
  <c r="T126" i="300"/>
  <c r="U40" i="275"/>
  <c r="T40" i="309"/>
  <c r="M18" i="300"/>
  <c r="M28" i="309"/>
  <c r="O28" i="275"/>
  <c r="U57" i="300"/>
  <c r="U109" i="309"/>
  <c r="W109" i="275"/>
  <c r="U21" i="299"/>
  <c r="V21" i="274"/>
  <c r="U21" i="308"/>
  <c r="T19" i="299"/>
  <c r="T19" i="308"/>
  <c r="U19" i="274"/>
  <c r="T35" i="298"/>
  <c r="U64" i="272"/>
  <c r="V26" i="299"/>
  <c r="V29" i="308"/>
  <c r="V112" i="299"/>
  <c r="V53" i="308"/>
  <c r="V6" i="284"/>
  <c r="AN6" i="284"/>
  <c r="U84" i="284"/>
  <c r="U6" i="305"/>
  <c r="V6" i="280"/>
  <c r="V6" i="305" s="1"/>
  <c r="W25" i="276"/>
  <c r="W25" i="301" s="1"/>
  <c r="U25" i="301"/>
  <c r="M38" i="300"/>
  <c r="M77" i="309"/>
  <c r="O77" i="275"/>
  <c r="O79" i="309"/>
  <c r="O21" i="300"/>
  <c r="U46" i="300"/>
  <c r="U55" i="309"/>
  <c r="W55" i="275"/>
  <c r="U26" i="300"/>
  <c r="U29" i="309"/>
  <c r="W29" i="275"/>
  <c r="O8" i="300"/>
  <c r="O74" i="309"/>
  <c r="O137" i="300"/>
  <c r="O84" i="309"/>
  <c r="U22" i="299"/>
  <c r="V22" i="274"/>
  <c r="U22" i="308"/>
  <c r="V68" i="272"/>
  <c r="V66" i="298" s="1"/>
  <c r="U66" i="298"/>
  <c r="U103" i="299"/>
  <c r="AX103" i="299" s="1"/>
  <c r="U32" i="308"/>
  <c r="V32" i="274"/>
  <c r="N7" i="12"/>
  <c r="O36" i="299"/>
  <c r="O47" i="308"/>
  <c r="M5" i="303"/>
  <c r="M10" i="278"/>
  <c r="K12" i="12" s="1"/>
  <c r="O5" i="278"/>
  <c r="T116" i="300"/>
  <c r="T119" i="300" s="1"/>
  <c r="T8" i="309"/>
  <c r="U8" i="275"/>
  <c r="O101" i="309"/>
  <c r="O55" i="300"/>
  <c r="U83" i="300"/>
  <c r="U71" i="309"/>
  <c r="W71" i="275"/>
  <c r="T124" i="308"/>
  <c r="T53" i="299"/>
  <c r="U124" i="274"/>
  <c r="O101" i="299"/>
  <c r="O64" i="308"/>
  <c r="U27" i="299"/>
  <c r="U33" i="308"/>
  <c r="V33" i="274"/>
  <c r="M56" i="298"/>
  <c r="O45" i="272"/>
  <c r="O56" i="298" s="1"/>
  <c r="J8" i="97"/>
  <c r="M15" i="295"/>
  <c r="O6" i="295"/>
  <c r="O15" i="295" s="1"/>
  <c r="M81" i="300"/>
  <c r="M57" i="309"/>
  <c r="O57" i="275"/>
  <c r="M85" i="300"/>
  <c r="M81" i="309"/>
  <c r="O81" i="275"/>
  <c r="U109" i="300"/>
  <c r="U111" i="300" s="1"/>
  <c r="U96" i="309"/>
  <c r="V96" i="275"/>
  <c r="O72" i="300"/>
  <c r="O32" i="309"/>
  <c r="T82" i="308"/>
  <c r="T78" i="299"/>
  <c r="U82" i="274"/>
  <c r="O28" i="299"/>
  <c r="O34" i="308"/>
  <c r="U27" i="272"/>
  <c r="T73" i="298"/>
  <c r="T7" i="298"/>
  <c r="U13" i="272"/>
  <c r="O15" i="306"/>
  <c r="O16" i="306" s="1"/>
  <c r="O14" i="282"/>
  <c r="M15" i="12" s="1"/>
  <c r="M13" i="306"/>
  <c r="O9" i="282"/>
  <c r="O13" i="306" s="1"/>
  <c r="O86" i="300"/>
  <c r="O82" i="309"/>
  <c r="P100" i="299"/>
  <c r="O19" i="299"/>
  <c r="O19" i="308"/>
  <c r="T99" i="299"/>
  <c r="T128" i="308"/>
  <c r="U128" i="274"/>
  <c r="V48" i="272"/>
  <c r="V28" i="298" s="1"/>
  <c r="U28" i="298"/>
  <c r="W111" i="309"/>
  <c r="W59" i="300"/>
  <c r="V47" i="284"/>
  <c r="AN47" i="284"/>
  <c r="T10" i="301"/>
  <c r="U10" i="276"/>
  <c r="M22" i="300"/>
  <c r="M94" i="309"/>
  <c r="O94" i="275"/>
  <c r="O117" i="300"/>
  <c r="O25" i="309"/>
  <c r="O63" i="299"/>
  <c r="O18" i="308"/>
  <c r="M16" i="298"/>
  <c r="O32" i="272"/>
  <c r="O16" i="298" s="1"/>
  <c r="V56" i="285"/>
  <c r="AN56" i="285"/>
  <c r="AU56" i="285" s="1"/>
  <c r="AN19" i="284"/>
  <c r="V19" i="284"/>
  <c r="U8" i="278"/>
  <c r="T8" i="303"/>
  <c r="T24" i="301"/>
  <c r="U24" i="276"/>
  <c r="T114" i="300"/>
  <c r="T42" i="309"/>
  <c r="U42" i="275"/>
  <c r="M23" i="300"/>
  <c r="M100" i="309"/>
  <c r="O100" i="275"/>
  <c r="M33" i="300"/>
  <c r="M19" i="309"/>
  <c r="O19" i="275"/>
  <c r="O35" i="300"/>
  <c r="O45" i="309"/>
  <c r="O92" i="299"/>
  <c r="O119" i="308"/>
  <c r="V42" i="299"/>
  <c r="V68" i="308"/>
  <c r="AN10" i="292"/>
  <c r="AN12" i="292" s="1"/>
  <c r="V10" i="292"/>
  <c r="V12" i="292" s="1"/>
  <c r="AN16" i="291"/>
  <c r="W16" i="291"/>
  <c r="AN8" i="290"/>
  <c r="AA8" i="290"/>
  <c r="AA43" i="290" s="1"/>
  <c r="V40" i="284"/>
  <c r="AN40" i="284"/>
  <c r="V31" i="285"/>
  <c r="AN31" i="285"/>
  <c r="AU31" i="285" s="1"/>
  <c r="M8" i="301"/>
  <c r="O8" i="276"/>
  <c r="O8" i="301" s="1"/>
  <c r="P131" i="300"/>
  <c r="N15" i="97" s="1"/>
  <c r="O109" i="300"/>
  <c r="O111" i="300" s="1"/>
  <c r="O96" i="309"/>
  <c r="M98" i="299"/>
  <c r="M127" i="308"/>
  <c r="O127" i="274"/>
  <c r="M71" i="298"/>
  <c r="O65" i="272"/>
  <c r="O71" i="298" s="1"/>
  <c r="T59" i="298"/>
  <c r="U52" i="272"/>
  <c r="M6" i="298"/>
  <c r="O10" i="272"/>
  <c r="O6" i="298" s="1"/>
  <c r="V9" i="294"/>
  <c r="AN9" i="294"/>
  <c r="AN15" i="286"/>
  <c r="W15" i="286"/>
  <c r="U7" i="278"/>
  <c r="T7" i="303"/>
  <c r="M45" i="300"/>
  <c r="M54" i="309"/>
  <c r="O54" i="275"/>
  <c r="T108" i="299"/>
  <c r="U16" i="274"/>
  <c r="T16" i="308"/>
  <c r="M20" i="298"/>
  <c r="O36" i="272"/>
  <c r="O20" i="298" s="1"/>
  <c r="O121" i="299"/>
  <c r="O63" i="308"/>
  <c r="U75" i="299"/>
  <c r="U76" i="308"/>
  <c r="V76" i="274"/>
  <c r="U14" i="305"/>
  <c r="V14" i="280"/>
  <c r="V14" i="305" s="1"/>
  <c r="U100" i="308"/>
  <c r="U87" i="299"/>
  <c r="AX87" i="299" s="1"/>
  <c r="V100" i="274"/>
  <c r="U48" i="298"/>
  <c r="V21" i="272"/>
  <c r="V48" i="298" s="1"/>
  <c r="U7" i="302"/>
  <c r="W6" i="277"/>
  <c r="W7" i="302" s="1"/>
  <c r="U59" i="309"/>
  <c r="U82" i="300"/>
  <c r="W59" i="275"/>
  <c r="U87" i="300"/>
  <c r="U85" i="309"/>
  <c r="W85" i="275"/>
  <c r="U11" i="299"/>
  <c r="V5" i="274"/>
  <c r="E14" i="99"/>
  <c r="U5" i="308"/>
  <c r="U82" i="299"/>
  <c r="U92" i="308"/>
  <c r="V92" i="274"/>
  <c r="U23" i="298"/>
  <c r="V41" i="272"/>
  <c r="V23" i="298" s="1"/>
  <c r="U9" i="298"/>
  <c r="V18" i="272"/>
  <c r="V9" i="298" s="1"/>
  <c r="M18" i="306"/>
  <c r="K19" i="97"/>
  <c r="W5" i="277"/>
  <c r="U15" i="302"/>
  <c r="U16" i="302" s="1"/>
  <c r="U106" i="300"/>
  <c r="U119" i="309"/>
  <c r="V119" i="275"/>
  <c r="T27" i="288"/>
  <c r="U6" i="288"/>
  <c r="T8" i="282"/>
  <c r="T14" i="277"/>
  <c r="T15" i="277" s="1"/>
  <c r="M24" i="300"/>
  <c r="M102" i="309"/>
  <c r="O102" i="275"/>
  <c r="M53" i="300"/>
  <c r="M91" i="309"/>
  <c r="O91" i="275"/>
  <c r="O82" i="300"/>
  <c r="O59" i="309"/>
  <c r="T33" i="275"/>
  <c r="T13" i="300"/>
  <c r="V117" i="309"/>
  <c r="V97" i="300"/>
  <c r="O75" i="299"/>
  <c r="O76" i="308"/>
  <c r="T17" i="272"/>
  <c r="T77" i="272" s="1"/>
  <c r="T16" i="280"/>
  <c r="M139" i="300"/>
  <c r="M95" i="309"/>
  <c r="O95" i="275"/>
  <c r="M76" i="300"/>
  <c r="M43" i="309"/>
  <c r="O43" i="275"/>
  <c r="U135" i="300"/>
  <c r="U64" i="309"/>
  <c r="W64" i="275"/>
  <c r="O136" i="300"/>
  <c r="O67" i="309"/>
  <c r="O106" i="299"/>
  <c r="O109" i="308"/>
  <c r="O104" i="299"/>
  <c r="O50" i="308"/>
  <c r="M24" i="299"/>
  <c r="M24" i="308"/>
  <c r="O24" i="274"/>
  <c r="T8" i="274"/>
  <c r="U52" i="298"/>
  <c r="V31" i="272"/>
  <c r="V52" i="298" s="1"/>
  <c r="U72" i="298"/>
  <c r="V66" i="272"/>
  <c r="V72" i="298" s="1"/>
  <c r="U59" i="299"/>
  <c r="U102" i="308"/>
  <c r="V102" i="274"/>
  <c r="U16" i="293"/>
  <c r="W6" i="293"/>
  <c r="AN6" i="293"/>
  <c r="T12" i="279"/>
  <c r="M43" i="300"/>
  <c r="M38" i="309"/>
  <c r="O38" i="275"/>
  <c r="M54" i="300"/>
  <c r="M93" i="309"/>
  <c r="O93" i="275"/>
  <c r="O87" i="309"/>
  <c r="O89" i="300"/>
  <c r="M104" i="308"/>
  <c r="M89" i="299"/>
  <c r="O104" i="274"/>
  <c r="V95" i="308"/>
  <c r="V84" i="299"/>
  <c r="T8" i="298"/>
  <c r="U15" i="272"/>
  <c r="U47" i="299"/>
  <c r="U87" i="308"/>
  <c r="V87" i="274"/>
  <c r="V55" i="308"/>
  <c r="V72" i="299"/>
  <c r="D29" i="97"/>
  <c r="B17" i="12"/>
  <c r="AN29" i="286"/>
  <c r="W29" i="286"/>
  <c r="M66" i="286"/>
  <c r="O6" i="286"/>
  <c r="O66" i="286" s="1"/>
  <c r="AN23" i="284"/>
  <c r="V23" i="284"/>
  <c r="AN34" i="284"/>
  <c r="V34" i="284"/>
  <c r="T10" i="302"/>
  <c r="U10" i="277"/>
  <c r="T44" i="300"/>
  <c r="U53" i="275"/>
  <c r="T53" i="309"/>
  <c r="O124" i="300"/>
  <c r="O34" i="309"/>
  <c r="T21" i="300"/>
  <c r="T79" i="309"/>
  <c r="U79" i="275"/>
  <c r="T125" i="300"/>
  <c r="U37" i="275"/>
  <c r="T37" i="309"/>
  <c r="T111" i="274"/>
  <c r="M132" i="299"/>
  <c r="M133" i="299" s="1"/>
  <c r="M101" i="308"/>
  <c r="O101" i="274"/>
  <c r="M127" i="299"/>
  <c r="M98" i="308"/>
  <c r="O98" i="274"/>
  <c r="M58" i="299"/>
  <c r="M78" i="308"/>
  <c r="O78" i="274"/>
  <c r="M120" i="299"/>
  <c r="M122" i="299" s="1"/>
  <c r="K13" i="97" s="1"/>
  <c r="M60" i="308"/>
  <c r="O60" i="274"/>
  <c r="T13" i="299"/>
  <c r="T9" i="308"/>
  <c r="U9" i="274"/>
  <c r="T18" i="299"/>
  <c r="T15" i="308"/>
  <c r="U15" i="274"/>
  <c r="T35" i="299"/>
  <c r="T46" i="308"/>
  <c r="U46" i="274"/>
  <c r="M42" i="298"/>
  <c r="O8" i="272"/>
  <c r="O42" i="298" s="1"/>
  <c r="V16" i="290"/>
  <c r="AN16" i="290"/>
  <c r="V114" i="285"/>
  <c r="AN114" i="285"/>
  <c r="AU114" i="285" s="1"/>
  <c r="AN92" i="285"/>
  <c r="AU92" i="285" s="1"/>
  <c r="V92" i="285"/>
  <c r="AN11" i="285"/>
  <c r="AU11" i="285" s="1"/>
  <c r="V11" i="285"/>
  <c r="T26" i="276"/>
  <c r="T79" i="299"/>
  <c r="T83" i="308"/>
  <c r="U83" i="274"/>
  <c r="T71" i="274"/>
  <c r="M51" i="298"/>
  <c r="O30" i="272"/>
  <c r="O51" i="298" s="1"/>
  <c r="V93" i="308"/>
  <c r="V83" i="299"/>
  <c r="M130" i="274"/>
  <c r="K8" i="12" s="1"/>
  <c r="T22" i="272"/>
  <c r="AN76" i="285"/>
  <c r="AU76" i="285" s="1"/>
  <c r="V76" i="285"/>
  <c r="T12" i="301"/>
  <c r="U12" i="276"/>
  <c r="T23" i="275"/>
  <c r="O63" i="309"/>
  <c r="O5" i="300"/>
  <c r="O6" i="300" s="1"/>
  <c r="T134" i="300"/>
  <c r="U60" i="275"/>
  <c r="T60" i="309"/>
  <c r="P130" i="299"/>
  <c r="N14" i="97" s="1"/>
  <c r="U39" i="272"/>
  <c r="T21" i="298"/>
  <c r="T34" i="308"/>
  <c r="T28" i="299"/>
  <c r="U34" i="274"/>
  <c r="M62" i="299"/>
  <c r="M17" i="308"/>
  <c r="O17" i="274"/>
  <c r="M16" i="299"/>
  <c r="M12" i="308"/>
  <c r="O12" i="274"/>
  <c r="O91" i="299"/>
  <c r="O106" i="308"/>
  <c r="AN10" i="293"/>
  <c r="W10" i="293"/>
  <c r="U7" i="285"/>
  <c r="T105" i="285"/>
  <c r="T6" i="302"/>
  <c r="U11" i="277"/>
  <c r="T17" i="275"/>
  <c r="M31" i="300"/>
  <c r="M11" i="309"/>
  <c r="O11" i="275"/>
  <c r="N9" i="12"/>
  <c r="T16" i="275"/>
  <c r="T127" i="275" s="1"/>
  <c r="O19" i="300"/>
  <c r="O44" i="309"/>
  <c r="O51" i="309"/>
  <c r="O63" i="300"/>
  <c r="O64" i="300" s="1"/>
  <c r="O35" i="309"/>
  <c r="O74" i="300"/>
  <c r="T28" i="275"/>
  <c r="T30" i="299"/>
  <c r="T38" i="308"/>
  <c r="U38" i="274"/>
  <c r="T75" i="308"/>
  <c r="T74" i="299"/>
  <c r="U75" i="274"/>
  <c r="O113" i="299"/>
  <c r="O56" i="308"/>
  <c r="O65" i="299"/>
  <c r="O66" i="299" s="1"/>
  <c r="O74" i="308"/>
  <c r="T77" i="275"/>
  <c r="O92" i="309"/>
  <c r="O92" i="300"/>
  <c r="O71" i="300"/>
  <c r="O30" i="309"/>
  <c r="U12" i="299"/>
  <c r="U6" i="308"/>
  <c r="V6" i="274"/>
  <c r="U131" i="299"/>
  <c r="U43" i="308"/>
  <c r="V43" i="274"/>
  <c r="U14" i="298"/>
  <c r="V26" i="272"/>
  <c r="V14" i="298" s="1"/>
  <c r="P39" i="298"/>
  <c r="O71" i="299"/>
  <c r="O54" i="308"/>
  <c r="AN6" i="294"/>
  <c r="V6" i="294"/>
  <c r="U21" i="294"/>
  <c r="M10" i="305"/>
  <c r="O10" i="280"/>
  <c r="O10" i="305" s="1"/>
  <c r="U12" i="305"/>
  <c r="V12" i="280"/>
  <c r="V12" i="305" s="1"/>
  <c r="O6" i="301"/>
  <c r="O28" i="301" s="1"/>
  <c r="M11" i="278"/>
  <c r="N12" i="12"/>
  <c r="U80" i="300"/>
  <c r="U50" i="309"/>
  <c r="W50" i="275"/>
  <c r="U52" i="300"/>
  <c r="W83" i="275"/>
  <c r="U83" i="309"/>
  <c r="O41" i="299"/>
  <c r="O67" i="308"/>
  <c r="O37" i="299"/>
  <c r="O48" i="308"/>
  <c r="T45" i="272"/>
  <c r="V23" i="299"/>
  <c r="V23" i="308"/>
  <c r="M45" i="298"/>
  <c r="O14" i="272"/>
  <c r="O45" i="298" s="1"/>
  <c r="T57" i="275"/>
  <c r="O26" i="309"/>
  <c r="O70" i="300"/>
  <c r="U104" i="300"/>
  <c r="U98" i="309"/>
  <c r="V98" i="275"/>
  <c r="M53" i="298"/>
  <c r="O37" i="272"/>
  <c r="O53" i="298" s="1"/>
  <c r="M82" i="308"/>
  <c r="M78" i="299"/>
  <c r="O82" i="274"/>
  <c r="T55" i="298"/>
  <c r="U44" i="272"/>
  <c r="U58" i="298"/>
  <c r="V51" i="272"/>
  <c r="V58" i="298" s="1"/>
  <c r="U61" i="299"/>
  <c r="U118" i="308"/>
  <c r="V118" i="274"/>
  <c r="U22" i="298"/>
  <c r="V40" i="272"/>
  <c r="V22" i="298" s="1"/>
  <c r="M14" i="282"/>
  <c r="K15" i="12" s="1"/>
  <c r="T9" i="282"/>
  <c r="T29" i="300"/>
  <c r="U9" i="275"/>
  <c r="T9" i="309"/>
  <c r="O94" i="300"/>
  <c r="O99" i="309"/>
  <c r="M29" i="299"/>
  <c r="M36" i="308"/>
  <c r="O36" i="274"/>
  <c r="O109" i="299"/>
  <c r="O30" i="308"/>
  <c r="O30" i="299"/>
  <c r="O38" i="308"/>
  <c r="U88" i="308"/>
  <c r="U48" i="299"/>
  <c r="V88" i="274"/>
  <c r="O99" i="299"/>
  <c r="O128" i="308"/>
  <c r="AN10" i="290"/>
  <c r="V10" i="290"/>
  <c r="AN34" i="285"/>
  <c r="AU34" i="285" s="1"/>
  <c r="V34" i="285"/>
  <c r="T94" i="275"/>
  <c r="O26" i="300"/>
  <c r="O29" i="309"/>
  <c r="O22" i="308"/>
  <c r="O22" i="299"/>
  <c r="O114" i="299"/>
  <c r="O57" i="308"/>
  <c r="AN53" i="286"/>
  <c r="W53" i="286"/>
  <c r="W11" i="286"/>
  <c r="AN11" i="286"/>
  <c r="V45" i="285"/>
  <c r="AN45" i="285"/>
  <c r="AU45" i="285" s="1"/>
  <c r="O83" i="300"/>
  <c r="O71" i="309"/>
  <c r="O52" i="300"/>
  <c r="O83" i="309"/>
  <c r="O27" i="299"/>
  <c r="O33" i="308"/>
  <c r="M30" i="298"/>
  <c r="O53" i="272"/>
  <c r="O30" i="298" s="1"/>
  <c r="M40" i="298"/>
  <c r="O6" i="272"/>
  <c r="O40" i="298" s="1"/>
  <c r="AN18" i="294"/>
  <c r="V18" i="294"/>
  <c r="W56" i="286"/>
  <c r="AN56" i="286"/>
  <c r="V42" i="290"/>
  <c r="AN42" i="290"/>
  <c r="M14" i="301"/>
  <c r="O14" i="276"/>
  <c r="O14" i="301" s="1"/>
  <c r="T8" i="276"/>
  <c r="M121" i="300"/>
  <c r="M20" i="309"/>
  <c r="O20" i="275"/>
  <c r="M133" i="300"/>
  <c r="M140" i="300" s="1"/>
  <c r="M14" i="309"/>
  <c r="O14" i="275"/>
  <c r="M120" i="300"/>
  <c r="M12" i="309"/>
  <c r="O12" i="275"/>
  <c r="T127" i="274"/>
  <c r="M15" i="299"/>
  <c r="M11" i="308"/>
  <c r="O11" i="274"/>
  <c r="T65" i="272"/>
  <c r="AN33" i="285"/>
  <c r="AU33" i="285" s="1"/>
  <c r="V33" i="285"/>
  <c r="M7" i="303"/>
  <c r="O7" i="278"/>
  <c r="O7" i="303" s="1"/>
  <c r="M96" i="300"/>
  <c r="M116" i="309"/>
  <c r="O116" i="275"/>
  <c r="O28" i="300"/>
  <c r="O5" i="309"/>
  <c r="T54" i="275"/>
  <c r="O48" i="299"/>
  <c r="O88" i="308"/>
  <c r="M62" i="298"/>
  <c r="O59" i="272"/>
  <c r="O62" i="298" s="1"/>
  <c r="T36" i="272"/>
  <c r="O40" i="299"/>
  <c r="O66" i="308"/>
  <c r="T43" i="298"/>
  <c r="U11" i="272"/>
  <c r="O108" i="299"/>
  <c r="O16" i="308"/>
  <c r="M76" i="298"/>
  <c r="O74" i="272"/>
  <c r="O76" i="298" s="1"/>
  <c r="M78" i="298"/>
  <c r="M79" i="298" s="1"/>
  <c r="O25" i="272"/>
  <c r="O78" i="298" s="1"/>
  <c r="O79" i="298" s="1"/>
  <c r="U121" i="299"/>
  <c r="U63" i="308"/>
  <c r="V63" i="274"/>
  <c r="W7" i="277"/>
  <c r="W8" i="302" s="1"/>
  <c r="U8" i="302"/>
  <c r="U49" i="300"/>
  <c r="W68" i="275"/>
  <c r="U68" i="309"/>
  <c r="U104" i="299"/>
  <c r="U50" i="308"/>
  <c r="V50" i="274"/>
  <c r="E22" i="99"/>
  <c r="U60" i="298"/>
  <c r="V54" i="272"/>
  <c r="V60" i="298" s="1"/>
  <c r="W6" i="282"/>
  <c r="U7" i="306"/>
  <c r="U65" i="300"/>
  <c r="U67" i="300" s="1"/>
  <c r="S17" i="97" s="1"/>
  <c r="E12" i="61" s="1"/>
  <c r="U6" i="309"/>
  <c r="AA6" i="275"/>
  <c r="U72" i="308"/>
  <c r="U44" i="299"/>
  <c r="V72" i="274"/>
  <c r="U60" i="299"/>
  <c r="U117" i="308"/>
  <c r="V117" i="274"/>
  <c r="U45" i="308"/>
  <c r="U34" i="299"/>
  <c r="V45" i="274"/>
  <c r="U115" i="299"/>
  <c r="U81" i="308"/>
  <c r="V81" i="274"/>
  <c r="U122" i="300"/>
  <c r="W27" i="275"/>
  <c r="U27" i="309"/>
  <c r="N16" i="12"/>
  <c r="M13" i="305"/>
  <c r="O13" i="280"/>
  <c r="O13" i="305" s="1"/>
  <c r="M6" i="97"/>
  <c r="M17" i="304"/>
  <c r="W110" i="300"/>
  <c r="W111" i="300" s="1"/>
  <c r="U13" i="97" s="1"/>
  <c r="W104" i="309"/>
  <c r="V126" i="299"/>
  <c r="V58" i="308"/>
  <c r="M57" i="298"/>
  <c r="O50" i="272"/>
  <c r="O57" i="298" s="1"/>
  <c r="T91" i="275"/>
  <c r="U88" i="300"/>
  <c r="U86" i="309"/>
  <c r="W86" i="275"/>
  <c r="T70" i="299"/>
  <c r="T49" i="308"/>
  <c r="U49" i="274"/>
  <c r="T25" i="299"/>
  <c r="T25" i="308"/>
  <c r="U25" i="274"/>
  <c r="T36" i="298"/>
  <c r="U67" i="272"/>
  <c r="O49" i="299"/>
  <c r="O89" i="308"/>
  <c r="M46" i="298"/>
  <c r="O16" i="272"/>
  <c r="O46" i="298" s="1"/>
  <c r="U10" i="300"/>
  <c r="U106" i="309"/>
  <c r="W106" i="275"/>
  <c r="T95" i="275"/>
  <c r="T43" i="275"/>
  <c r="M14" i="300"/>
  <c r="M16" i="300" s="1"/>
  <c r="M7" i="309"/>
  <c r="M127" i="309" s="1"/>
  <c r="O7" i="275"/>
  <c r="U21" i="309"/>
  <c r="U12" i="300"/>
  <c r="W21" i="275"/>
  <c r="U43" i="299"/>
  <c r="U69" i="308"/>
  <c r="V69" i="274"/>
  <c r="O44" i="299"/>
  <c r="O72" i="308"/>
  <c r="O123" i="299"/>
  <c r="O124" i="299" s="1"/>
  <c r="O65" i="308"/>
  <c r="T38" i="275"/>
  <c r="T54" i="300"/>
  <c r="T93" i="309"/>
  <c r="U93" i="275"/>
  <c r="U63" i="300"/>
  <c r="U64" i="300" s="1"/>
  <c r="U51" i="309"/>
  <c r="W51" i="275"/>
  <c r="O122" i="300"/>
  <c r="O27" i="309"/>
  <c r="U25" i="298"/>
  <c r="V43" i="272"/>
  <c r="V25" i="298" s="1"/>
  <c r="U113" i="299"/>
  <c r="U56" i="308"/>
  <c r="V56" i="274"/>
  <c r="V88" i="299"/>
  <c r="V103" i="308"/>
  <c r="V111" i="299"/>
  <c r="V37" i="308"/>
  <c r="V35" i="290"/>
  <c r="AN35" i="290"/>
  <c r="M67" i="286"/>
  <c r="O7" i="302"/>
  <c r="O14" i="302" s="1"/>
  <c r="O17" i="302" s="1"/>
  <c r="U27" i="276"/>
  <c r="T27" i="301"/>
  <c r="M28" i="276"/>
  <c r="K10" i="12" s="1"/>
  <c r="M77" i="300"/>
  <c r="M46" i="309"/>
  <c r="O46" i="275"/>
  <c r="U129" i="300"/>
  <c r="U72" i="309"/>
  <c r="W72" i="275"/>
  <c r="T71" i="300"/>
  <c r="U30" i="275"/>
  <c r="T30" i="309"/>
  <c r="O131" i="299"/>
  <c r="O43" i="308"/>
  <c r="T11" i="298"/>
  <c r="U20" i="272"/>
  <c r="O55" i="299"/>
  <c r="O28" i="308"/>
  <c r="T42" i="298"/>
  <c r="U8" i="272"/>
  <c r="V41" i="290"/>
  <c r="AN41" i="290"/>
  <c r="W9" i="293"/>
  <c r="AN9" i="293"/>
  <c r="V46" i="284"/>
  <c r="AN46" i="284"/>
  <c r="U7" i="280"/>
  <c r="T7" i="305"/>
  <c r="T6" i="301"/>
  <c r="U6" i="276"/>
  <c r="T28" i="276"/>
  <c r="R10" i="12" s="1"/>
  <c r="M61" i="300"/>
  <c r="M113" i="309"/>
  <c r="O113" i="275"/>
  <c r="M50" i="300"/>
  <c r="M69" i="309"/>
  <c r="O69" i="275"/>
  <c r="M113" i="300"/>
  <c r="M115" i="300" s="1"/>
  <c r="K16" i="97" s="1"/>
  <c r="M15" i="309"/>
  <c r="O15" i="275"/>
  <c r="O56" i="309"/>
  <c r="O47" i="300"/>
  <c r="T41" i="299"/>
  <c r="T67" i="308"/>
  <c r="U67" i="274"/>
  <c r="T51" i="298"/>
  <c r="U30" i="272"/>
  <c r="V15" i="294"/>
  <c r="AN15" i="294"/>
  <c r="AN12" i="291"/>
  <c r="W12" i="291"/>
  <c r="P62" i="300"/>
  <c r="N9" i="97" s="1"/>
  <c r="O87" i="300"/>
  <c r="O85" i="309"/>
  <c r="O135" i="300"/>
  <c r="O64" i="309"/>
  <c r="T48" i="300"/>
  <c r="T65" i="309"/>
  <c r="U65" i="275"/>
  <c r="T115" i="300"/>
  <c r="R16" i="97" s="1"/>
  <c r="O11" i="299"/>
  <c r="O5" i="308"/>
  <c r="M125" i="299"/>
  <c r="M52" i="308"/>
  <c r="O52" i="274"/>
  <c r="M32" i="299"/>
  <c r="M41" i="308"/>
  <c r="O41" i="274"/>
  <c r="M110" i="299"/>
  <c r="M119" i="299" s="1"/>
  <c r="M35" i="308"/>
  <c r="O35" i="274"/>
  <c r="O20" i="299"/>
  <c r="O20" i="308"/>
  <c r="T64" i="298"/>
  <c r="U61" i="272"/>
  <c r="T17" i="274"/>
  <c r="U117" i="299"/>
  <c r="U107" i="308"/>
  <c r="V107" i="274"/>
  <c r="V17" i="294"/>
  <c r="AN17" i="294"/>
  <c r="T15" i="306"/>
  <c r="T16" i="306" s="1"/>
  <c r="T14" i="282"/>
  <c r="U5" i="282"/>
  <c r="T21" i="301"/>
  <c r="U21" i="276"/>
  <c r="U12" i="277"/>
  <c r="T11" i="302"/>
  <c r="M39" i="300"/>
  <c r="M78" i="309"/>
  <c r="O78" i="275"/>
  <c r="M14" i="299"/>
  <c r="M64" i="299" s="1"/>
  <c r="M10" i="308"/>
  <c r="O10" i="274"/>
  <c r="M67" i="299"/>
  <c r="M68" i="299" s="1"/>
  <c r="M7" i="308"/>
  <c r="M112" i="308" s="1"/>
  <c r="O7" i="274"/>
  <c r="O112" i="274" s="1"/>
  <c r="T33" i="298"/>
  <c r="U57" i="272"/>
  <c r="M27" i="298"/>
  <c r="O47" i="272"/>
  <c r="O27" i="298" s="1"/>
  <c r="T74" i="308"/>
  <c r="T65" i="299"/>
  <c r="T66" i="299" s="1"/>
  <c r="U74" i="274"/>
  <c r="V129" i="299"/>
  <c r="V110" i="308"/>
  <c r="U40" i="299"/>
  <c r="AX40" i="299" s="1"/>
  <c r="U66" i="308"/>
  <c r="V66" i="274"/>
  <c r="M8" i="305"/>
  <c r="M17" i="305" s="1"/>
  <c r="O8" i="280"/>
  <c r="O8" i="305" s="1"/>
  <c r="M90" i="300"/>
  <c r="M89" i="309"/>
  <c r="O89" i="275"/>
  <c r="M128" i="300"/>
  <c r="M66" i="309"/>
  <c r="O66" i="275"/>
  <c r="M78" i="300"/>
  <c r="M47" i="309"/>
  <c r="O47" i="275"/>
  <c r="O103" i="300"/>
  <c r="O108" i="300" s="1"/>
  <c r="O52" i="309"/>
  <c r="U117" i="300"/>
  <c r="U25" i="309"/>
  <c r="W25" i="275"/>
  <c r="O125" i="300"/>
  <c r="O37" i="309"/>
  <c r="T39" i="308"/>
  <c r="T31" i="299"/>
  <c r="U39" i="274"/>
  <c r="M6" i="299"/>
  <c r="M26" i="308"/>
  <c r="O26" i="274"/>
  <c r="U63" i="299"/>
  <c r="U18" i="308"/>
  <c r="V18" i="274"/>
  <c r="U93" i="299"/>
  <c r="U120" i="308"/>
  <c r="V120" i="274"/>
  <c r="N18" i="97"/>
  <c r="M34" i="298"/>
  <c r="O63" i="272"/>
  <c r="O34" i="298" s="1"/>
  <c r="M77" i="272"/>
  <c r="K7" i="12" s="1"/>
  <c r="M5" i="298"/>
  <c r="O5" i="272"/>
  <c r="U114" i="299"/>
  <c r="U57" i="308"/>
  <c r="V57" i="274"/>
  <c r="M49" i="298"/>
  <c r="O23" i="272"/>
  <c r="O49" i="298" s="1"/>
  <c r="T21" i="294"/>
  <c r="M22" i="294" s="1"/>
  <c r="T10" i="305"/>
  <c r="U10" i="280"/>
  <c r="P10" i="303"/>
  <c r="U40" i="300"/>
  <c r="U80" i="309"/>
  <c r="W80" i="275"/>
  <c r="M36" i="300"/>
  <c r="M61" i="309"/>
  <c r="O61" i="275"/>
  <c r="U69" i="300"/>
  <c r="U24" i="309"/>
  <c r="W24" i="275"/>
  <c r="U138" i="300"/>
  <c r="W88" i="275"/>
  <c r="U88" i="309"/>
  <c r="O79" i="299"/>
  <c r="O83" i="308"/>
  <c r="T45" i="298"/>
  <c r="U14" i="272"/>
  <c r="T6" i="295"/>
  <c r="W11" i="276"/>
  <c r="W11" i="301" s="1"/>
  <c r="U11" i="301"/>
  <c r="T81" i="275"/>
  <c r="M27" i="300"/>
  <c r="M36" i="309"/>
  <c r="O36" i="275"/>
  <c r="T76" i="309"/>
  <c r="T20" i="300"/>
  <c r="U76" i="275"/>
  <c r="O48" i="300"/>
  <c r="O65" i="309"/>
  <c r="U37" i="272"/>
  <c r="T53" i="298"/>
  <c r="O102" i="299"/>
  <c r="O31" i="308"/>
  <c r="U76" i="299"/>
  <c r="U77" i="308"/>
  <c r="V77" i="274"/>
  <c r="E26" i="40"/>
  <c r="E27" i="40" s="1"/>
  <c r="J25" i="40"/>
  <c r="J26" i="40" s="1"/>
  <c r="J27" i="40" s="1"/>
  <c r="U28" i="300"/>
  <c r="V5" i="275"/>
  <c r="U5" i="309"/>
  <c r="M34" i="300"/>
  <c r="M22" i="309"/>
  <c r="O22" i="275"/>
  <c r="O105" i="299"/>
  <c r="O62" i="308"/>
  <c r="M46" i="299"/>
  <c r="M79" i="308"/>
  <c r="O79" i="274"/>
  <c r="M69" i="299"/>
  <c r="M40" i="308"/>
  <c r="O40" i="274"/>
  <c r="T29" i="299"/>
  <c r="T36" i="308"/>
  <c r="U36" i="274"/>
  <c r="U51" i="299"/>
  <c r="U91" i="308"/>
  <c r="V91" i="274"/>
  <c r="O74" i="299"/>
  <c r="O75" i="308"/>
  <c r="V27" i="308"/>
  <c r="V7" i="299"/>
  <c r="AN7" i="291"/>
  <c r="W7" i="291"/>
  <c r="AN27" i="290"/>
  <c r="V27" i="290"/>
  <c r="AN13" i="293"/>
  <c r="W13" i="293"/>
  <c r="M84" i="300"/>
  <c r="M75" i="309"/>
  <c r="O75" i="275"/>
  <c r="O55" i="309"/>
  <c r="O46" i="300"/>
  <c r="O129" i="300"/>
  <c r="O72" i="309"/>
  <c r="T32" i="272"/>
  <c r="O103" i="299"/>
  <c r="O32" i="308"/>
  <c r="V13" i="294"/>
  <c r="AN13" i="294"/>
  <c r="M43" i="290"/>
  <c r="O6" i="290"/>
  <c r="O43" i="290" s="1"/>
  <c r="V44" i="285"/>
  <c r="AN44" i="285"/>
  <c r="AU44" i="285" s="1"/>
  <c r="AN10" i="285"/>
  <c r="AU10" i="285" s="1"/>
  <c r="V10" i="285"/>
  <c r="M118" i="300"/>
  <c r="M39" i="309"/>
  <c r="O39" i="275"/>
  <c r="T19" i="275"/>
  <c r="W130" i="300"/>
  <c r="W105" i="309"/>
  <c r="O138" i="300"/>
  <c r="O88" i="309"/>
  <c r="M128" i="299"/>
  <c r="M99" i="308"/>
  <c r="O99" i="274"/>
  <c r="M86" i="299"/>
  <c r="M97" i="308"/>
  <c r="O97" i="274"/>
  <c r="M61" i="308"/>
  <c r="M73" i="299"/>
  <c r="O61" i="274"/>
  <c r="T30" i="298"/>
  <c r="U53" i="272"/>
  <c r="T40" i="298"/>
  <c r="U6" i="272"/>
  <c r="AN14" i="289"/>
  <c r="AN15" i="289" s="1"/>
  <c r="W14" i="289"/>
  <c r="W15" i="289" s="1"/>
  <c r="U8" i="306"/>
  <c r="V7" i="282"/>
  <c r="V8" i="306" s="1"/>
  <c r="V11" i="306" s="1"/>
  <c r="M9" i="302"/>
  <c r="M14" i="302" s="1"/>
  <c r="M17" i="302" s="1"/>
  <c r="T18" i="302" s="1"/>
  <c r="O8" i="277"/>
  <c r="O9" i="302" s="1"/>
  <c r="M15" i="277"/>
  <c r="T14" i="301"/>
  <c r="U14" i="276"/>
  <c r="T133" i="300"/>
  <c r="U14" i="275"/>
  <c r="T14" i="309"/>
  <c r="T120" i="300"/>
  <c r="T131" i="300" s="1"/>
  <c r="U12" i="275"/>
  <c r="T12" i="309"/>
  <c r="M91" i="300"/>
  <c r="M90" i="309"/>
  <c r="O90" i="275"/>
  <c r="M32" i="300"/>
  <c r="M18" i="309"/>
  <c r="O18" i="275"/>
  <c r="T129" i="274"/>
  <c r="V22" i="285"/>
  <c r="AN22" i="285"/>
  <c r="AU22" i="285" s="1"/>
  <c r="AN63" i="284"/>
  <c r="V63" i="284"/>
  <c r="T116" i="309"/>
  <c r="T96" i="300"/>
  <c r="U116" i="275"/>
  <c r="M127" i="275"/>
  <c r="K9" i="12" s="1"/>
  <c r="M54" i="299"/>
  <c r="M126" i="308"/>
  <c r="O126" i="274"/>
  <c r="T121" i="308"/>
  <c r="T94" i="299"/>
  <c r="U121" i="274"/>
  <c r="M59" i="308"/>
  <c r="M39" i="299"/>
  <c r="O59" i="274"/>
  <c r="M42" i="308"/>
  <c r="M56" i="299"/>
  <c r="O42" i="274"/>
  <c r="O51" i="299"/>
  <c r="O91" i="308"/>
  <c r="T62" i="298"/>
  <c r="U59" i="272"/>
  <c r="T116" i="299"/>
  <c r="T94" i="308"/>
  <c r="U94" i="274"/>
  <c r="L80" i="298"/>
  <c r="P81" i="298" s="1"/>
  <c r="J10" i="97"/>
  <c r="T118" i="299"/>
  <c r="T108" i="308"/>
  <c r="U108" i="274"/>
  <c r="T17" i="298"/>
  <c r="U33" i="272"/>
  <c r="U74" i="272"/>
  <c r="T76" i="298"/>
  <c r="T78" i="298"/>
  <c r="T79" i="298" s="1"/>
  <c r="U25" i="272"/>
  <c r="U106" i="299"/>
  <c r="AX106" i="299" s="1"/>
  <c r="U109" i="308"/>
  <c r="V109" i="274"/>
  <c r="U17" i="306"/>
  <c r="V11" i="282"/>
  <c r="V17" i="306" s="1"/>
  <c r="U61" i="298"/>
  <c r="V58" i="272"/>
  <c r="V61" i="298" s="1"/>
  <c r="U23" i="301"/>
  <c r="W23" i="276"/>
  <c r="W23" i="301" s="1"/>
  <c r="U89" i="300"/>
  <c r="U87" i="309"/>
  <c r="W87" i="275"/>
  <c r="T11" i="306"/>
  <c r="U37" i="299"/>
  <c r="U48" i="308"/>
  <c r="V48" i="274"/>
  <c r="E17" i="99"/>
  <c r="U80" i="308"/>
  <c r="U77" i="299"/>
  <c r="V80" i="274"/>
  <c r="E21" i="99"/>
  <c r="U5" i="306"/>
  <c r="U6" i="306" s="1"/>
  <c r="V10" i="282"/>
  <c r="V5" i="306" s="1"/>
  <c r="V6" i="306" s="1"/>
  <c r="U19" i="298"/>
  <c r="V35" i="272"/>
  <c r="V19" i="298" s="1"/>
  <c r="U90" i="299"/>
  <c r="AX90" i="299" s="1"/>
  <c r="U105" i="308"/>
  <c r="V105" i="274"/>
  <c r="U50" i="299"/>
  <c r="U90" i="308"/>
  <c r="V90" i="274"/>
  <c r="U12" i="292"/>
  <c r="U75" i="300"/>
  <c r="W41" i="275"/>
  <c r="U41" i="309"/>
  <c r="U11" i="279"/>
  <c r="T12" i="304"/>
  <c r="U13" i="279"/>
  <c r="T16" i="304"/>
  <c r="W8" i="279"/>
  <c r="W5" i="304" s="1"/>
  <c r="W6" i="304" s="1"/>
  <c r="U5" i="304"/>
  <c r="U6" i="304" s="1"/>
  <c r="S6" i="97" s="1"/>
  <c r="U10" i="304"/>
  <c r="W7" i="279"/>
  <c r="W10" i="304" s="1"/>
  <c r="M12" i="304"/>
  <c r="O11" i="279"/>
  <c r="O12" i="304" s="1"/>
  <c r="M9" i="304"/>
  <c r="M14" i="279"/>
  <c r="K13" i="12" s="1"/>
  <c r="O5" i="279"/>
  <c r="U11" i="304"/>
  <c r="W9" i="279"/>
  <c r="W11" i="304" s="1"/>
  <c r="O17" i="304"/>
  <c r="N29" i="97"/>
  <c r="W10" i="279"/>
  <c r="W14" i="304" s="1"/>
  <c r="U14" i="304"/>
  <c r="U7" i="304"/>
  <c r="U8" i="304" s="1"/>
  <c r="W6" i="279"/>
  <c r="W7" i="304" s="1"/>
  <c r="W8" i="304" s="1"/>
  <c r="M15" i="279"/>
  <c r="T9" i="304"/>
  <c r="U5" i="279"/>
  <c r="T14" i="279"/>
  <c r="R13" i="12" s="1"/>
  <c r="J29" i="97"/>
  <c r="J18" i="12"/>
  <c r="N17" i="12"/>
  <c r="N18" i="12" s="1"/>
  <c r="P18" i="304"/>
  <c r="N11" i="97"/>
  <c r="T129" i="308" l="1"/>
  <c r="K12" i="97"/>
  <c r="K18" i="97"/>
  <c r="M130" i="308"/>
  <c r="T131" i="308" s="1"/>
  <c r="R9" i="12"/>
  <c r="M128" i="275"/>
  <c r="R11" i="12"/>
  <c r="U16" i="277"/>
  <c r="M16" i="277"/>
  <c r="R15" i="97"/>
  <c r="R7" i="12"/>
  <c r="M78" i="272"/>
  <c r="V18" i="306"/>
  <c r="T19" i="97"/>
  <c r="U96" i="300"/>
  <c r="V116" i="275"/>
  <c r="U116" i="309"/>
  <c r="E8" i="160"/>
  <c r="W75" i="300"/>
  <c r="W41" i="309"/>
  <c r="V106" i="299"/>
  <c r="V109" i="308"/>
  <c r="T13" i="304"/>
  <c r="M13" i="304"/>
  <c r="U118" i="299"/>
  <c r="U108" i="308"/>
  <c r="V108" i="274"/>
  <c r="V59" i="272"/>
  <c r="V62" i="298" s="1"/>
  <c r="U62" i="298"/>
  <c r="O56" i="299"/>
  <c r="O42" i="308"/>
  <c r="O91" i="300"/>
  <c r="O90" i="309"/>
  <c r="U120" i="300"/>
  <c r="W12" i="275"/>
  <c r="U12" i="309"/>
  <c r="U30" i="298"/>
  <c r="V53" i="272"/>
  <c r="V30" i="298" s="1"/>
  <c r="O128" i="299"/>
  <c r="O99" i="308"/>
  <c r="O118" i="300"/>
  <c r="O39" i="309"/>
  <c r="O46" i="299"/>
  <c r="O79" i="308"/>
  <c r="U20" i="300"/>
  <c r="W76" i="275"/>
  <c r="U76" i="309"/>
  <c r="O61" i="309"/>
  <c r="O36" i="300"/>
  <c r="V114" i="299"/>
  <c r="V57" i="308"/>
  <c r="M39" i="298"/>
  <c r="V63" i="299"/>
  <c r="V18" i="308"/>
  <c r="O47" i="309"/>
  <c r="O78" i="300"/>
  <c r="O14" i="299"/>
  <c r="O10" i="308"/>
  <c r="W21" i="276"/>
  <c r="W21" i="301" s="1"/>
  <c r="U21" i="301"/>
  <c r="U65" i="309"/>
  <c r="W65" i="275"/>
  <c r="U48" i="300"/>
  <c r="O113" i="300"/>
  <c r="O15" i="309"/>
  <c r="U42" i="298"/>
  <c r="V8" i="272"/>
  <c r="V42" i="298" s="1"/>
  <c r="U11" i="298"/>
  <c r="V20" i="272"/>
  <c r="V11" i="298" s="1"/>
  <c r="O15" i="277"/>
  <c r="M11" i="12" s="1"/>
  <c r="W51" i="309"/>
  <c r="W63" i="300"/>
  <c r="W64" i="300" s="1"/>
  <c r="V69" i="308"/>
  <c r="V43" i="299"/>
  <c r="U25" i="299"/>
  <c r="U25" i="308"/>
  <c r="V25" i="274"/>
  <c r="V45" i="308"/>
  <c r="V34" i="299"/>
  <c r="U43" i="298"/>
  <c r="V11" i="272"/>
  <c r="V43" i="298" s="1"/>
  <c r="T20" i="298"/>
  <c r="U36" i="272"/>
  <c r="U65" i="272"/>
  <c r="T71" i="298"/>
  <c r="T127" i="308"/>
  <c r="T98" i="299"/>
  <c r="U127" i="274"/>
  <c r="O133" i="300"/>
  <c r="O14" i="309"/>
  <c r="M77" i="298"/>
  <c r="V88" i="308"/>
  <c r="V48" i="299"/>
  <c r="U9" i="282"/>
  <c r="T13" i="306"/>
  <c r="V61" i="299"/>
  <c r="V118" i="308"/>
  <c r="V104" i="300"/>
  <c r="V98" i="309"/>
  <c r="O28" i="276"/>
  <c r="M10" i="12" s="1"/>
  <c r="AN21" i="294"/>
  <c r="T77" i="309"/>
  <c r="U77" i="275"/>
  <c r="T38" i="300"/>
  <c r="U30" i="299"/>
  <c r="AX30" i="299" s="1"/>
  <c r="U38" i="308"/>
  <c r="V38" i="274"/>
  <c r="T17" i="300"/>
  <c r="U17" i="275"/>
  <c r="T17" i="309"/>
  <c r="AN7" i="285"/>
  <c r="AN105" i="285" s="1"/>
  <c r="V7" i="285"/>
  <c r="V105" i="285" s="1"/>
  <c r="U105" i="285"/>
  <c r="O62" i="299"/>
  <c r="O17" i="308"/>
  <c r="U12" i="301"/>
  <c r="W12" i="276"/>
  <c r="W12" i="301" s="1"/>
  <c r="T12" i="298"/>
  <c r="U22" i="272"/>
  <c r="U18" i="299"/>
  <c r="U15" i="308"/>
  <c r="V15" i="274"/>
  <c r="O127" i="299"/>
  <c r="O98" i="308"/>
  <c r="U125" i="300"/>
  <c r="W37" i="275"/>
  <c r="U37" i="309"/>
  <c r="U44" i="300"/>
  <c r="W53" i="275"/>
  <c r="U53" i="309"/>
  <c r="E16" i="160"/>
  <c r="V87" i="308"/>
  <c r="V47" i="299"/>
  <c r="O93" i="309"/>
  <c r="O54" i="300"/>
  <c r="W16" i="293"/>
  <c r="T16" i="305"/>
  <c r="T17" i="305" s="1"/>
  <c r="U16" i="280"/>
  <c r="T73" i="300"/>
  <c r="T33" i="309"/>
  <c r="U33" i="275"/>
  <c r="W82" i="300"/>
  <c r="W59" i="309"/>
  <c r="M28" i="301"/>
  <c r="O23" i="300"/>
  <c r="O100" i="309"/>
  <c r="O22" i="300"/>
  <c r="O94" i="309"/>
  <c r="U7" i="298"/>
  <c r="V13" i="272"/>
  <c r="V7" i="298" s="1"/>
  <c r="V109" i="300"/>
  <c r="V111" i="300" s="1"/>
  <c r="V96" i="309"/>
  <c r="M10" i="303"/>
  <c r="W55" i="309"/>
  <c r="W46" i="300"/>
  <c r="U12" i="302"/>
  <c r="W13" i="277"/>
  <c r="W12" i="302" s="1"/>
  <c r="AN108" i="285"/>
  <c r="U121" i="285"/>
  <c r="U122" i="285" s="1"/>
  <c r="V108" i="285"/>
  <c r="V121" i="285" s="1"/>
  <c r="V122" i="285" s="1"/>
  <c r="U29" i="298"/>
  <c r="V49" i="272"/>
  <c r="V29" i="298" s="1"/>
  <c r="U9" i="301"/>
  <c r="W9" i="276"/>
  <c r="W9" i="301" s="1"/>
  <c r="U47" i="308"/>
  <c r="U36" i="299"/>
  <c r="V47" i="274"/>
  <c r="U44" i="308"/>
  <c r="U33" i="299"/>
  <c r="V44" i="274"/>
  <c r="U132" i="299"/>
  <c r="U133" i="299" s="1"/>
  <c r="U101" i="308"/>
  <c r="E19" i="99"/>
  <c r="W101" i="274"/>
  <c r="W19" i="300"/>
  <c r="W44" i="309"/>
  <c r="W18" i="276"/>
  <c r="W18" i="301" s="1"/>
  <c r="U18" i="301"/>
  <c r="U72" i="300"/>
  <c r="U32" i="309"/>
  <c r="W32" i="275"/>
  <c r="V96" i="308"/>
  <c r="V85" i="299"/>
  <c r="V86" i="308"/>
  <c r="V81" i="299"/>
  <c r="V52" i="299"/>
  <c r="V116" i="308"/>
  <c r="O116" i="300"/>
  <c r="O119" i="300" s="1"/>
  <c r="O8" i="309"/>
  <c r="O31" i="299"/>
  <c r="O39" i="308"/>
  <c r="W95" i="300"/>
  <c r="W114" i="309"/>
  <c r="U64" i="308"/>
  <c r="U101" i="299"/>
  <c r="V64" i="274"/>
  <c r="O13" i="300"/>
  <c r="W127" i="300"/>
  <c r="W49" i="309"/>
  <c r="O17" i="305"/>
  <c r="O70" i="299"/>
  <c r="O49" i="308"/>
  <c r="W55" i="299"/>
  <c r="W64" i="299" s="1"/>
  <c r="W28" i="308"/>
  <c r="W112" i="274"/>
  <c r="W130" i="274" s="1"/>
  <c r="U121" i="300"/>
  <c r="W20" i="275"/>
  <c r="U20" i="309"/>
  <c r="U110" i="299"/>
  <c r="U35" i="308"/>
  <c r="V35" i="274"/>
  <c r="U6" i="298"/>
  <c r="V10" i="272"/>
  <c r="V6" i="298" s="1"/>
  <c r="E8" i="163"/>
  <c r="U46" i="298"/>
  <c r="V16" i="272"/>
  <c r="V46" i="298" s="1"/>
  <c r="W22" i="275"/>
  <c r="U34" i="300"/>
  <c r="U22" i="309"/>
  <c r="U5" i="303"/>
  <c r="U10" i="278"/>
  <c r="V5" i="278"/>
  <c r="U31" i="300"/>
  <c r="W11" i="275"/>
  <c r="U11" i="309"/>
  <c r="U16" i="299"/>
  <c r="U12" i="308"/>
  <c r="V12" i="274"/>
  <c r="O32" i="300"/>
  <c r="O18" i="309"/>
  <c r="O86" i="299"/>
  <c r="O97" i="308"/>
  <c r="U32" i="272"/>
  <c r="T16" i="298"/>
  <c r="O69" i="299"/>
  <c r="O40" i="308"/>
  <c r="O34" i="300"/>
  <c r="O22" i="309"/>
  <c r="V37" i="272"/>
  <c r="V53" i="298" s="1"/>
  <c r="U53" i="298"/>
  <c r="T15" i="295"/>
  <c r="M16" i="295" s="1"/>
  <c r="U6" i="295"/>
  <c r="W24" i="309"/>
  <c r="W69" i="300"/>
  <c r="V93" i="299"/>
  <c r="V120" i="308"/>
  <c r="V40" i="299"/>
  <c r="V66" i="308"/>
  <c r="O67" i="299"/>
  <c r="O68" i="299" s="1"/>
  <c r="O7" i="308"/>
  <c r="O125" i="299"/>
  <c r="O52" i="308"/>
  <c r="U51" i="298"/>
  <c r="V30" i="272"/>
  <c r="V51" i="298" s="1"/>
  <c r="U7" i="305"/>
  <c r="V7" i="280"/>
  <c r="V7" i="305" s="1"/>
  <c r="W30" i="275"/>
  <c r="U71" i="300"/>
  <c r="U30" i="309"/>
  <c r="V113" i="299"/>
  <c r="V56" i="308"/>
  <c r="T43" i="309"/>
  <c r="T76" i="300"/>
  <c r="U43" i="275"/>
  <c r="T53" i="300"/>
  <c r="T91" i="309"/>
  <c r="U91" i="275"/>
  <c r="V115" i="299"/>
  <c r="V81" i="308"/>
  <c r="AA65" i="300"/>
  <c r="AA67" i="300" s="1"/>
  <c r="AA6" i="309"/>
  <c r="AA127" i="309" s="1"/>
  <c r="AA127" i="275"/>
  <c r="N6" i="44"/>
  <c r="W7" i="306"/>
  <c r="T54" i="309"/>
  <c r="T45" i="300"/>
  <c r="U54" i="275"/>
  <c r="O116" i="309"/>
  <c r="O96" i="300"/>
  <c r="O15" i="299"/>
  <c r="O11" i="308"/>
  <c r="O120" i="300"/>
  <c r="O12" i="309"/>
  <c r="T22" i="300"/>
  <c r="T94" i="309"/>
  <c r="U94" i="275"/>
  <c r="E11" i="160"/>
  <c r="W9" i="275"/>
  <c r="U9" i="309"/>
  <c r="U29" i="300"/>
  <c r="U55" i="298"/>
  <c r="V44" i="272"/>
  <c r="V55" i="298" s="1"/>
  <c r="T81" i="300"/>
  <c r="U57" i="275"/>
  <c r="T57" i="309"/>
  <c r="W52" i="300"/>
  <c r="W83" i="309"/>
  <c r="V12" i="299"/>
  <c r="V6" i="308"/>
  <c r="U75" i="308"/>
  <c r="U74" i="299"/>
  <c r="V75" i="274"/>
  <c r="O31" i="300"/>
  <c r="O11" i="309"/>
  <c r="U6" i="302"/>
  <c r="W11" i="277"/>
  <c r="W6" i="302" s="1"/>
  <c r="O16" i="299"/>
  <c r="O12" i="308"/>
  <c r="U35" i="299"/>
  <c r="U46" i="308"/>
  <c r="V46" i="274"/>
  <c r="O58" i="299"/>
  <c r="O78" i="308"/>
  <c r="T5" i="299"/>
  <c r="T10" i="299" s="1"/>
  <c r="T8" i="308"/>
  <c r="U8" i="274"/>
  <c r="O139" i="300"/>
  <c r="O140" i="300" s="1"/>
  <c r="O95" i="309"/>
  <c r="U14" i="277"/>
  <c r="T13" i="302"/>
  <c r="T14" i="302" s="1"/>
  <c r="T17" i="302" s="1"/>
  <c r="V106" i="300"/>
  <c r="V119" i="309"/>
  <c r="W15" i="302"/>
  <c r="W16" i="302" s="1"/>
  <c r="V82" i="299"/>
  <c r="V92" i="308"/>
  <c r="W87" i="300"/>
  <c r="W85" i="309"/>
  <c r="V100" i="308"/>
  <c r="V87" i="299"/>
  <c r="O45" i="300"/>
  <c r="O54" i="309"/>
  <c r="U7" i="303"/>
  <c r="V7" i="278"/>
  <c r="V7" i="303" s="1"/>
  <c r="U59" i="298"/>
  <c r="V52" i="272"/>
  <c r="V59" i="298" s="1"/>
  <c r="O127" i="308"/>
  <c r="O98" i="299"/>
  <c r="O33" i="300"/>
  <c r="O19" i="309"/>
  <c r="U8" i="303"/>
  <c r="V8" i="278"/>
  <c r="V8" i="303" s="1"/>
  <c r="V103" i="299"/>
  <c r="V32" i="308"/>
  <c r="W26" i="300"/>
  <c r="W29" i="309"/>
  <c r="O38" i="300"/>
  <c r="O77" i="309"/>
  <c r="AN84" i="284"/>
  <c r="AK7" i="296" s="1"/>
  <c r="AK19" i="296" s="1"/>
  <c r="U19" i="299"/>
  <c r="U19" i="308"/>
  <c r="V19" i="274"/>
  <c r="V21" i="299"/>
  <c r="V21" i="308"/>
  <c r="U82" i="309"/>
  <c r="U86" i="300"/>
  <c r="W82" i="275"/>
  <c r="M99" i="300"/>
  <c r="O17" i="300"/>
  <c r="O17" i="309"/>
  <c r="U15" i="298"/>
  <c r="V28" i="272"/>
  <c r="V15" i="298" s="1"/>
  <c r="M62" i="300"/>
  <c r="K9" i="97" s="1"/>
  <c r="U51" i="300"/>
  <c r="W70" i="275"/>
  <c r="U70" i="309"/>
  <c r="T122" i="285"/>
  <c r="M123" i="285" s="1"/>
  <c r="R13" i="97"/>
  <c r="U127" i="299"/>
  <c r="U98" i="308"/>
  <c r="V98" i="274"/>
  <c r="U103" i="300"/>
  <c r="U108" i="300" s="1"/>
  <c r="U52" i="309"/>
  <c r="W52" i="275"/>
  <c r="U30" i="300"/>
  <c r="W10" i="275"/>
  <c r="U10" i="309"/>
  <c r="U20" i="301"/>
  <c r="W20" i="276"/>
  <c r="W20" i="301" s="1"/>
  <c r="U44" i="298"/>
  <c r="V12" i="272"/>
  <c r="V44" i="298" s="1"/>
  <c r="W35" i="309"/>
  <c r="W74" i="300"/>
  <c r="V85" i="308"/>
  <c r="V80" i="299"/>
  <c r="M10" i="299"/>
  <c r="U24" i="299"/>
  <c r="AX24" i="299" s="1"/>
  <c r="U24" i="308"/>
  <c r="V24" i="274"/>
  <c r="W63" i="309"/>
  <c r="W5" i="300"/>
  <c r="W6" i="300" s="1"/>
  <c r="U6" i="97" s="1"/>
  <c r="U14" i="300"/>
  <c r="W7" i="275"/>
  <c r="U7" i="309"/>
  <c r="U22" i="301"/>
  <c r="W22" i="276"/>
  <c r="W22" i="301" s="1"/>
  <c r="O14" i="306"/>
  <c r="W124" i="300"/>
  <c r="W34" i="309"/>
  <c r="O19" i="306"/>
  <c r="V89" i="308"/>
  <c r="V49" i="299"/>
  <c r="O114" i="300"/>
  <c r="O42" i="309"/>
  <c r="O29" i="300"/>
  <c r="O9" i="309"/>
  <c r="V9" i="299"/>
  <c r="V84" i="308"/>
  <c r="W35" i="300"/>
  <c r="W45" i="309"/>
  <c r="W37" i="300"/>
  <c r="W73" i="309"/>
  <c r="U105" i="299"/>
  <c r="U62" i="308"/>
  <c r="V62" i="274"/>
  <c r="W56" i="300"/>
  <c r="W108" i="309"/>
  <c r="U102" i="299"/>
  <c r="U31" i="308"/>
  <c r="E12" i="99"/>
  <c r="V31" i="274"/>
  <c r="U10" i="306"/>
  <c r="U11" i="306" s="1"/>
  <c r="W13" i="282"/>
  <c r="W10" i="306" s="1"/>
  <c r="U17" i="299"/>
  <c r="U14" i="308"/>
  <c r="V14" i="274"/>
  <c r="T119" i="299"/>
  <c r="U137" i="300"/>
  <c r="U84" i="309"/>
  <c r="W84" i="275"/>
  <c r="O10" i="309"/>
  <c r="O30" i="300"/>
  <c r="O17" i="280"/>
  <c r="M14" i="12" s="1"/>
  <c r="O25" i="299"/>
  <c r="O25" i="308"/>
  <c r="W56" i="309"/>
  <c r="W47" i="300"/>
  <c r="V97" i="299"/>
  <c r="V125" i="308"/>
  <c r="U13" i="301"/>
  <c r="W13" i="276"/>
  <c r="W13" i="301" s="1"/>
  <c r="U59" i="308"/>
  <c r="U39" i="299"/>
  <c r="V59" i="274"/>
  <c r="U69" i="299"/>
  <c r="U40" i="308"/>
  <c r="V40" i="274"/>
  <c r="E11" i="99"/>
  <c r="U34" i="298"/>
  <c r="V63" i="272"/>
  <c r="V34" i="298" s="1"/>
  <c r="U42" i="308"/>
  <c r="U56" i="299"/>
  <c r="V42" i="274"/>
  <c r="U91" i="300"/>
  <c r="U90" i="309"/>
  <c r="V90" i="275"/>
  <c r="U27" i="300"/>
  <c r="U36" i="309"/>
  <c r="W36" i="275"/>
  <c r="U36" i="300"/>
  <c r="W61" i="275"/>
  <c r="U61" i="309"/>
  <c r="T39" i="298"/>
  <c r="U128" i="300"/>
  <c r="W66" i="275"/>
  <c r="U66" i="309"/>
  <c r="U50" i="300"/>
  <c r="W69" i="275"/>
  <c r="U69" i="309"/>
  <c r="U6" i="303"/>
  <c r="V6" i="278"/>
  <c r="V6" i="303" s="1"/>
  <c r="U118" i="300"/>
  <c r="U39" i="309"/>
  <c r="W39" i="275"/>
  <c r="U49" i="298"/>
  <c r="V23" i="272"/>
  <c r="V49" i="298" s="1"/>
  <c r="U125" i="299"/>
  <c r="U52" i="308"/>
  <c r="V52" i="274"/>
  <c r="U113" i="300"/>
  <c r="U115" i="300" s="1"/>
  <c r="S16" i="97" s="1"/>
  <c r="E18" i="61" s="1"/>
  <c r="W15" i="275"/>
  <c r="U15" i="309"/>
  <c r="E13" i="160"/>
  <c r="U46" i="299"/>
  <c r="U79" i="308"/>
  <c r="V79" i="274"/>
  <c r="T112" i="274"/>
  <c r="M113" i="274" s="1"/>
  <c r="U39" i="300"/>
  <c r="U78" i="309"/>
  <c r="W78" i="275"/>
  <c r="T17" i="280"/>
  <c r="U24" i="300"/>
  <c r="V102" i="275"/>
  <c r="U102" i="309"/>
  <c r="U116" i="299"/>
  <c r="U94" i="308"/>
  <c r="V94" i="274"/>
  <c r="W14" i="276"/>
  <c r="W14" i="301" s="1"/>
  <c r="U14" i="301"/>
  <c r="V90" i="299"/>
  <c r="V105" i="308"/>
  <c r="V80" i="308"/>
  <c r="V77" i="299"/>
  <c r="V37" i="299"/>
  <c r="V48" i="308"/>
  <c r="W87" i="309"/>
  <c r="W89" i="300"/>
  <c r="U18" i="306"/>
  <c r="S19" i="97"/>
  <c r="U78" i="298"/>
  <c r="U79" i="298" s="1"/>
  <c r="V25" i="272"/>
  <c r="V78" i="298" s="1"/>
  <c r="V79" i="298" s="1"/>
  <c r="V33" i="272"/>
  <c r="V17" i="298" s="1"/>
  <c r="U17" i="298"/>
  <c r="U94" i="299"/>
  <c r="U121" i="308"/>
  <c r="V121" i="274"/>
  <c r="U40" i="298"/>
  <c r="V6" i="272"/>
  <c r="V40" i="298" s="1"/>
  <c r="O73" i="299"/>
  <c r="O61" i="308"/>
  <c r="O75" i="309"/>
  <c r="O84" i="300"/>
  <c r="U29" i="299"/>
  <c r="U36" i="308"/>
  <c r="V36" i="274"/>
  <c r="V5" i="309"/>
  <c r="V28" i="300"/>
  <c r="T85" i="300"/>
  <c r="T81" i="309"/>
  <c r="U81" i="275"/>
  <c r="U45" i="298"/>
  <c r="V14" i="272"/>
  <c r="V45" i="298" s="1"/>
  <c r="U39" i="308"/>
  <c r="U31" i="299"/>
  <c r="AX31" i="299" s="1"/>
  <c r="V39" i="274"/>
  <c r="O90" i="300"/>
  <c r="O89" i="309"/>
  <c r="U74" i="308"/>
  <c r="U65" i="299"/>
  <c r="U66" i="299" s="1"/>
  <c r="V74" i="274"/>
  <c r="U15" i="306"/>
  <c r="U16" i="306" s="1"/>
  <c r="V5" i="282"/>
  <c r="T62" i="299"/>
  <c r="U17" i="274"/>
  <c r="T17" i="308"/>
  <c r="O32" i="299"/>
  <c r="O41" i="308"/>
  <c r="O61" i="300"/>
  <c r="O113" i="309"/>
  <c r="W6" i="276"/>
  <c r="U6" i="301"/>
  <c r="O46" i="309"/>
  <c r="O77" i="300"/>
  <c r="P141" i="300"/>
  <c r="O14" i="300"/>
  <c r="O7" i="309"/>
  <c r="T139" i="300"/>
  <c r="T140" i="300" s="1"/>
  <c r="T95" i="309"/>
  <c r="U95" i="275"/>
  <c r="U36" i="298"/>
  <c r="V67" i="272"/>
  <c r="V36" i="298" s="1"/>
  <c r="W86" i="309"/>
  <c r="W88" i="300"/>
  <c r="V72" i="308"/>
  <c r="V44" i="299"/>
  <c r="V104" i="299"/>
  <c r="V50" i="308"/>
  <c r="O127" i="275"/>
  <c r="M9" i="12" s="1"/>
  <c r="U8" i="276"/>
  <c r="U28" i="276" s="1"/>
  <c r="T8" i="301"/>
  <c r="T56" i="298"/>
  <c r="U45" i="272"/>
  <c r="V131" i="299"/>
  <c r="V133" i="299" s="1"/>
  <c r="T15" i="97" s="1"/>
  <c r="V43" i="308"/>
  <c r="T68" i="300"/>
  <c r="T99" i="300" s="1"/>
  <c r="U16" i="275"/>
  <c r="T16" i="309"/>
  <c r="T127" i="309" s="1"/>
  <c r="M128" i="309" s="1"/>
  <c r="T71" i="308"/>
  <c r="T57" i="299"/>
  <c r="T64" i="299" s="1"/>
  <c r="U71" i="274"/>
  <c r="T26" i="301"/>
  <c r="U26" i="276"/>
  <c r="O120" i="299"/>
  <c r="O122" i="299" s="1"/>
  <c r="M13" i="97" s="1"/>
  <c r="O60" i="308"/>
  <c r="T107" i="299"/>
  <c r="T111" i="308"/>
  <c r="U111" i="274"/>
  <c r="U21" i="300"/>
  <c r="U79" i="309"/>
  <c r="W79" i="275"/>
  <c r="U10" i="302"/>
  <c r="W10" i="277"/>
  <c r="W10" i="302" s="1"/>
  <c r="U12" i="279"/>
  <c r="T15" i="304"/>
  <c r="T17" i="304" s="1"/>
  <c r="T18" i="304" s="1"/>
  <c r="M19" i="304" s="1"/>
  <c r="V102" i="308"/>
  <c r="V59" i="299"/>
  <c r="O24" i="299"/>
  <c r="O24" i="308"/>
  <c r="O76" i="300"/>
  <c r="O43" i="309"/>
  <c r="T47" i="298"/>
  <c r="U17" i="272"/>
  <c r="O102" i="309"/>
  <c r="O24" i="300"/>
  <c r="T12" i="306"/>
  <c r="T14" i="306" s="1"/>
  <c r="U8" i="282"/>
  <c r="U14" i="282" s="1"/>
  <c r="U15" i="277"/>
  <c r="V75" i="299"/>
  <c r="V76" i="308"/>
  <c r="U24" i="301"/>
  <c r="W24" i="276"/>
  <c r="W24" i="301" s="1"/>
  <c r="U82" i="308"/>
  <c r="U78" i="299"/>
  <c r="V82" i="274"/>
  <c r="O57" i="309"/>
  <c r="O81" i="300"/>
  <c r="V33" i="308"/>
  <c r="V27" i="299"/>
  <c r="W83" i="300"/>
  <c r="W71" i="309"/>
  <c r="O5" i="303"/>
  <c r="O10" i="303" s="1"/>
  <c r="O10" i="278"/>
  <c r="M12" i="12" s="1"/>
  <c r="V84" i="284"/>
  <c r="O28" i="309"/>
  <c r="O18" i="300"/>
  <c r="U126" i="300"/>
  <c r="U40" i="309"/>
  <c r="W40" i="275"/>
  <c r="V73" i="308"/>
  <c r="V45" i="299"/>
  <c r="W58" i="275"/>
  <c r="U15" i="300"/>
  <c r="U58" i="309"/>
  <c r="W6" i="291"/>
  <c r="W20" i="291" s="1"/>
  <c r="U20" i="291"/>
  <c r="AN6" i="291"/>
  <c r="AN20" i="291" s="1"/>
  <c r="U58" i="299"/>
  <c r="U78" i="308"/>
  <c r="V78" i="274"/>
  <c r="E16" i="99"/>
  <c r="U92" i="300"/>
  <c r="U92" i="309"/>
  <c r="V92" i="275"/>
  <c r="U104" i="308"/>
  <c r="U89" i="299"/>
  <c r="AX89" i="299" s="1"/>
  <c r="V104" i="274"/>
  <c r="V20" i="299"/>
  <c r="V20" i="308"/>
  <c r="T16" i="300"/>
  <c r="O33" i="309"/>
  <c r="O73" i="300"/>
  <c r="M14" i="306"/>
  <c r="M19" i="306" s="1"/>
  <c r="V134" i="299"/>
  <c r="V135" i="299" s="1"/>
  <c r="V13" i="308"/>
  <c r="W79" i="300"/>
  <c r="W48" i="309"/>
  <c r="V96" i="299"/>
  <c r="V123" i="308"/>
  <c r="T19" i="306"/>
  <c r="M20" i="306" s="1"/>
  <c r="V5" i="305"/>
  <c r="O118" i="299"/>
  <c r="O108" i="308"/>
  <c r="V25" i="300"/>
  <c r="V107" i="309"/>
  <c r="O53" i="299"/>
  <c r="O124" i="308"/>
  <c r="M119" i="300"/>
  <c r="U109" i="299"/>
  <c r="U30" i="308"/>
  <c r="V30" i="274"/>
  <c r="O70" i="309"/>
  <c r="O51" i="300"/>
  <c r="O13" i="299"/>
  <c r="O64" i="299" s="1"/>
  <c r="O9" i="308"/>
  <c r="O53" i="309"/>
  <c r="O44" i="300"/>
  <c r="V106" i="308"/>
  <c r="V91" i="299"/>
  <c r="O129" i="274"/>
  <c r="O130" i="274" s="1"/>
  <c r="M8" i="12" s="1"/>
  <c r="U8" i="300"/>
  <c r="U13" i="300" s="1"/>
  <c r="U74" i="309"/>
  <c r="W74" i="275"/>
  <c r="U77" i="300"/>
  <c r="U46" i="309"/>
  <c r="V46" i="275"/>
  <c r="U32" i="300"/>
  <c r="U18" i="309"/>
  <c r="W18" i="275"/>
  <c r="W8" i="277"/>
  <c r="W9" i="302" s="1"/>
  <c r="U9" i="302"/>
  <c r="U84" i="300"/>
  <c r="U75" i="309"/>
  <c r="W75" i="275"/>
  <c r="U6" i="299"/>
  <c r="U26" i="308"/>
  <c r="V26" i="274"/>
  <c r="U86" i="299"/>
  <c r="U97" i="308"/>
  <c r="V97" i="274"/>
  <c r="U14" i="299"/>
  <c r="U10" i="308"/>
  <c r="V10" i="274"/>
  <c r="U61" i="308"/>
  <c r="U73" i="299"/>
  <c r="V61" i="274"/>
  <c r="T10" i="303"/>
  <c r="M11" i="303" s="1"/>
  <c r="U67" i="299"/>
  <c r="U68" i="299" s="1"/>
  <c r="U7" i="308"/>
  <c r="V7" i="274"/>
  <c r="U32" i="299"/>
  <c r="U41" i="308"/>
  <c r="V41" i="274"/>
  <c r="V74" i="272"/>
  <c r="V76" i="298" s="1"/>
  <c r="U76" i="298"/>
  <c r="O126" i="308"/>
  <c r="O54" i="299"/>
  <c r="V50" i="299"/>
  <c r="V90" i="308"/>
  <c r="O39" i="299"/>
  <c r="O59" i="308"/>
  <c r="U133" i="300"/>
  <c r="W14" i="275"/>
  <c r="U14" i="309"/>
  <c r="K11" i="12"/>
  <c r="K16" i="12" s="1"/>
  <c r="T16" i="277"/>
  <c r="T77" i="298"/>
  <c r="T33" i="300"/>
  <c r="T19" i="309"/>
  <c r="U19" i="275"/>
  <c r="V91" i="308"/>
  <c r="V51" i="299"/>
  <c r="M100" i="299"/>
  <c r="K11" i="97" s="1"/>
  <c r="V77" i="308"/>
  <c r="V76" i="299"/>
  <c r="O36" i="309"/>
  <c r="O27" i="300"/>
  <c r="W138" i="300"/>
  <c r="W88" i="309"/>
  <c r="W80" i="309"/>
  <c r="W40" i="300"/>
  <c r="U10" i="305"/>
  <c r="V10" i="280"/>
  <c r="V10" i="305" s="1"/>
  <c r="O5" i="298"/>
  <c r="O39" i="298" s="1"/>
  <c r="O77" i="272"/>
  <c r="M7" i="12" s="1"/>
  <c r="O6" i="299"/>
  <c r="O26" i="308"/>
  <c r="W117" i="300"/>
  <c r="W25" i="309"/>
  <c r="O128" i="300"/>
  <c r="O66" i="309"/>
  <c r="U33" i="298"/>
  <c r="V57" i="272"/>
  <c r="V33" i="298" s="1"/>
  <c r="O78" i="309"/>
  <c r="O39" i="300"/>
  <c r="U11" i="302"/>
  <c r="W12" i="277"/>
  <c r="W11" i="302" s="1"/>
  <c r="W14" i="302" s="1"/>
  <c r="R15" i="12"/>
  <c r="M15" i="282"/>
  <c r="V117" i="299"/>
  <c r="V107" i="308"/>
  <c r="V61" i="272"/>
  <c r="V64" i="298" s="1"/>
  <c r="U64" i="298"/>
  <c r="O110" i="299"/>
  <c r="O35" i="308"/>
  <c r="M130" i="299"/>
  <c r="K14" i="97" s="1"/>
  <c r="U67" i="308"/>
  <c r="U41" i="299"/>
  <c r="V67" i="274"/>
  <c r="O69" i="309"/>
  <c r="O50" i="300"/>
  <c r="T28" i="301"/>
  <c r="O133" i="299"/>
  <c r="W129" i="300"/>
  <c r="W72" i="309"/>
  <c r="U27" i="301"/>
  <c r="W27" i="276"/>
  <c r="W27" i="301" s="1"/>
  <c r="U54" i="300"/>
  <c r="U93" i="309"/>
  <c r="W93" i="275"/>
  <c r="T43" i="300"/>
  <c r="T38" i="309"/>
  <c r="U38" i="275"/>
  <c r="W12" i="300"/>
  <c r="W21" i="309"/>
  <c r="W106" i="309"/>
  <c r="W10" i="300"/>
  <c r="U49" i="308"/>
  <c r="U70" i="299"/>
  <c r="V49" i="274"/>
  <c r="E13" i="99"/>
  <c r="W122" i="300"/>
  <c r="W27" i="309"/>
  <c r="V60" i="299"/>
  <c r="V117" i="308"/>
  <c r="W49" i="300"/>
  <c r="W68" i="309"/>
  <c r="V121" i="299"/>
  <c r="V63" i="308"/>
  <c r="M80" i="298"/>
  <c r="M131" i="300"/>
  <c r="M141" i="300" s="1"/>
  <c r="O121" i="300"/>
  <c r="O20" i="309"/>
  <c r="O77" i="298"/>
  <c r="O29" i="299"/>
  <c r="O36" i="308"/>
  <c r="O78" i="299"/>
  <c r="O82" i="308"/>
  <c r="W80" i="300"/>
  <c r="W50" i="309"/>
  <c r="V21" i="294"/>
  <c r="N7" i="97"/>
  <c r="N20" i="97" s="1"/>
  <c r="T18" i="300"/>
  <c r="T28" i="309"/>
  <c r="U28" i="275"/>
  <c r="U34" i="308"/>
  <c r="U28" i="299"/>
  <c r="V34" i="274"/>
  <c r="V39" i="272"/>
  <c r="V21" i="298" s="1"/>
  <c r="U21" i="298"/>
  <c r="U134" i="300"/>
  <c r="U60" i="309"/>
  <c r="W60" i="275"/>
  <c r="T23" i="309"/>
  <c r="T42" i="300"/>
  <c r="U23" i="275"/>
  <c r="U79" i="299"/>
  <c r="AX79" i="299" s="1"/>
  <c r="U83" i="308"/>
  <c r="E23" i="99"/>
  <c r="V83" i="274"/>
  <c r="U13" i="299"/>
  <c r="U9" i="308"/>
  <c r="V9" i="274"/>
  <c r="O132" i="299"/>
  <c r="O101" i="308"/>
  <c r="U8" i="298"/>
  <c r="V15" i="272"/>
  <c r="V8" i="298" s="1"/>
  <c r="O89" i="299"/>
  <c r="O104" i="308"/>
  <c r="O38" i="309"/>
  <c r="O127" i="309" s="1"/>
  <c r="O43" i="300"/>
  <c r="AN16" i="293"/>
  <c r="W135" i="300"/>
  <c r="W64" i="309"/>
  <c r="O53" i="300"/>
  <c r="O91" i="309"/>
  <c r="U27" i="288"/>
  <c r="AN6" i="288"/>
  <c r="AN27" i="288" s="1"/>
  <c r="W6" i="288"/>
  <c r="W27" i="288" s="1"/>
  <c r="V11" i="299"/>
  <c r="V5" i="308"/>
  <c r="U108" i="299"/>
  <c r="U16" i="308"/>
  <c r="V16" i="274"/>
  <c r="U114" i="300"/>
  <c r="W42" i="275"/>
  <c r="U42" i="309"/>
  <c r="W10" i="276"/>
  <c r="W10" i="301" s="1"/>
  <c r="U10" i="301"/>
  <c r="U99" i="299"/>
  <c r="U128" i="308"/>
  <c r="V128" i="274"/>
  <c r="V27" i="272"/>
  <c r="V73" i="298" s="1"/>
  <c r="U73" i="298"/>
  <c r="O81" i="309"/>
  <c r="O85" i="300"/>
  <c r="J20" i="97"/>
  <c r="U53" i="299"/>
  <c r="U124" i="308"/>
  <c r="V124" i="274"/>
  <c r="U116" i="300"/>
  <c r="U119" i="300" s="1"/>
  <c r="U8" i="309"/>
  <c r="W8" i="275"/>
  <c r="V22" i="299"/>
  <c r="V22" i="308"/>
  <c r="U35" i="298"/>
  <c r="V64" i="272"/>
  <c r="V35" i="298" s="1"/>
  <c r="W57" i="300"/>
  <c r="W109" i="309"/>
  <c r="O68" i="300"/>
  <c r="O16" i="309"/>
  <c r="U132" i="300"/>
  <c r="W13" i="275"/>
  <c r="U13" i="309"/>
  <c r="M41" i="300"/>
  <c r="W112" i="300"/>
  <c r="W115" i="309"/>
  <c r="O42" i="300"/>
  <c r="O62" i="300" s="1"/>
  <c r="M9" i="97" s="1"/>
  <c r="O23" i="309"/>
  <c r="O57" i="299"/>
  <c r="O71" i="308"/>
  <c r="U120" i="299"/>
  <c r="U122" i="299" s="1"/>
  <c r="S13" i="97" s="1"/>
  <c r="E19" i="61" s="1"/>
  <c r="U60" i="308"/>
  <c r="V60" i="274"/>
  <c r="O107" i="299"/>
  <c r="O119" i="299" s="1"/>
  <c r="M12" i="97" s="1"/>
  <c r="O111" i="308"/>
  <c r="W17" i="276"/>
  <c r="W17" i="301" s="1"/>
  <c r="U17" i="301"/>
  <c r="W6" i="286"/>
  <c r="W66" i="286" s="1"/>
  <c r="AN6" i="286"/>
  <c r="AN66" i="286" s="1"/>
  <c r="U66" i="286"/>
  <c r="O5" i="299"/>
  <c r="O10" i="299" s="1"/>
  <c r="O8" i="308"/>
  <c r="O112" i="308" s="1"/>
  <c r="O130" i="308" s="1"/>
  <c r="U9" i="303"/>
  <c r="V9" i="278"/>
  <c r="V9" i="303" s="1"/>
  <c r="U26" i="298"/>
  <c r="V46" i="272"/>
  <c r="V26" i="298" s="1"/>
  <c r="W136" i="300"/>
  <c r="W67" i="309"/>
  <c r="V123" i="299"/>
  <c r="V124" i="299" s="1"/>
  <c r="T16" i="97" s="1"/>
  <c r="V65" i="308"/>
  <c r="U17" i="280"/>
  <c r="P80" i="298"/>
  <c r="V92" i="299"/>
  <c r="V119" i="308"/>
  <c r="U123" i="300"/>
  <c r="U31" i="309"/>
  <c r="W31" i="275"/>
  <c r="U70" i="300"/>
  <c r="W26" i="275"/>
  <c r="U26" i="309"/>
  <c r="O15" i="300"/>
  <c r="O58" i="309"/>
  <c r="U41" i="298"/>
  <c r="V7" i="272"/>
  <c r="V41" i="298" s="1"/>
  <c r="U54" i="308"/>
  <c r="U71" i="299"/>
  <c r="AX71" i="299" s="1"/>
  <c r="V54" i="274"/>
  <c r="O129" i="308"/>
  <c r="V95" i="299"/>
  <c r="V122" i="308"/>
  <c r="W7" i="300"/>
  <c r="W62" i="309"/>
  <c r="U43" i="290"/>
  <c r="AN6" i="290"/>
  <c r="AN43" i="290" s="1"/>
  <c r="V6" i="290"/>
  <c r="V43" i="290" s="1"/>
  <c r="T100" i="299"/>
  <c r="R11" i="97" s="1"/>
  <c r="U90" i="300"/>
  <c r="W89" i="275"/>
  <c r="U89" i="309"/>
  <c r="V47" i="272"/>
  <c r="V27" i="298" s="1"/>
  <c r="U27" i="298"/>
  <c r="U61" i="300"/>
  <c r="U113" i="309"/>
  <c r="W113" i="275"/>
  <c r="U128" i="299"/>
  <c r="U99" i="308"/>
  <c r="V99" i="274"/>
  <c r="U77" i="272"/>
  <c r="U5" i="298"/>
  <c r="V5" i="272"/>
  <c r="P136" i="299"/>
  <c r="U15" i="299"/>
  <c r="AX15" i="299" s="1"/>
  <c r="U11" i="308"/>
  <c r="V11" i="274"/>
  <c r="U78" i="300"/>
  <c r="U47" i="309"/>
  <c r="W47" i="275"/>
  <c r="T130" i="299"/>
  <c r="R14" i="97" s="1"/>
  <c r="U54" i="299"/>
  <c r="U126" i="308"/>
  <c r="V126" i="274"/>
  <c r="U8" i="305"/>
  <c r="V8" i="280"/>
  <c r="V8" i="305" s="1"/>
  <c r="T131" i="274"/>
  <c r="U13" i="305"/>
  <c r="V13" i="280"/>
  <c r="V13" i="305" s="1"/>
  <c r="V50" i="272"/>
  <c r="V57" i="298" s="1"/>
  <c r="U57" i="298"/>
  <c r="N30" i="97"/>
  <c r="O18" i="304"/>
  <c r="W13" i="279"/>
  <c r="W16" i="304" s="1"/>
  <c r="U16" i="304"/>
  <c r="U9" i="304"/>
  <c r="U14" i="279"/>
  <c r="W5" i="279"/>
  <c r="O14" i="279"/>
  <c r="M13" i="12" s="1"/>
  <c r="O9" i="304"/>
  <c r="O13" i="304" s="1"/>
  <c r="M10" i="97" s="1"/>
  <c r="W11" i="279"/>
  <c r="W12" i="304" s="1"/>
  <c r="U12" i="304"/>
  <c r="E20" i="61"/>
  <c r="K29" i="97" l="1"/>
  <c r="R17" i="12"/>
  <c r="F5" i="81"/>
  <c r="S15" i="12"/>
  <c r="F16" i="42" s="1"/>
  <c r="F5" i="72"/>
  <c r="S10" i="12"/>
  <c r="F11" i="42" s="1"/>
  <c r="R18" i="97"/>
  <c r="U18" i="302"/>
  <c r="M18" i="302"/>
  <c r="M18" i="97"/>
  <c r="N27" i="97"/>
  <c r="N22" i="97"/>
  <c r="V128" i="299"/>
  <c r="V99" i="308"/>
  <c r="V120" i="299"/>
  <c r="V122" i="299" s="1"/>
  <c r="V60" i="308"/>
  <c r="M16" i="12"/>
  <c r="U13" i="304"/>
  <c r="V15" i="299"/>
  <c r="V11" i="308"/>
  <c r="V5" i="298"/>
  <c r="W90" i="300"/>
  <c r="W89" i="309"/>
  <c r="V54" i="308"/>
  <c r="V71" i="299"/>
  <c r="W26" i="309"/>
  <c r="W70" i="300"/>
  <c r="W116" i="300"/>
  <c r="W8" i="309"/>
  <c r="V79" i="299"/>
  <c r="V83" i="308"/>
  <c r="U42" i="300"/>
  <c r="U23" i="309"/>
  <c r="W23" i="275"/>
  <c r="V34" i="308"/>
  <c r="V28" i="299"/>
  <c r="U43" i="300"/>
  <c r="W38" i="275"/>
  <c r="U38" i="309"/>
  <c r="J30" i="97"/>
  <c r="V67" i="299"/>
  <c r="V68" i="299" s="1"/>
  <c r="V7" i="308"/>
  <c r="V61" i="308"/>
  <c r="V73" i="299"/>
  <c r="W75" i="309"/>
  <c r="W84" i="300"/>
  <c r="V77" i="300"/>
  <c r="V46" i="309"/>
  <c r="V109" i="299"/>
  <c r="V30" i="308"/>
  <c r="W126" i="300"/>
  <c r="W40" i="309"/>
  <c r="W12" i="279"/>
  <c r="W15" i="304" s="1"/>
  <c r="W17" i="304" s="1"/>
  <c r="U15" i="304"/>
  <c r="U17" i="304" s="1"/>
  <c r="U18" i="304" s="1"/>
  <c r="U139" i="300"/>
  <c r="U95" i="309"/>
  <c r="W95" i="275"/>
  <c r="O16" i="300"/>
  <c r="M7" i="97" s="1"/>
  <c r="V121" i="308"/>
  <c r="V94" i="299"/>
  <c r="V116" i="299"/>
  <c r="V94" i="308"/>
  <c r="W78" i="309"/>
  <c r="W39" i="300"/>
  <c r="V46" i="299"/>
  <c r="V79" i="308"/>
  <c r="W118" i="300"/>
  <c r="W39" i="309"/>
  <c r="V102" i="299"/>
  <c r="V31" i="308"/>
  <c r="W103" i="300"/>
  <c r="W108" i="300" s="1"/>
  <c r="U12" i="97" s="1"/>
  <c r="W52" i="309"/>
  <c r="W17" i="302"/>
  <c r="V14" i="277"/>
  <c r="U13" i="302"/>
  <c r="U14" i="302" s="1"/>
  <c r="U17" i="302" s="1"/>
  <c r="T112" i="308"/>
  <c r="M113" i="308" s="1"/>
  <c r="V35" i="299"/>
  <c r="V46" i="308"/>
  <c r="E18" i="69"/>
  <c r="Y9" i="12"/>
  <c r="U76" i="300"/>
  <c r="U43" i="309"/>
  <c r="W43" i="275"/>
  <c r="W71" i="300"/>
  <c r="W30" i="309"/>
  <c r="V6" i="295"/>
  <c r="V15" i="295" s="1"/>
  <c r="AN6" i="295"/>
  <c r="AN15" i="295" s="1"/>
  <c r="U15" i="295"/>
  <c r="O100" i="299"/>
  <c r="V110" i="299"/>
  <c r="V35" i="308"/>
  <c r="W121" i="300"/>
  <c r="W20" i="309"/>
  <c r="U73" i="300"/>
  <c r="U33" i="309"/>
  <c r="W33" i="275"/>
  <c r="M18" i="305"/>
  <c r="W53" i="309"/>
  <c r="W44" i="300"/>
  <c r="U17" i="300"/>
  <c r="W17" i="275"/>
  <c r="U17" i="309"/>
  <c r="E9" i="160"/>
  <c r="V108" i="300"/>
  <c r="U13" i="306"/>
  <c r="V9" i="282"/>
  <c r="V13" i="306" s="1"/>
  <c r="T136" i="299"/>
  <c r="M137" i="299" s="1"/>
  <c r="V54" i="299"/>
  <c r="V126" i="308"/>
  <c r="W47" i="309"/>
  <c r="W78" i="300"/>
  <c r="F6" i="158"/>
  <c r="S14" i="12"/>
  <c r="F15" i="42" s="1"/>
  <c r="O99" i="300"/>
  <c r="W114" i="300"/>
  <c r="W42" i="309"/>
  <c r="V13" i="299"/>
  <c r="V9" i="308"/>
  <c r="T62" i="300"/>
  <c r="R9" i="97" s="1"/>
  <c r="V49" i="308"/>
  <c r="V70" i="299"/>
  <c r="W133" i="300"/>
  <c r="W14" i="309"/>
  <c r="T80" i="298"/>
  <c r="M81" i="298" s="1"/>
  <c r="V41" i="308"/>
  <c r="V32" i="299"/>
  <c r="V6" i="299"/>
  <c r="V26" i="308"/>
  <c r="W32" i="300"/>
  <c r="W18" i="309"/>
  <c r="V92" i="300"/>
  <c r="V92" i="309"/>
  <c r="V58" i="299"/>
  <c r="V78" i="308"/>
  <c r="W15" i="300"/>
  <c r="W58" i="309"/>
  <c r="U71" i="308"/>
  <c r="U57" i="299"/>
  <c r="U64" i="299" s="1"/>
  <c r="V71" i="274"/>
  <c r="U68" i="300"/>
  <c r="W16" i="275"/>
  <c r="U16" i="309"/>
  <c r="U127" i="309" s="1"/>
  <c r="W8" i="276"/>
  <c r="W8" i="301" s="1"/>
  <c r="U8" i="301"/>
  <c r="U62" i="299"/>
  <c r="V17" i="274"/>
  <c r="U17" i="308"/>
  <c r="U85" i="300"/>
  <c r="U81" i="309"/>
  <c r="W81" i="275"/>
  <c r="V24" i="300"/>
  <c r="V102" i="309"/>
  <c r="W113" i="300"/>
  <c r="W115" i="300" s="1"/>
  <c r="U16" i="97" s="1"/>
  <c r="W15" i="309"/>
  <c r="U130" i="299"/>
  <c r="S14" i="97" s="1"/>
  <c r="E16" i="61" s="1"/>
  <c r="W128" i="300"/>
  <c r="W66" i="309"/>
  <c r="W61" i="309"/>
  <c r="W36" i="300"/>
  <c r="V42" i="308"/>
  <c r="V56" i="299"/>
  <c r="W7" i="309"/>
  <c r="W14" i="300"/>
  <c r="W16" i="300" s="1"/>
  <c r="U7" i="97" s="1"/>
  <c r="V24" i="299"/>
  <c r="V24" i="308"/>
  <c r="W70" i="309"/>
  <c r="W51" i="300"/>
  <c r="W86" i="300"/>
  <c r="W82" i="309"/>
  <c r="V75" i="308"/>
  <c r="V74" i="299"/>
  <c r="U81" i="300"/>
  <c r="W57" i="275"/>
  <c r="U57" i="309"/>
  <c r="U22" i="300"/>
  <c r="U94" i="309"/>
  <c r="V94" i="275"/>
  <c r="O131" i="300"/>
  <c r="O141" i="300" s="1"/>
  <c r="W14" i="282"/>
  <c r="U53" i="300"/>
  <c r="U91" i="309"/>
  <c r="W91" i="275"/>
  <c r="V5" i="303"/>
  <c r="V10" i="303" s="1"/>
  <c r="V10" i="278"/>
  <c r="V47" i="308"/>
  <c r="V36" i="299"/>
  <c r="T41" i="300"/>
  <c r="R8" i="97" s="1"/>
  <c r="W48" i="300"/>
  <c r="W65" i="309"/>
  <c r="W20" i="300"/>
  <c r="W76" i="309"/>
  <c r="W120" i="300"/>
  <c r="W12" i="309"/>
  <c r="T130" i="274"/>
  <c r="M136" i="299"/>
  <c r="T137" i="299" s="1"/>
  <c r="S7" i="12"/>
  <c r="F8" i="42" s="1"/>
  <c r="H5" i="67"/>
  <c r="W132" i="300"/>
  <c r="W13" i="309"/>
  <c r="M15" i="97"/>
  <c r="V67" i="308"/>
  <c r="V41" i="299"/>
  <c r="U33" i="300"/>
  <c r="U19" i="309"/>
  <c r="W19" i="275"/>
  <c r="V86" i="299"/>
  <c r="V97" i="308"/>
  <c r="V104" i="308"/>
  <c r="V89" i="299"/>
  <c r="F5" i="74"/>
  <c r="S11" i="12"/>
  <c r="F12" i="42" s="1"/>
  <c r="U107" i="299"/>
  <c r="AX107" i="299" s="1"/>
  <c r="U111" i="308"/>
  <c r="V111" i="274"/>
  <c r="U56" i="298"/>
  <c r="V45" i="272"/>
  <c r="V56" i="298" s="1"/>
  <c r="W6" i="301"/>
  <c r="W28" i="276"/>
  <c r="V74" i="308"/>
  <c r="V65" i="299"/>
  <c r="V66" i="299" s="1"/>
  <c r="T9" i="97" s="1"/>
  <c r="W69" i="309"/>
  <c r="W50" i="300"/>
  <c r="V91" i="300"/>
  <c r="V90" i="309"/>
  <c r="V59" i="308"/>
  <c r="V39" i="299"/>
  <c r="R12" i="97"/>
  <c r="V105" i="299"/>
  <c r="V62" i="308"/>
  <c r="U16" i="300"/>
  <c r="W10" i="309"/>
  <c r="W30" i="300"/>
  <c r="V19" i="299"/>
  <c r="V19" i="308"/>
  <c r="U45" i="300"/>
  <c r="W54" i="275"/>
  <c r="U54" i="309"/>
  <c r="W11" i="306"/>
  <c r="W19" i="306" s="1"/>
  <c r="Y17" i="97"/>
  <c r="Y20" i="97" s="1"/>
  <c r="AA141" i="300"/>
  <c r="V32" i="272"/>
  <c r="V16" i="298" s="1"/>
  <c r="U16" i="298"/>
  <c r="F7" i="77"/>
  <c r="S12" i="12"/>
  <c r="F13" i="42" s="1"/>
  <c r="W34" i="300"/>
  <c r="W22" i="309"/>
  <c r="E13" i="68"/>
  <c r="U8" i="12"/>
  <c r="W132" i="299"/>
  <c r="W133" i="299" s="1"/>
  <c r="W101" i="308"/>
  <c r="V44" i="308"/>
  <c r="V33" i="299"/>
  <c r="AN121" i="285"/>
  <c r="AN122" i="285" s="1"/>
  <c r="AU108" i="285"/>
  <c r="U12" i="298"/>
  <c r="U39" i="298" s="1"/>
  <c r="S7" i="97" s="1"/>
  <c r="E13" i="61" s="1"/>
  <c r="V22" i="272"/>
  <c r="V12" i="298" s="1"/>
  <c r="V38" i="308"/>
  <c r="V30" i="299"/>
  <c r="U38" i="300"/>
  <c r="U77" i="309"/>
  <c r="W77" i="275"/>
  <c r="U98" i="299"/>
  <c r="U100" i="299" s="1"/>
  <c r="U127" i="308"/>
  <c r="U129" i="308" s="1"/>
  <c r="U130" i="308" s="1"/>
  <c r="V127" i="274"/>
  <c r="V65" i="272"/>
  <c r="V71" i="298" s="1"/>
  <c r="V77" i="298" s="1"/>
  <c r="U71" i="298"/>
  <c r="V25" i="299"/>
  <c r="V25" i="308"/>
  <c r="U131" i="300"/>
  <c r="S15" i="97" s="1"/>
  <c r="E14" i="61" s="1"/>
  <c r="V118" i="299"/>
  <c r="V108" i="308"/>
  <c r="K10" i="97"/>
  <c r="M18" i="304"/>
  <c r="K15" i="97"/>
  <c r="T130" i="308"/>
  <c r="M131" i="308" s="1"/>
  <c r="W61" i="300"/>
  <c r="W113" i="309"/>
  <c r="W123" i="300"/>
  <c r="W31" i="309"/>
  <c r="U140" i="300"/>
  <c r="V53" i="299"/>
  <c r="V124" i="308"/>
  <c r="V99" i="299"/>
  <c r="V128" i="308"/>
  <c r="V108" i="299"/>
  <c r="V16" i="308"/>
  <c r="W134" i="300"/>
  <c r="W60" i="309"/>
  <c r="U18" i="300"/>
  <c r="U28" i="309"/>
  <c r="W28" i="275"/>
  <c r="W93" i="309"/>
  <c r="W54" i="300"/>
  <c r="V14" i="299"/>
  <c r="V10" i="308"/>
  <c r="W8" i="300"/>
  <c r="W13" i="300" s="1"/>
  <c r="W74" i="309"/>
  <c r="V82" i="308"/>
  <c r="V78" i="299"/>
  <c r="U12" i="306"/>
  <c r="U14" i="306" s="1"/>
  <c r="U19" i="306" s="1"/>
  <c r="V8" i="282"/>
  <c r="V12" i="306" s="1"/>
  <c r="V14" i="306" s="1"/>
  <c r="T10" i="97" s="1"/>
  <c r="U47" i="298"/>
  <c r="U77" i="298" s="1"/>
  <c r="V17" i="272"/>
  <c r="V47" i="298" s="1"/>
  <c r="W79" i="309"/>
  <c r="W21" i="300"/>
  <c r="U26" i="301"/>
  <c r="U28" i="301" s="1"/>
  <c r="W26" i="276"/>
  <c r="W26" i="301" s="1"/>
  <c r="O80" i="298"/>
  <c r="V15" i="306"/>
  <c r="V16" i="306" s="1"/>
  <c r="V19" i="306" s="1"/>
  <c r="V14" i="282"/>
  <c r="V39" i="308"/>
  <c r="V31" i="299"/>
  <c r="V29" i="299"/>
  <c r="V36" i="308"/>
  <c r="N18" i="280"/>
  <c r="R14" i="12"/>
  <c r="M18" i="280"/>
  <c r="V125" i="299"/>
  <c r="V52" i="308"/>
  <c r="R7" i="97"/>
  <c r="W36" i="309"/>
  <c r="W27" i="300"/>
  <c r="V40" i="308"/>
  <c r="V69" i="299"/>
  <c r="W137" i="300"/>
  <c r="W84" i="309"/>
  <c r="V17" i="299"/>
  <c r="V14" i="308"/>
  <c r="V127" i="299"/>
  <c r="V98" i="308"/>
  <c r="O41" i="300"/>
  <c r="M8" i="97" s="1"/>
  <c r="W15" i="277"/>
  <c r="U5" i="299"/>
  <c r="U10" i="299" s="1"/>
  <c r="U8" i="308"/>
  <c r="U112" i="308" s="1"/>
  <c r="V8" i="274"/>
  <c r="U112" i="274"/>
  <c r="E9" i="99" s="1"/>
  <c r="W29" i="300"/>
  <c r="W9" i="309"/>
  <c r="N16" i="44"/>
  <c r="F13" i="43" s="1"/>
  <c r="F14" i="43" s="1"/>
  <c r="F13" i="100" s="1"/>
  <c r="O6" i="44"/>
  <c r="O16" i="44" s="1"/>
  <c r="O130" i="299"/>
  <c r="M14" i="97" s="1"/>
  <c r="V16" i="299"/>
  <c r="V12" i="308"/>
  <c r="W31" i="300"/>
  <c r="W11" i="309"/>
  <c r="U10" i="303"/>
  <c r="W112" i="308"/>
  <c r="W130" i="308" s="1"/>
  <c r="V64" i="308"/>
  <c r="V101" i="299"/>
  <c r="W72" i="300"/>
  <c r="W32" i="309"/>
  <c r="U16" i="305"/>
  <c r="U17" i="305" s="1"/>
  <c r="N18" i="305" s="1"/>
  <c r="V16" i="280"/>
  <c r="V16" i="305" s="1"/>
  <c r="V17" i="305" s="1"/>
  <c r="T18" i="97" s="1"/>
  <c r="W125" i="300"/>
  <c r="W37" i="309"/>
  <c r="V18" i="299"/>
  <c r="V15" i="308"/>
  <c r="K8" i="97"/>
  <c r="U20" i="298"/>
  <c r="V36" i="272"/>
  <c r="V20" i="298" s="1"/>
  <c r="O115" i="300"/>
  <c r="M16" i="97" s="1"/>
  <c r="K7" i="97"/>
  <c r="U127" i="275"/>
  <c r="R10" i="97"/>
  <c r="V96" i="300"/>
  <c r="V116" i="309"/>
  <c r="U129" i="274"/>
  <c r="W14" i="279"/>
  <c r="W9" i="304"/>
  <c r="W13" i="304" s="1"/>
  <c r="F7" i="78"/>
  <c r="S13" i="12"/>
  <c r="M29" i="97"/>
  <c r="B18" i="12"/>
  <c r="R20" i="97" l="1"/>
  <c r="U80" i="298"/>
  <c r="V5" i="299"/>
  <c r="V10" i="299" s="1"/>
  <c r="V8" i="308"/>
  <c r="V112" i="274"/>
  <c r="V100" i="299"/>
  <c r="W28" i="301"/>
  <c r="W33" i="300"/>
  <c r="W19" i="309"/>
  <c r="W140" i="300"/>
  <c r="R8" i="12"/>
  <c r="R16" i="12" s="1"/>
  <c r="M131" i="274"/>
  <c r="E11" i="81"/>
  <c r="U15" i="12"/>
  <c r="W68" i="300"/>
  <c r="W16" i="309"/>
  <c r="W33" i="309"/>
  <c r="W73" i="300"/>
  <c r="U119" i="299"/>
  <c r="S12" i="97" s="1"/>
  <c r="E10" i="61" s="1"/>
  <c r="W76" i="300"/>
  <c r="W43" i="309"/>
  <c r="W139" i="300"/>
  <c r="W95" i="309"/>
  <c r="W119" i="300"/>
  <c r="U14" i="97" s="1"/>
  <c r="V39" i="298"/>
  <c r="T7" i="97" s="1"/>
  <c r="S10" i="97"/>
  <c r="E11" i="61" s="1"/>
  <c r="T13" i="97"/>
  <c r="T141" i="300"/>
  <c r="M142" i="300" s="1"/>
  <c r="V119" i="299"/>
  <c r="T12" i="97" s="1"/>
  <c r="W28" i="309"/>
  <c r="W18" i="300"/>
  <c r="S18" i="97"/>
  <c r="E15" i="61" s="1"/>
  <c r="W38" i="300"/>
  <c r="W77" i="309"/>
  <c r="W136" i="299"/>
  <c r="W53" i="300"/>
  <c r="W91" i="309"/>
  <c r="W127" i="275"/>
  <c r="W81" i="309"/>
  <c r="W85" i="300"/>
  <c r="V62" i="299"/>
  <c r="V17" i="308"/>
  <c r="U99" i="300"/>
  <c r="S11" i="97" s="1"/>
  <c r="E8" i="61" s="1"/>
  <c r="V15" i="277"/>
  <c r="V13" i="302"/>
  <c r="V14" i="302" s="1"/>
  <c r="V17" i="302" s="1"/>
  <c r="W38" i="309"/>
  <c r="W43" i="300"/>
  <c r="W42" i="300"/>
  <c r="W23" i="309"/>
  <c r="V77" i="272"/>
  <c r="U10" i="97"/>
  <c r="V130" i="299"/>
  <c r="E8" i="99"/>
  <c r="U130" i="274"/>
  <c r="F8" i="69"/>
  <c r="S9" i="12"/>
  <c r="F10" i="42" s="1"/>
  <c r="Y24" i="97"/>
  <c r="Y21" i="12"/>
  <c r="E13" i="74"/>
  <c r="U11" i="12"/>
  <c r="O136" i="299"/>
  <c r="V17" i="280"/>
  <c r="T14" i="12" s="1"/>
  <c r="K20" i="97"/>
  <c r="K30" i="97" s="1"/>
  <c r="V127" i="308"/>
  <c r="V129" i="308" s="1"/>
  <c r="V98" i="299"/>
  <c r="W45" i="300"/>
  <c r="W54" i="309"/>
  <c r="W131" i="300"/>
  <c r="U15" i="97" s="1"/>
  <c r="V22" i="300"/>
  <c r="V41" i="300" s="1"/>
  <c r="V94" i="309"/>
  <c r="V127" i="309" s="1"/>
  <c r="W57" i="309"/>
  <c r="W81" i="300"/>
  <c r="V71" i="308"/>
  <c r="V57" i="299"/>
  <c r="V64" i="299" s="1"/>
  <c r="T8" i="97" s="1"/>
  <c r="W17" i="300"/>
  <c r="W41" i="300" s="1"/>
  <c r="U8" i="97" s="1"/>
  <c r="W17" i="309"/>
  <c r="W127" i="309" s="1"/>
  <c r="M11" i="97"/>
  <c r="M20" i="97" s="1"/>
  <c r="M30" i="97" s="1"/>
  <c r="V127" i="275"/>
  <c r="K22" i="97"/>
  <c r="U136" i="299"/>
  <c r="R18" i="12"/>
  <c r="J13" i="100"/>
  <c r="F14" i="100"/>
  <c r="E10" i="81"/>
  <c r="T15" i="12"/>
  <c r="E12" i="72"/>
  <c r="U10" i="12"/>
  <c r="V107" i="299"/>
  <c r="V111" i="308"/>
  <c r="E15" i="77"/>
  <c r="T12" i="12"/>
  <c r="U41" i="300"/>
  <c r="S8" i="97" s="1"/>
  <c r="V129" i="274"/>
  <c r="V130" i="274" s="1"/>
  <c r="Q6" i="44"/>
  <c r="Y16" i="12"/>
  <c r="Y29" i="97" s="1"/>
  <c r="Y30" i="97" s="1"/>
  <c r="V99" i="300"/>
  <c r="V141" i="300" s="1"/>
  <c r="U62" i="300"/>
  <c r="S9" i="97" s="1"/>
  <c r="E17" i="61" s="1"/>
  <c r="U13" i="12"/>
  <c r="E16" i="78"/>
  <c r="W18" i="304"/>
  <c r="F14" i="42"/>
  <c r="E9" i="61" l="1"/>
  <c r="S20" i="97"/>
  <c r="E12" i="68"/>
  <c r="T8" i="12"/>
  <c r="Y22" i="12"/>
  <c r="S21" i="12"/>
  <c r="F5" i="68"/>
  <c r="S8" i="12"/>
  <c r="E16" i="69"/>
  <c r="U9" i="12"/>
  <c r="U16" i="12" s="1"/>
  <c r="U141" i="300"/>
  <c r="S22" i="97"/>
  <c r="T7" i="12"/>
  <c r="T16" i="12" s="1"/>
  <c r="E12" i="67"/>
  <c r="E13" i="81"/>
  <c r="F12" i="81" s="1"/>
  <c r="F10" i="81"/>
  <c r="Y25" i="97"/>
  <c r="S24" i="97"/>
  <c r="S25" i="97" s="1"/>
  <c r="V112" i="308"/>
  <c r="V130" i="308" s="1"/>
  <c r="E15" i="69"/>
  <c r="T9" i="12"/>
  <c r="R6" i="44"/>
  <c r="R16" i="44" s="1"/>
  <c r="Q16" i="44"/>
  <c r="J19" i="44" s="1"/>
  <c r="E17" i="77"/>
  <c r="F16" i="77" s="1"/>
  <c r="F15" i="77"/>
  <c r="F17" i="77" s="1"/>
  <c r="E14" i="72"/>
  <c r="F13" i="72" s="1"/>
  <c r="J8" i="100"/>
  <c r="J11" i="100"/>
  <c r="J10" i="100"/>
  <c r="J9" i="100"/>
  <c r="T14" i="97"/>
  <c r="V136" i="299"/>
  <c r="W62" i="300"/>
  <c r="U9" i="97" s="1"/>
  <c r="U20" i="97" s="1"/>
  <c r="U25" i="97" s="1"/>
  <c r="E12" i="74"/>
  <c r="T11" i="12"/>
  <c r="W99" i="300"/>
  <c r="U11" i="97" s="1"/>
  <c r="K17" i="12"/>
  <c r="R29" i="97"/>
  <c r="R30" i="97" s="1"/>
  <c r="S17" i="12"/>
  <c r="V80" i="298"/>
  <c r="T20" i="97"/>
  <c r="U18" i="97"/>
  <c r="T11" i="97"/>
  <c r="E18" i="78"/>
  <c r="U29" i="97" l="1"/>
  <c r="U30" i="97" s="1"/>
  <c r="U22" i="12"/>
  <c r="H9" i="61"/>
  <c r="T30" i="97"/>
  <c r="T25" i="97"/>
  <c r="E14" i="74"/>
  <c r="F13" i="74" s="1"/>
  <c r="E19" i="69"/>
  <c r="F18" i="69" s="1"/>
  <c r="T29" i="97"/>
  <c r="T22" i="12"/>
  <c r="F12" i="68"/>
  <c r="E18" i="68"/>
  <c r="E21" i="61"/>
  <c r="F12" i="72"/>
  <c r="F14" i="72" s="1"/>
  <c r="T17" i="12"/>
  <c r="T18" i="12" s="1"/>
  <c r="W141" i="300"/>
  <c r="J14" i="100"/>
  <c r="E14" i="67"/>
  <c r="F11" i="81"/>
  <c r="F13" i="81" s="1"/>
  <c r="F9" i="42"/>
  <c r="F17" i="42" s="1"/>
  <c r="J14" i="42" s="1"/>
  <c r="S16" i="12"/>
  <c r="F15" i="78"/>
  <c r="F17" i="78"/>
  <c r="J16" i="42"/>
  <c r="F16" i="78"/>
  <c r="J11" i="42" l="1"/>
  <c r="H14" i="67"/>
  <c r="H13" i="67"/>
  <c r="F16" i="69"/>
  <c r="H14" i="61"/>
  <c r="H20" i="61"/>
  <c r="H12" i="61"/>
  <c r="H10" i="61"/>
  <c r="H11" i="61"/>
  <c r="H8" i="61"/>
  <c r="H16" i="61"/>
  <c r="H15" i="61"/>
  <c r="H13" i="61"/>
  <c r="H19" i="61"/>
  <c r="H17" i="61"/>
  <c r="H18" i="61"/>
  <c r="F12" i="74"/>
  <c r="F14" i="74" s="1"/>
  <c r="J8" i="42"/>
  <c r="J12" i="42"/>
  <c r="J9" i="42"/>
  <c r="J13" i="42"/>
  <c r="J15" i="42"/>
  <c r="J10" i="42"/>
  <c r="E27" i="39"/>
  <c r="G7" i="41" s="1"/>
  <c r="S29" i="97"/>
  <c r="S30" i="97" s="1"/>
  <c r="S22" i="12"/>
  <c r="S18" i="12"/>
  <c r="H12" i="67"/>
  <c r="F14" i="68"/>
  <c r="F15" i="68"/>
  <c r="F18" i="68" s="1"/>
  <c r="F16" i="68"/>
  <c r="F17" i="68"/>
  <c r="F13" i="68"/>
  <c r="F15" i="69"/>
  <c r="F18" i="78"/>
  <c r="F19" i="69" l="1"/>
  <c r="J17" i="42"/>
  <c r="H21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Gizbarut-Orna Goldfriend</author>
  </authors>
  <commentList>
    <comment ref="K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קרן הועדה החקלאית</t>
        </r>
      </text>
    </comment>
    <comment ref="K10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קרן הועדה החקלאית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Gizbarut-Orna Goldfriend</author>
    <author>Gizbarut-Karin Kaldron</author>
  </authors>
  <commentList>
    <comment ref="AA7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13" authorId="0" shapeId="0" xr:uid="{00000000-0006-0000-1F00-000002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I15" authorId="1" shapeId="0" xr:uid="{00000000-0006-0000-1F00-000003000000}">
      <text>
        <r>
          <rPr>
            <b/>
            <sz val="9"/>
            <color indexed="81"/>
            <rFont val="Tahoma"/>
            <family val="2"/>
          </rPr>
          <t>Gizbarut-Karin Kaldron:</t>
        </r>
        <r>
          <rPr>
            <sz val="9"/>
            <color indexed="81"/>
            <rFont val="Tahoma"/>
            <family val="2"/>
          </rPr>
          <t xml:space="preserve">
מותנה בהצגת תכנית
</t>
        </r>
      </text>
    </comment>
    <comment ref="AA18" authorId="0" shapeId="0" xr:uid="{00000000-0006-0000-1F00-000004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25" authorId="0" shapeId="0" xr:uid="{00000000-0006-0000-1F00-000005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AA26" authorId="0" shapeId="0" xr:uid="{00000000-0006-0000-1F00-000006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Gizbarut-Orna Goldfriend</author>
    <author>Edu-Olga Lukinsky</author>
    <author>Gizbarut-Karin Kaldron</author>
  </authors>
  <commentList>
    <comment ref="H5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מהמערכת 23.9.21
</t>
        </r>
      </text>
    </comment>
    <comment ref="J5" authorId="0" shapeId="0" xr:uid="{00000000-0006-0000-2000-000002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מהמערכת 23.9.21
</t>
        </r>
      </text>
    </comment>
    <comment ref="H6" authorId="0" shapeId="0" xr:uid="{00000000-0006-0000-2000-000003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קוגנוס 23.9.21</t>
        </r>
      </text>
    </comment>
    <comment ref="J6" authorId="0" shapeId="0" xr:uid="{00000000-0006-0000-2000-000004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קוגנוס 23.9.21</t>
        </r>
      </text>
    </comment>
    <comment ref="Q6" authorId="0" shapeId="0" xr:uid="{00000000-0006-0000-2000-000005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הוזרם באוגוסט
</t>
        </r>
      </text>
    </comment>
    <comment ref="R6" authorId="0" shapeId="0" xr:uid="{00000000-0006-0000-2000-000006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שינוי מימון וע. 8/2021</t>
        </r>
      </text>
    </comment>
    <comment ref="B7" authorId="1" shapeId="0" xr:uid="{00000000-0006-0000-2000-000007000000}">
      <text>
        <r>
          <rPr>
            <b/>
            <sz val="9"/>
            <color indexed="81"/>
            <rFont val="Tahoma"/>
            <family val="2"/>
          </rPr>
          <t>Edu-Olga Lukinsky:</t>
        </r>
        <r>
          <rPr>
            <sz val="9"/>
            <color indexed="81"/>
            <rFont val="Tahoma"/>
            <family val="2"/>
          </rPr>
          <t xml:space="preserve">
סגירה</t>
        </r>
      </text>
    </comment>
    <comment ref="J10" authorId="0" shapeId="0" xr:uid="{00000000-0006-0000-2000-000008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</t>
        </r>
      </text>
    </comment>
    <comment ref="R10" authorId="0" shapeId="0" xr:uid="{00000000-0006-0000-2000-000009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וע. 22.8.21
</t>
        </r>
      </text>
    </comment>
    <comment ref="J11" authorId="0" shapeId="0" xr:uid="{00000000-0006-0000-2000-00000A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</t>
        </r>
      </text>
    </comment>
    <comment ref="H12" authorId="0" shapeId="0" xr:uid="{00000000-0006-0000-2000-00000B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</t>
        </r>
      </text>
    </comment>
    <comment ref="J12" authorId="0" shapeId="0" xr:uid="{00000000-0006-0000-2000-00000C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</t>
        </r>
      </text>
    </comment>
    <comment ref="AA13" authorId="0" shapeId="0" xr:uid="{00000000-0006-0000-2000-00000D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I15" authorId="2" shapeId="0" xr:uid="{00000000-0006-0000-2000-00000E000000}">
      <text>
        <r>
          <rPr>
            <b/>
            <sz val="9"/>
            <color indexed="81"/>
            <rFont val="Tahoma"/>
            <family val="2"/>
          </rPr>
          <t>Gizbarut-Karin Kaldron:</t>
        </r>
        <r>
          <rPr>
            <sz val="9"/>
            <color indexed="81"/>
            <rFont val="Tahoma"/>
            <family val="2"/>
          </rPr>
          <t xml:space="preserve">
מותנה בהצגת תכנית
</t>
        </r>
      </text>
    </comment>
    <comment ref="J16" authorId="0" shapeId="0" xr:uid="{00000000-0006-0000-2000-00000F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</t>
        </r>
      </text>
    </comment>
    <comment ref="AA18" authorId="0" shapeId="0" xr:uid="{00000000-0006-0000-2000-000010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J19" authorId="0" shapeId="0" xr:uid="{00000000-0006-0000-2000-000011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</t>
        </r>
      </text>
    </comment>
    <comment ref="R19" authorId="0" shapeId="0" xr:uid="{00000000-0006-0000-2000-000012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שינוי מימון וע. 22.8.21
</t>
        </r>
      </text>
    </comment>
    <comment ref="J20" authorId="0" shapeId="0" xr:uid="{00000000-0006-0000-2000-000013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מהמערכת</t>
        </r>
      </text>
    </comment>
    <comment ref="R20" authorId="0" shapeId="0" xr:uid="{00000000-0006-0000-2000-000014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וע. 22.8.21</t>
        </r>
      </text>
    </comment>
    <comment ref="H21" authorId="0" shapeId="0" xr:uid="{00000000-0006-0000-2000-000015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מהמערכת</t>
        </r>
      </text>
    </comment>
    <comment ref="J21" authorId="0" shapeId="0" xr:uid="{00000000-0006-0000-2000-000016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מהמערכת</t>
        </r>
      </text>
    </comment>
    <comment ref="R21" authorId="0" shapeId="0" xr:uid="{00000000-0006-0000-2000-000017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וע. 22.8.21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Gizbarut-Orna Goldfriend</author>
    <author>Gizbarut-Karin Kaldron</author>
  </authors>
  <commentList>
    <comment ref="H5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מהמערכת 23.9.21</t>
        </r>
      </text>
    </comment>
    <comment ref="J5" authorId="0" shapeId="0" xr:uid="{00000000-0006-0000-2300-000002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מהמערכת 23.9.21</t>
        </r>
      </text>
    </comment>
    <comment ref="AI7" authorId="1" shapeId="0" xr:uid="{00000000-0006-0000-2300-000003000000}">
      <text>
        <r>
          <rPr>
            <b/>
            <sz val="9"/>
            <color indexed="81"/>
            <rFont val="Tahoma"/>
            <family val="2"/>
          </rPr>
          <t>Gizbarut-Karin Kaldron:</t>
        </r>
        <r>
          <rPr>
            <sz val="9"/>
            <color indexed="81"/>
            <rFont val="Tahoma"/>
            <family val="2"/>
          </rPr>
          <t xml:space="preserve">
לא מאושר
</t>
        </r>
      </text>
    </comment>
    <comment ref="H15" authorId="0" shapeId="0" xr:uid="{00000000-0006-0000-2300-000004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מהמערכת 23.9.21</t>
        </r>
      </text>
    </comment>
    <comment ref="J15" authorId="0" shapeId="0" xr:uid="{00000000-0006-0000-2300-000005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מהמערכת 23.9.21</t>
        </r>
      </text>
    </comment>
    <comment ref="Q15" authorId="0" shapeId="0" xr:uid="{00000000-0006-0000-2300-000006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עדכון 31.10.21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Gizbarut-Karin Kaldron</author>
    <author>Gizbarut-Orna Goldfriend</author>
  </authors>
  <commentList>
    <comment ref="AL8" authorId="0" shapeId="0" xr:uid="{00000000-0006-0000-2900-000001000000}">
      <text>
        <r>
          <rPr>
            <b/>
            <sz val="9"/>
            <color indexed="81"/>
            <rFont val="Tahoma"/>
            <family val="2"/>
          </rPr>
          <t>Gizbarut-Karin Kaldron:</t>
        </r>
        <r>
          <rPr>
            <sz val="9"/>
            <color indexed="81"/>
            <rFont val="Tahoma"/>
            <family val="2"/>
          </rPr>
          <t xml:space="preserve">
50/50  2023</t>
        </r>
      </text>
    </comment>
    <comment ref="AL9" authorId="0" shapeId="0" xr:uid="{00000000-0006-0000-2900-000002000000}">
      <text>
        <r>
          <rPr>
            <b/>
            <sz val="9"/>
            <color indexed="81"/>
            <rFont val="Tahoma"/>
            <family val="2"/>
          </rPr>
          <t>Gizbarut-Karin Kaldron:</t>
        </r>
        <r>
          <rPr>
            <sz val="9"/>
            <color indexed="81"/>
            <rFont val="Tahoma"/>
            <family val="2"/>
          </rPr>
          <t xml:space="preserve">
50/50  2023</t>
        </r>
      </text>
    </comment>
    <comment ref="AA11" authorId="1" shapeId="0" xr:uid="{00000000-0006-0000-2900-000003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Gizbarut-Karin Kaldron</author>
  </authors>
  <commentList>
    <comment ref="AL7" authorId="0" shapeId="0" xr:uid="{00000000-0006-0000-2A00-000001000000}">
      <text>
        <r>
          <rPr>
            <b/>
            <sz val="9"/>
            <color indexed="81"/>
            <rFont val="Tahoma"/>
            <family val="2"/>
          </rPr>
          <t>Gizbarut-Karin Kaldron:</t>
        </r>
        <r>
          <rPr>
            <sz val="9"/>
            <color indexed="81"/>
            <rFont val="Tahoma"/>
            <family val="2"/>
          </rPr>
          <t xml:space="preserve">
50/50  2023</t>
        </r>
      </text>
    </comment>
    <comment ref="AL9" authorId="0" shapeId="0" xr:uid="{00000000-0006-0000-2A00-000002000000}">
      <text>
        <r>
          <rPr>
            <b/>
            <sz val="9"/>
            <color indexed="81"/>
            <rFont val="Tahoma"/>
            <family val="2"/>
          </rPr>
          <t>Gizbarut-Karin Kaldron:</t>
        </r>
        <r>
          <rPr>
            <sz val="9"/>
            <color indexed="81"/>
            <rFont val="Tahoma"/>
            <family val="2"/>
          </rPr>
          <t xml:space="preserve">
50/50  2023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Gizbarut-Orna Goldfriend</author>
  </authors>
  <commentList>
    <comment ref="M7" authorId="0" shapeId="0" xr:uid="{00000000-0006-0000-3000-000001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עודכנו נתוני ביצוע 14.10.21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Gizbarut-Orna Goldfriend</author>
  </authors>
  <commentList>
    <comment ref="AH9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12.9.21</t>
        </r>
      </text>
    </comment>
    <comment ref="AA10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AH13" authorId="0" shapeId="0" xr:uid="{00000000-0006-0000-1200-000003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12.9.21</t>
        </r>
      </text>
    </comment>
    <comment ref="AI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12.9.21</t>
        </r>
      </text>
    </comment>
    <comment ref="AE35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עדכון 31.8.21</t>
        </r>
      </text>
    </comment>
    <comment ref="AA51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</t>
        </r>
      </text>
    </comment>
    <comment ref="AA52" authorId="0" shapeId="0" xr:uid="{00000000-0006-0000-1200-000007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Gizbarut-Orna Goldfriend</author>
  </authors>
  <commentList>
    <comment ref="AA6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AH7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12.9.21</t>
        </r>
      </text>
    </comment>
    <comment ref="AI7" authorId="0" shapeId="0" xr:uid="{00000000-0006-0000-1300-000003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12.9.21</t>
        </r>
      </text>
    </comment>
    <comment ref="AE19" authorId="0" shapeId="0" xr:uid="{00000000-0006-0000-1300-000004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עדכון 31.8.21</t>
        </r>
      </text>
    </comment>
    <comment ref="D31" authorId="0" shapeId="0" xr:uid="{00000000-0006-0000-1300-000005000000}">
      <text>
        <r>
          <rPr>
            <b/>
            <sz val="9"/>
            <color indexed="81"/>
            <rFont val="Tahoma"/>
            <family val="2"/>
          </rPr>
          <t>Gizbarut-Orna Goldfriend:איתי. יש  יציאה למכרז</t>
        </r>
      </text>
    </comment>
    <comment ref="Q43" authorId="0" shapeId="0" xr:uid="{00000000-0006-0000-1300-000006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עדכון 11.10.21</t>
        </r>
      </text>
    </comment>
    <comment ref="AA58" authorId="0" shapeId="0" xr:uid="{00000000-0006-0000-1300-000007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</t>
        </r>
      </text>
    </comment>
    <comment ref="AA59" authorId="0" shapeId="0" xr:uid="{00000000-0006-0000-1300-000008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</t>
        </r>
      </text>
    </comment>
    <comment ref="AH70" authorId="0" shapeId="0" xr:uid="{00000000-0006-0000-1300-000009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12.9.21</t>
        </r>
      </text>
    </comment>
    <comment ref="G71" authorId="0" shapeId="0" xr:uid="{00000000-0006-0000-1300-00000A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17.8.21
</t>
        </r>
      </text>
    </comment>
    <comment ref="G72" authorId="0" shapeId="0" xr:uid="{00000000-0006-0000-1300-00000B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17.8.21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Gizbarut-Orna Goldfriend</author>
    <author>Gizbarut-Karin Kaldron</author>
  </authors>
  <commentList>
    <comment ref="AA11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
</t>
        </r>
      </text>
    </comment>
    <comment ref="AA26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תוספת הרשאה מ. הבינוי</t>
        </r>
      </text>
    </comment>
    <comment ref="AA27" authorId="0" shapeId="0" xr:uid="{00000000-0006-0000-1600-000003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</t>
        </r>
      </text>
    </comment>
    <comment ref="AA40" authorId="0" shapeId="0" xr:uid="{00000000-0006-0000-1600-000004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O43" authorId="0" shapeId="0" xr:uid="{00000000-0006-0000-1600-000005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נוסף 26.9.21</t>
        </r>
      </text>
    </comment>
    <comment ref="AP43" authorId="0" shapeId="0" xr:uid="{00000000-0006-0000-1600-000006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נוסף 26.9.21</t>
        </r>
      </text>
    </comment>
    <comment ref="AA49" authorId="0" shapeId="0" xr:uid="{00000000-0006-0000-1600-000007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55" authorId="0" shapeId="0" xr:uid="{00000000-0006-0000-1600-000008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BA56" authorId="1" shapeId="0" xr:uid="{00000000-0006-0000-1600-000009000000}">
      <text>
        <r>
          <rPr>
            <b/>
            <sz val="9"/>
            <color indexed="81"/>
            <rFont val="Tahoma"/>
            <family val="2"/>
          </rPr>
          <t>Gizbarut-Karin Kaldron:</t>
        </r>
        <r>
          <rPr>
            <sz val="9"/>
            <color indexed="81"/>
            <rFont val="Tahoma"/>
            <family val="2"/>
          </rPr>
          <t xml:space="preserve">
נדחה ל 2023
</t>
        </r>
      </text>
    </comment>
    <comment ref="AA62" authorId="0" shapeId="0" xr:uid="{00000000-0006-0000-1600-00000A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
</t>
        </r>
      </text>
    </comment>
    <comment ref="AA74" authorId="0" shapeId="0" xr:uid="{00000000-0006-0000-1600-00000B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A80" authorId="0" shapeId="0" xr:uid="{00000000-0006-0000-1600-00000C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
</t>
        </r>
      </text>
    </comment>
    <comment ref="AA83" authorId="0" shapeId="0" xr:uid="{00000000-0006-0000-1600-00000D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בניכוי קדם מימון שהתקבל.</t>
        </r>
      </text>
    </comment>
    <comment ref="AA86" authorId="0" shapeId="0" xr:uid="{00000000-0006-0000-1600-00000E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BA102" authorId="1" shapeId="0" xr:uid="{00000000-0006-0000-1600-00000F000000}">
      <text>
        <r>
          <rPr>
            <b/>
            <sz val="9"/>
            <color indexed="81"/>
            <rFont val="Tahoma"/>
            <family val="2"/>
          </rPr>
          <t>Gizbarut-Karin Kaldron:</t>
        </r>
        <r>
          <rPr>
            <sz val="9"/>
            <color indexed="81"/>
            <rFont val="Tahoma"/>
            <family val="2"/>
          </rPr>
          <t xml:space="preserve">
תכנון + ביצוע</t>
        </r>
      </text>
    </comment>
    <comment ref="AA117" authorId="0" shapeId="0" xr:uid="{00000000-0006-0000-1600-000010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רמ"י.</t>
        </r>
      </text>
    </comment>
    <comment ref="AA120" authorId="0" shapeId="0" xr:uid="{00000000-0006-0000-1600-000011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122" authorId="0" shapeId="0" xr:uid="{00000000-0006-0000-1600-000012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מימון מ. החינוך
</t>
        </r>
      </text>
    </comment>
    <comment ref="AA125" authorId="0" shapeId="0" xr:uid="{00000000-0006-0000-1600-000013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Gizbarut-Orna Goldfriend</author>
    <author>Gizbarut-Karin Kaldron</author>
  </authors>
  <commentList>
    <comment ref="AA11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
</t>
        </r>
      </text>
    </comment>
    <comment ref="AA26" authorId="0" shapeId="0" xr:uid="{00000000-0006-0000-1700-000002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תוספת הרשאה מ. הבינוי</t>
        </r>
      </text>
    </comment>
    <comment ref="AA27" authorId="0" shapeId="0" xr:uid="{00000000-0006-0000-1700-000003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</t>
        </r>
      </text>
    </comment>
    <comment ref="AA40" authorId="0" shapeId="0" xr:uid="{00000000-0006-0000-1700-000004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O43" authorId="0" shapeId="0" xr:uid="{00000000-0006-0000-1700-000005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נוסף 26.9.21</t>
        </r>
      </text>
    </comment>
    <comment ref="AP43" authorId="0" shapeId="0" xr:uid="{00000000-0006-0000-1700-000006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נוסף 26.9.21</t>
        </r>
      </text>
    </comment>
    <comment ref="AA49" authorId="0" shapeId="0" xr:uid="{00000000-0006-0000-1700-000007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55" authorId="0" shapeId="0" xr:uid="{00000000-0006-0000-1700-000008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BA56" authorId="1" shapeId="0" xr:uid="{00000000-0006-0000-1700-000009000000}">
      <text>
        <r>
          <rPr>
            <b/>
            <sz val="9"/>
            <color indexed="81"/>
            <rFont val="Tahoma"/>
            <family val="2"/>
          </rPr>
          <t>Gizbarut-Karin Kaldron:</t>
        </r>
        <r>
          <rPr>
            <sz val="9"/>
            <color indexed="81"/>
            <rFont val="Tahoma"/>
            <family val="2"/>
          </rPr>
          <t xml:space="preserve">
נדחה ל 2023
</t>
        </r>
      </text>
    </comment>
    <comment ref="AA62" authorId="0" shapeId="0" xr:uid="{00000000-0006-0000-1700-00000A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
</t>
        </r>
      </text>
    </comment>
    <comment ref="AA74" authorId="0" shapeId="0" xr:uid="{00000000-0006-0000-1700-00000B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A80" authorId="0" shapeId="0" xr:uid="{00000000-0006-0000-1700-00000C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
</t>
        </r>
      </text>
    </comment>
    <comment ref="AA83" authorId="0" shapeId="0" xr:uid="{00000000-0006-0000-1700-00000D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בניכוי קדם מימון שהתקבל.</t>
        </r>
      </text>
    </comment>
    <comment ref="AA86" authorId="0" shapeId="0" xr:uid="{00000000-0006-0000-1700-00000E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BA102" authorId="1" shapeId="0" xr:uid="{00000000-0006-0000-1700-00000F000000}">
      <text>
        <r>
          <rPr>
            <b/>
            <sz val="9"/>
            <color indexed="81"/>
            <rFont val="Tahoma"/>
            <family val="2"/>
          </rPr>
          <t>Gizbarut-Karin Kaldron:</t>
        </r>
        <r>
          <rPr>
            <sz val="9"/>
            <color indexed="81"/>
            <rFont val="Tahoma"/>
            <family val="2"/>
          </rPr>
          <t xml:space="preserve">
תכנון + ביצוע</t>
        </r>
      </text>
    </comment>
    <comment ref="AA117" authorId="0" shapeId="0" xr:uid="{00000000-0006-0000-1700-000010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רמ"י.</t>
        </r>
      </text>
    </comment>
    <comment ref="AA120" authorId="0" shapeId="0" xr:uid="{00000000-0006-0000-1700-000011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122" authorId="0" shapeId="0" xr:uid="{00000000-0006-0000-1700-000012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מימון מ. החינוך
</t>
        </r>
      </text>
    </comment>
    <comment ref="AA125" authorId="0" shapeId="0" xr:uid="{00000000-0006-0000-1700-000013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Gizbarut-Orna Goldfriend</author>
    <author>Gizbarut-Karin Kaldron</author>
  </authors>
  <commentList>
    <comment ref="AA6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תוספת הרשאה מ. הבינוי</t>
        </r>
      </text>
    </comment>
    <comment ref="AA7" authorId="0" shapeId="0" xr:uid="{00000000-0006-0000-1800-000002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התחבורה</t>
        </r>
      </text>
    </comment>
    <comment ref="R33" authorId="0" shapeId="0" xr:uid="{00000000-0006-0000-1800-000003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תוקצב ב  יולי
לאחר יולי</t>
        </r>
      </text>
    </comment>
    <comment ref="R34" authorId="0" shapeId="0" xr:uid="{00000000-0006-0000-1800-000004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תוקצב ביולי
לאחר יולי</t>
        </r>
      </text>
    </comment>
    <comment ref="R53" authorId="0" shapeId="0" xr:uid="{00000000-0006-0000-1800-000005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וע. 22.8.21 הרשאה רמ"י</t>
        </r>
      </text>
    </comment>
    <comment ref="BA59" authorId="1" shapeId="0" xr:uid="{00000000-0006-0000-1800-000006000000}">
      <text>
        <r>
          <rPr>
            <b/>
            <sz val="9"/>
            <color indexed="81"/>
            <rFont val="Tahoma"/>
            <family val="2"/>
          </rPr>
          <t>Gizbarut-Karin Kaldron:</t>
        </r>
        <r>
          <rPr>
            <sz val="9"/>
            <color indexed="81"/>
            <rFont val="Tahoma"/>
            <family val="2"/>
          </rPr>
          <t xml:space="preserve">
תכנון + ביצוע</t>
        </r>
      </text>
    </comment>
    <comment ref="R60" authorId="0" shapeId="0" xr:uid="{00000000-0006-0000-1800-000007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וע. 22.8.21</t>
        </r>
      </text>
    </comment>
    <comment ref="AA65" authorId="0" shapeId="0" xr:uid="{00000000-0006-0000-1800-000008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A69" authorId="0" shapeId="0" xr:uid="{00000000-0006-0000-1800-000009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71" authorId="0" shapeId="0" xr:uid="{00000000-0006-0000-1800-00000A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73" authorId="0" shapeId="0" xr:uid="{00000000-0006-0000-1800-00000B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
</t>
        </r>
      </text>
    </comment>
    <comment ref="AA77" authorId="0" shapeId="0" xr:uid="{00000000-0006-0000-1800-00000C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
</t>
        </r>
      </text>
    </comment>
    <comment ref="AA79" authorId="0" shapeId="0" xr:uid="{00000000-0006-0000-1800-00000D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בניכוי קדם מימון שהתקבל.</t>
        </r>
      </text>
    </comment>
    <comment ref="AA81" authorId="0" shapeId="0" xr:uid="{00000000-0006-0000-1800-00000E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87" authorId="0" shapeId="0" xr:uid="{00000000-0006-0000-1800-00000F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89" authorId="0" shapeId="0" xr:uid="{00000000-0006-0000-1800-000010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
</t>
        </r>
      </text>
    </comment>
    <comment ref="AA90" authorId="0" shapeId="0" xr:uid="{00000000-0006-0000-1800-000011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
</t>
        </r>
      </text>
    </comment>
    <comment ref="R92" authorId="0" shapeId="0" xr:uid="{00000000-0006-0000-1800-000012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וע. 10/2021</t>
        </r>
      </text>
    </comment>
    <comment ref="AA93" authorId="0" shapeId="0" xr:uid="{00000000-0006-0000-1800-000013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R94" authorId="0" shapeId="0" xr:uid="{00000000-0006-0000-1800-000014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וע. 10/2021</t>
        </r>
      </text>
    </comment>
    <comment ref="AA97" authorId="0" shapeId="0" xr:uid="{00000000-0006-0000-1800-000015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R99" authorId="0" shapeId="0" xr:uid="{00000000-0006-0000-1800-000016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וע. 10/2021</t>
        </r>
      </text>
    </comment>
    <comment ref="AA105" authorId="0" shapeId="0" xr:uid="{00000000-0006-0000-1800-000017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
</t>
        </r>
      </text>
    </comment>
    <comment ref="U110" authorId="0" shapeId="0" xr:uid="{00000000-0006-0000-1800-000018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לא נדרש תקציב ירד 10.76 מלשח</t>
        </r>
      </text>
    </comment>
    <comment ref="BA113" authorId="1" shapeId="0" xr:uid="{00000000-0006-0000-1800-000019000000}">
      <text>
        <r>
          <rPr>
            <b/>
            <sz val="9"/>
            <color indexed="81"/>
            <rFont val="Tahoma"/>
            <family val="2"/>
          </rPr>
          <t>Gizbarut-Karin Kaldron:</t>
        </r>
        <r>
          <rPr>
            <sz val="9"/>
            <color indexed="81"/>
            <rFont val="Tahoma"/>
            <family val="2"/>
          </rPr>
          <t xml:space="preserve">
נדחה ל 2023
</t>
        </r>
      </text>
    </comment>
    <comment ref="D121" authorId="0" shapeId="0" xr:uid="{00000000-0006-0000-1800-00001A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ככל שיוחלט על תקציב 2022, לעדכן את היקף הפרויקט. סרוק בתבר</t>
        </r>
      </text>
    </comment>
    <comment ref="AO131" authorId="0" shapeId="0" xr:uid="{00000000-0006-0000-1800-00001B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נוסף 26.9.21</t>
        </r>
      </text>
    </comment>
    <comment ref="AP131" authorId="0" shapeId="0" xr:uid="{00000000-0006-0000-1800-00001C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נוסף 26.9.21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Gizbarut-Orna Goldfriend</author>
    <author>Logistic-Tali Sherpsky</author>
  </authors>
  <commentList>
    <comment ref="AA6" authorId="0" shapeId="0" xr:uid="{00000000-0006-0000-1B00-000001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הלוואות=מימון ביניים .של העירייה. </t>
        </r>
      </text>
    </comment>
    <comment ref="AA23" authorId="0" shapeId="0" xr:uid="{00000000-0006-0000-1B00-000002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הגנת הסביבה</t>
        </r>
      </text>
    </comment>
    <comment ref="AA24" authorId="0" shapeId="0" xr:uid="{00000000-0006-0000-1B00-000003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26" authorId="0" shapeId="0" xr:uid="{00000000-0006-0000-1B00-000004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הועדה החקלאית</t>
        </r>
      </text>
    </comment>
    <comment ref="AA27" authorId="0" shapeId="0" xr:uid="{00000000-0006-0000-1B00-000005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הגנת הסביבה. הקטנת תקציב לפי ביצוע.</t>
        </r>
      </text>
    </comment>
    <comment ref="AA48" authorId="0" shapeId="0" xr:uid="{00000000-0006-0000-1B00-000006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AA64" authorId="0" shapeId="0" xr:uid="{00000000-0006-0000-1B00-000007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A82" authorId="0" shapeId="0" xr:uid="{00000000-0006-0000-1B00-000008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הרשאה  3 יבילים</t>
        </r>
      </text>
    </comment>
    <comment ref="AA99" authorId="0" shapeId="0" xr:uid="{00000000-0006-0000-1B00-000009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הרשאה ראשונים 2021/25/011</t>
        </r>
      </text>
    </comment>
    <comment ref="AA103" authorId="1" shapeId="0" xr:uid="{00000000-0006-0000-1B00-00000A000000}">
      <text>
        <r>
          <rPr>
            <b/>
            <sz val="9"/>
            <color indexed="81"/>
            <rFont val="Tahoma"/>
            <family val="2"/>
          </rPr>
          <t>Logistic-Tali Sherpsky:</t>
        </r>
        <r>
          <rPr>
            <sz val="9"/>
            <color indexed="81"/>
            <rFont val="Tahoma"/>
            <family val="2"/>
          </rPr>
          <t xml:space="preserve">
משרד התחבורה</t>
        </r>
      </text>
    </comment>
    <comment ref="D107" authorId="0" shapeId="0" xr:uid="{00000000-0006-0000-1B00-00000B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החלטת ראה"ע</t>
        </r>
      </text>
    </comment>
    <comment ref="AA109" authorId="0" shapeId="0" xr:uid="{00000000-0006-0000-1B00-00000C000000}">
      <text>
        <r>
          <rPr>
            <b/>
            <sz val="9"/>
            <color indexed="81"/>
            <rFont val="Tahoma"/>
            <family val="2"/>
          </rPr>
          <t>Gizbarut-Orna Goldfriend: מ. הגנת הסביבה</t>
        </r>
      </text>
    </comment>
    <comment ref="AA110" authorId="0" shapeId="0" xr:uid="{00000000-0006-0000-1B00-00000D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A111" authorId="0" shapeId="0" xr:uid="{00000000-0006-0000-1B00-00000E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A112" authorId="0" shapeId="0" xr:uid="{00000000-0006-0000-1B00-00000F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A113" authorId="0" shapeId="0" xr:uid="{00000000-0006-0000-1B00-000010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A120" authorId="0" shapeId="0" xr:uid="{00000000-0006-0000-1B00-000011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AA123" authorId="0" shapeId="0" xr:uid="{00000000-0006-0000-1B00-000012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AA126" authorId="0" shapeId="0" xr:uid="{00000000-0006-0000-1B00-000013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הלוואות=מימון ביניים .של העירייה.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Gizbarut-Orna Goldfriend</author>
    <author>Logistic-Tali Sherpsky</author>
  </authors>
  <commentList>
    <comment ref="AA6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הלוואות=מימון ביניים .של העירייה. </t>
        </r>
      </text>
    </comment>
    <comment ref="AA23" authorId="0" shapeId="0" xr:uid="{00000000-0006-0000-1C00-000002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הגנת הסביבה</t>
        </r>
      </text>
    </comment>
    <comment ref="AA24" authorId="0" shapeId="0" xr:uid="{00000000-0006-0000-1C00-000003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26" authorId="0" shapeId="0" xr:uid="{00000000-0006-0000-1C00-000004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הועדה החקלאית</t>
        </r>
      </text>
    </comment>
    <comment ref="AA27" authorId="0" shapeId="0" xr:uid="{00000000-0006-0000-1C00-000005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הגנת הסביבה. הקטנת תקציב לפי ביצוע.</t>
        </r>
      </text>
    </comment>
    <comment ref="AA48" authorId="0" shapeId="0" xr:uid="{00000000-0006-0000-1C00-000006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AA64" authorId="0" shapeId="0" xr:uid="{00000000-0006-0000-1C00-000007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A82" authorId="0" shapeId="0" xr:uid="{00000000-0006-0000-1C00-000008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הרשאה  3 יבילים</t>
        </r>
      </text>
    </comment>
    <comment ref="AA99" authorId="0" shapeId="0" xr:uid="{00000000-0006-0000-1C00-000009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הרשאה ראשונים 2021/25/011</t>
        </r>
      </text>
    </comment>
    <comment ref="AA103" authorId="1" shapeId="0" xr:uid="{00000000-0006-0000-1C00-00000A000000}">
      <text>
        <r>
          <rPr>
            <b/>
            <sz val="9"/>
            <color indexed="81"/>
            <rFont val="Tahoma"/>
            <family val="2"/>
          </rPr>
          <t>Logistic-Tali Sherpsky:</t>
        </r>
        <r>
          <rPr>
            <sz val="9"/>
            <color indexed="81"/>
            <rFont val="Tahoma"/>
            <family val="2"/>
          </rPr>
          <t xml:space="preserve">
משרד התחבורה</t>
        </r>
      </text>
    </comment>
    <comment ref="D107" authorId="0" shapeId="0" xr:uid="{00000000-0006-0000-1C00-00000B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החלטת ראה"ע</t>
        </r>
      </text>
    </comment>
    <comment ref="AA109" authorId="0" shapeId="0" xr:uid="{00000000-0006-0000-1C00-00000C000000}">
      <text>
        <r>
          <rPr>
            <b/>
            <sz val="9"/>
            <color indexed="81"/>
            <rFont val="Tahoma"/>
            <family val="2"/>
          </rPr>
          <t>Gizbarut-Orna Goldfriend: מ. הגנת הסביבה</t>
        </r>
      </text>
    </comment>
    <comment ref="AA110" authorId="0" shapeId="0" xr:uid="{00000000-0006-0000-1C00-00000D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A111" authorId="0" shapeId="0" xr:uid="{00000000-0006-0000-1C00-00000E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A112" authorId="0" shapeId="0" xr:uid="{00000000-0006-0000-1C00-00000F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A113" authorId="0" shapeId="0" xr:uid="{00000000-0006-0000-1C00-000010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AA120" authorId="0" shapeId="0" xr:uid="{00000000-0006-0000-1C00-000011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AA123" authorId="0" shapeId="0" xr:uid="{00000000-0006-0000-1C00-000012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AA126" authorId="0" shapeId="0" xr:uid="{00000000-0006-0000-1C00-000013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הלוואות=מימון ביניים .של העירייה.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Gizbarut-Orna Goldfriend</author>
    <author>Logistic-Tali Sherpsky</author>
    <author>Gizbarut-Karin Kaldron</author>
  </authors>
  <commentList>
    <comment ref="E5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תוקן 22.9.21</t>
        </r>
      </text>
    </comment>
    <comment ref="AA9" authorId="1" shapeId="0" xr:uid="{00000000-0006-0000-1D00-000002000000}">
      <text>
        <r>
          <rPr>
            <b/>
            <sz val="9"/>
            <color indexed="81"/>
            <rFont val="Tahoma"/>
            <family val="2"/>
          </rPr>
          <t>Logistic-Tali Sherpsky:</t>
        </r>
        <r>
          <rPr>
            <sz val="9"/>
            <color indexed="81"/>
            <rFont val="Tahoma"/>
            <family val="2"/>
          </rPr>
          <t xml:space="preserve">
משרד התחבורה</t>
        </r>
      </text>
    </comment>
    <comment ref="N12" authorId="1" shapeId="0" xr:uid="{00000000-0006-0000-1D00-000003000000}">
      <text>
        <r>
          <rPr>
            <b/>
            <sz val="9"/>
            <color indexed="81"/>
            <rFont val="Tahoma"/>
            <family val="2"/>
          </rPr>
          <t>Logistic-Tali Sherpsky:</t>
        </r>
        <r>
          <rPr>
            <sz val="9"/>
            <color indexed="81"/>
            <rFont val="Tahoma"/>
            <family val="2"/>
          </rPr>
          <t xml:space="preserve">
כולל מקלוט חכם</t>
        </r>
      </text>
    </comment>
    <comment ref="AR12" authorId="2" shapeId="0" xr:uid="{00000000-0006-0000-1D00-000004000000}">
      <text>
        <r>
          <rPr>
            <b/>
            <sz val="9"/>
            <color indexed="81"/>
            <rFont val="Tahoma"/>
            <family val="2"/>
          </rPr>
          <t>Gizbarut-Karin Kaldron:</t>
        </r>
        <r>
          <rPr>
            <sz val="9"/>
            <color indexed="81"/>
            <rFont val="Tahoma"/>
            <family val="2"/>
          </rPr>
          <t xml:space="preserve">
פריסה רב שנתית
</t>
        </r>
      </text>
    </comment>
    <comment ref="G14" authorId="0" shapeId="0" xr:uid="{00000000-0006-0000-1D00-000005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הזרמות תקציב יולי אוגוסט </t>
        </r>
      </text>
    </comment>
    <comment ref="N17" authorId="1" shapeId="0" xr:uid="{00000000-0006-0000-1D00-000006000000}">
      <text>
        <r>
          <rPr>
            <b/>
            <sz val="9"/>
            <color indexed="81"/>
            <rFont val="Tahoma"/>
            <family val="2"/>
          </rPr>
          <t>Logistic-Tali Sherpsky:</t>
        </r>
        <r>
          <rPr>
            <sz val="9"/>
            <color indexed="81"/>
            <rFont val="Tahoma"/>
            <family val="2"/>
          </rPr>
          <t xml:space="preserve">
לקבל אומדן מטל</t>
        </r>
      </text>
    </comment>
    <comment ref="G20" authorId="0" shapeId="0" xr:uid="{00000000-0006-0000-1D00-000007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תקציב פרטני אוגוסט</t>
        </r>
      </text>
    </comment>
    <comment ref="E24" authorId="0" shapeId="0" xr:uid="{00000000-0006-0000-1D00-000008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אושר במועצה 12.10.21</t>
        </r>
      </text>
    </comment>
    <comment ref="N27" authorId="1" shapeId="0" xr:uid="{00000000-0006-0000-1D00-000009000000}">
      <text>
        <r>
          <rPr>
            <b/>
            <sz val="9"/>
            <color indexed="81"/>
            <rFont val="Tahoma"/>
            <family val="2"/>
          </rPr>
          <t>Logistic-Tali Sherpsky:</t>
        </r>
        <r>
          <rPr>
            <sz val="9"/>
            <color indexed="81"/>
            <rFont val="Tahoma"/>
            <family val="2"/>
          </rPr>
          <t xml:space="preserve">
לוודא שהאומדן כולל תשתית חשמל ל-24 שעות</t>
        </r>
      </text>
    </comment>
    <comment ref="N29" authorId="0" shapeId="0" xr:uid="{00000000-0006-0000-1D00-00000A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הסכום עודכן</t>
        </r>
      </text>
    </comment>
    <comment ref="AR29" authorId="2" shapeId="0" xr:uid="{00000000-0006-0000-1D00-00000B000000}">
      <text>
        <r>
          <rPr>
            <b/>
            <sz val="9"/>
            <color indexed="81"/>
            <rFont val="Tahoma"/>
            <family val="2"/>
          </rPr>
          <t>Gizbarut-Karin Kaldron:</t>
        </r>
        <r>
          <rPr>
            <sz val="9"/>
            <color indexed="81"/>
            <rFont val="Tahoma"/>
            <family val="2"/>
          </rPr>
          <t xml:space="preserve">
מותנה בהצגת תכנית וסדר עדיפות
</t>
        </r>
      </text>
    </comment>
    <comment ref="N30" authorId="0" shapeId="0" xr:uid="{00000000-0006-0000-1D00-00000C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הסכום עודכן</t>
        </r>
      </text>
    </comment>
    <comment ref="N31" authorId="0" shapeId="0" xr:uid="{00000000-0006-0000-1D00-00000D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הסכום עודכן</t>
        </r>
      </text>
    </comment>
    <comment ref="G55" authorId="0" shapeId="0" xr:uid="{00000000-0006-0000-1D00-00000E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פרטני אוגוסט</t>
        </r>
      </text>
    </comment>
    <comment ref="N55" authorId="1" shapeId="0" xr:uid="{00000000-0006-0000-1D00-00000F000000}">
      <text>
        <r>
          <rPr>
            <b/>
            <sz val="9"/>
            <color indexed="81"/>
            <rFont val="Tahoma"/>
            <family val="2"/>
          </rPr>
          <t>Logistic-Tali Sherpsky:</t>
        </r>
        <r>
          <rPr>
            <sz val="9"/>
            <color indexed="81"/>
            <rFont val="Tahoma"/>
            <family val="2"/>
          </rPr>
          <t xml:space="preserve">
לוודא מול רוני האם נדרש תקתיב שנתי להגנת מצוקי הים ואם כן באיזה סכום</t>
        </r>
      </text>
    </comment>
    <comment ref="AA57" authorId="0" shapeId="0" xr:uid="{00000000-0006-0000-1D00-000010000000}">
      <text>
        <r>
          <rPr>
            <b/>
            <sz val="9"/>
            <color indexed="81"/>
            <rFont val="Tahoma"/>
            <family val="2"/>
          </rPr>
          <t>Gizbarut-Orna Goldfriend: מ. הגנת הסביבה</t>
        </r>
      </text>
    </comment>
    <comment ref="AA58" authorId="0" shapeId="0" xr:uid="{00000000-0006-0000-1D00-000011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N63" authorId="0" shapeId="0" xr:uid="{00000000-0006-0000-1D00-000012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נתון שהיה בטור הקודם. </t>
        </r>
      </text>
    </comment>
    <comment ref="AA65" authorId="0" shapeId="0" xr:uid="{00000000-0006-0000-1D00-000013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הלוואות=מימון ביניים .של העירייה. </t>
        </r>
      </text>
    </comment>
    <comment ref="AA66" authorId="0" shapeId="0" xr:uid="{00000000-0006-0000-1D00-000014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הלוואות=מימון ביניים .של העירייה. </t>
        </r>
      </text>
    </comment>
    <comment ref="AA69" authorId="0" shapeId="0" xr:uid="{00000000-0006-0000-1D00-000015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70" authorId="0" shapeId="0" xr:uid="{00000000-0006-0000-1D00-000016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מימון אחרים 26.9.21</t>
        </r>
      </text>
    </comment>
    <comment ref="N73" authorId="1" shapeId="0" xr:uid="{00000000-0006-0000-1D00-000017000000}">
      <text>
        <r>
          <rPr>
            <b/>
            <sz val="9"/>
            <color indexed="81"/>
            <rFont val="Tahoma"/>
            <family val="2"/>
          </rPr>
          <t>Logistic-Tali Sherpsky:</t>
        </r>
        <r>
          <rPr>
            <sz val="9"/>
            <color indexed="81"/>
            <rFont val="Tahoma"/>
            <family val="2"/>
          </rPr>
          <t xml:space="preserve">
לקבל אומדן מדניאל. עודכן</t>
        </r>
      </text>
    </comment>
    <comment ref="G75" authorId="0" shapeId="0" xr:uid="{00000000-0006-0000-1D00-000018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כולל הזרמת תקציב יולי</t>
        </r>
      </text>
    </comment>
    <comment ref="H76" authorId="0" shapeId="0" xr:uid="{00000000-0006-0000-1D00-000019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22.9.21</t>
        </r>
      </text>
    </comment>
    <comment ref="I76" authorId="0" shapeId="0" xr:uid="{00000000-0006-0000-1D00-00001A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22.9.21</t>
        </r>
      </text>
    </comment>
    <comment ref="J76" authorId="0" shapeId="0" xr:uid="{00000000-0006-0000-1D00-00001B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22.9.21</t>
        </r>
      </text>
    </comment>
    <comment ref="G79" authorId="0" shapeId="0" xr:uid="{00000000-0006-0000-1D00-00001C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תקציב אוגוסט</t>
        </r>
      </text>
    </comment>
    <comment ref="N79" authorId="1" shapeId="0" xr:uid="{00000000-0006-0000-1D00-00001D000000}">
      <text>
        <r>
          <rPr>
            <b/>
            <sz val="9"/>
            <color indexed="81"/>
            <rFont val="Tahoma"/>
            <family val="2"/>
          </rPr>
          <t>Logistic-Tali Sherpsky:</t>
        </r>
        <r>
          <rPr>
            <sz val="9"/>
            <color indexed="81"/>
            <rFont val="Tahoma"/>
            <family val="2"/>
          </rPr>
          <t xml:space="preserve">
לקבל אומדן מדניאל - מתוכנן שיפוץ ו- 2 . מעליות. עודכן הסכום</t>
        </r>
      </text>
    </comment>
    <comment ref="Q79" authorId="1" shapeId="0" xr:uid="{00000000-0006-0000-1D00-00001E000000}">
      <text>
        <r>
          <rPr>
            <b/>
            <sz val="9"/>
            <color indexed="81"/>
            <rFont val="Tahoma"/>
            <family val="2"/>
          </rPr>
          <t>Logistic-Tali Sherpsky:</t>
        </r>
        <r>
          <rPr>
            <sz val="9"/>
            <color indexed="81"/>
            <rFont val="Tahoma"/>
            <family val="2"/>
          </rPr>
          <t xml:space="preserve">
יידרש עוד 500 אלף.
ארנה : הוזרם תקציב  יולי אוגוסט
</t>
        </r>
      </text>
    </comment>
    <comment ref="R79" authorId="1" shapeId="0" xr:uid="{00000000-0006-0000-1D00-00001F000000}">
      <text>
        <r>
          <rPr>
            <b/>
            <sz val="9"/>
            <color indexed="81"/>
            <rFont val="Tahoma"/>
            <family val="2"/>
          </rPr>
          <t>Logistic-Tali Sherpsky:</t>
        </r>
        <r>
          <rPr>
            <sz val="9"/>
            <color indexed="81"/>
            <rFont val="Tahoma"/>
            <family val="2"/>
          </rPr>
          <t xml:space="preserve">
יוקטן השנה בעוד 2 מיליון
</t>
        </r>
      </text>
    </comment>
    <comment ref="AA79" authorId="0" shapeId="0" xr:uid="{00000000-0006-0000-1D00-000020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  <comment ref="N84" authorId="1" shapeId="0" xr:uid="{00000000-0006-0000-1D00-000021000000}">
      <text>
        <r>
          <rPr>
            <b/>
            <sz val="9"/>
            <color indexed="81"/>
            <rFont val="Tahoma"/>
            <family val="2"/>
          </rPr>
          <t>Logistic-Tali Sherpsky:</t>
        </r>
        <r>
          <rPr>
            <sz val="9"/>
            <color indexed="81"/>
            <rFont val="Tahoma"/>
            <family val="2"/>
          </rPr>
          <t xml:space="preserve">
לברר עם יאיר וליאור את. הצורך. עודכן הסכום</t>
        </r>
      </text>
    </comment>
    <comment ref="E85" authorId="0" shapeId="0" xr:uid="{00000000-0006-0000-1D00-000022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22.9.21. עודכן אישור מועצה 12.10.21</t>
        </r>
      </text>
    </comment>
    <comment ref="G85" authorId="0" shapeId="0" xr:uid="{00000000-0006-0000-1D00-000023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פרטני יולי</t>
        </r>
      </text>
    </comment>
    <comment ref="H85" authorId="0" shapeId="0" xr:uid="{00000000-0006-0000-1D00-000024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עדכון 22.9.21</t>
        </r>
      </text>
    </comment>
    <comment ref="I85" authorId="0" shapeId="0" xr:uid="{00000000-0006-0000-1D00-000025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עדכון 22.9.21</t>
        </r>
      </text>
    </comment>
    <comment ref="J85" authorId="0" shapeId="0" xr:uid="{00000000-0006-0000-1D00-000026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עדכון 22.9.21</t>
        </r>
      </text>
    </comment>
    <comment ref="E86" authorId="0" shapeId="0" xr:uid="{00000000-0006-0000-1D00-000027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gusfi nugmv 12.10.21</t>
        </r>
      </text>
    </comment>
    <comment ref="AA86" authorId="0" shapeId="0" xr:uid="{00000000-0006-0000-1D00-000028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הרשאה  3 יבילים</t>
        </r>
      </text>
    </comment>
    <comment ref="N87" authorId="1" shapeId="0" xr:uid="{00000000-0006-0000-1D00-000029000000}">
      <text>
        <r>
          <rPr>
            <b/>
            <sz val="9"/>
            <color indexed="81"/>
            <rFont val="Tahoma"/>
            <family val="2"/>
          </rPr>
          <t>Logistic-Tali Sherpsky:</t>
        </r>
        <r>
          <rPr>
            <sz val="9"/>
            <color indexed="81"/>
            <rFont val="Tahoma"/>
            <family val="2"/>
          </rPr>
          <t xml:space="preserve">
ממתין לאומדן משמואל. עודכן הסכום</t>
        </r>
      </text>
    </comment>
    <comment ref="N89" authorId="1" shapeId="0" xr:uid="{00000000-0006-0000-1D00-00002A000000}">
      <text>
        <r>
          <rPr>
            <b/>
            <sz val="9"/>
            <color indexed="81"/>
            <rFont val="Tahoma"/>
            <family val="2"/>
          </rPr>
          <t>Logistic-Tali Sherpsky:</t>
        </r>
        <r>
          <rPr>
            <sz val="9"/>
            <color indexed="81"/>
            <rFont val="Tahoma"/>
            <family val="2"/>
          </rPr>
          <t xml:space="preserve">
אומדן מדניאל. עודכן התקציב</t>
        </r>
      </text>
    </comment>
    <comment ref="G93" authorId="0" shapeId="0" xr:uid="{00000000-0006-0000-1D00-00002B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פרטני יולי</t>
        </r>
      </text>
    </comment>
    <comment ref="A94" authorId="0" shapeId="0" xr:uid="{00000000-0006-0000-1D00-00002C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לא מוספר</t>
        </r>
      </text>
    </comment>
    <comment ref="AA94" authorId="0" shapeId="0" xr:uid="{00000000-0006-0000-1D00-00002D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הרשאה ראשונים 2021/25/011</t>
        </r>
      </text>
    </comment>
    <comment ref="AR98" authorId="2" shapeId="0" xr:uid="{00000000-0006-0000-1D00-00002E000000}">
      <text>
        <r>
          <rPr>
            <b/>
            <sz val="9"/>
            <color indexed="81"/>
            <rFont val="Tahoma"/>
            <family val="2"/>
          </rPr>
          <t>Gizbarut-Karin Kaldron:</t>
        </r>
        <r>
          <rPr>
            <sz val="9"/>
            <color indexed="81"/>
            <rFont val="Tahoma"/>
            <family val="2"/>
          </rPr>
          <t xml:space="preserve">
אומדן כולל 1 מ' שח לתנכון וביצוע
</t>
        </r>
      </text>
    </comment>
    <comment ref="G104" authorId="0" shapeId="0" xr:uid="{00000000-0006-0000-1D00-00002F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פרטני יולי</t>
        </r>
      </text>
    </comment>
    <comment ref="AR105" authorId="2" shapeId="0" xr:uid="{00000000-0006-0000-1D00-000030000000}">
      <text>
        <r>
          <rPr>
            <b/>
            <sz val="9"/>
            <color indexed="81"/>
            <rFont val="Tahoma"/>
            <family val="2"/>
          </rPr>
          <t>Gizbarut-Karin Kaldron:</t>
        </r>
        <r>
          <rPr>
            <sz val="9"/>
            <color indexed="81"/>
            <rFont val="Tahoma"/>
            <family val="2"/>
          </rPr>
          <t xml:space="preserve">
לבדיקת מנכל חלופות, יועץ חיצוני
</t>
        </r>
      </text>
    </comment>
    <comment ref="E110" authorId="0" shapeId="0" xr:uid="{00000000-0006-0000-1D00-000031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וע. 24.10.21</t>
        </r>
      </text>
    </comment>
    <comment ref="AR112" authorId="2" shapeId="0" xr:uid="{00000000-0006-0000-1D00-000032000000}">
      <text>
        <r>
          <rPr>
            <b/>
            <sz val="9"/>
            <color indexed="81"/>
            <rFont val="Tahoma"/>
            <family val="2"/>
          </rPr>
          <t>Gizbarut-Karin Kaldron:</t>
        </r>
        <r>
          <rPr>
            <sz val="9"/>
            <color indexed="81"/>
            <rFont val="Tahoma"/>
            <family val="2"/>
          </rPr>
          <t xml:space="preserve">
הצגת תוכנית
</t>
        </r>
      </text>
    </comment>
    <comment ref="N113" authorId="0" shapeId="0" xr:uid="{00000000-0006-0000-1D00-000033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עפ"י הדיון 3.5 מלשח</t>
        </r>
      </text>
    </comment>
    <comment ref="Q121" authorId="0" shapeId="0" xr:uid="{00000000-0006-0000-1D00-000034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הקטנת תקציב פרטני</t>
        </r>
      </text>
    </comment>
    <comment ref="S121" authorId="0" shapeId="0" xr:uid="{00000000-0006-0000-1D00-000035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נדרש הקטנת תקציב פרטני</t>
        </r>
      </text>
    </comment>
    <comment ref="AA122" authorId="0" shapeId="0" xr:uid="{00000000-0006-0000-1D00-000036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הגנת הסביבה. הקטנת תקציב לפי ביצוע.</t>
        </r>
      </text>
    </comment>
    <comment ref="AR123" authorId="0" shapeId="0" xr:uid="{00000000-0006-0000-1D00-000037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להעביר למרחב הציבורי בסעיף נפרד ולסגור את התבר</t>
        </r>
      </text>
    </comment>
    <comment ref="AR127" authorId="2" shapeId="0" xr:uid="{00000000-0006-0000-1D00-000038000000}">
      <text>
        <r>
          <rPr>
            <b/>
            <sz val="9"/>
            <color indexed="81"/>
            <rFont val="Tahoma"/>
            <family val="2"/>
          </rPr>
          <t>Gizbarut-Karin Kaldron:</t>
        </r>
        <r>
          <rPr>
            <sz val="9"/>
            <color indexed="81"/>
            <rFont val="Tahoma"/>
            <family val="2"/>
          </rPr>
          <t xml:space="preserve">
לדיון מנכל הצגת ת.ע.
</t>
        </r>
      </text>
    </comment>
    <comment ref="G132" authorId="0" shapeId="0" xr:uid="{00000000-0006-0000-1D00-000039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הזרמות יולי אוגוסט</t>
        </r>
      </text>
    </comment>
    <comment ref="M132" authorId="0" shapeId="0" xr:uid="{00000000-0006-0000-1D00-00003A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תוקן . נתון שגוי</t>
        </r>
      </text>
    </comment>
    <comment ref="N136" authorId="0" shapeId="0" xr:uid="{00000000-0006-0000-1D00-00003B00000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עודכן הסכום</t>
        </r>
      </text>
    </comment>
  </commentList>
</comments>
</file>

<file path=xl/sharedStrings.xml><?xml version="1.0" encoding="utf-8"?>
<sst xmlns="http://schemas.openxmlformats.org/spreadsheetml/2006/main" count="5500" uniqueCount="2503">
  <si>
    <t>מס' סידורי</t>
  </si>
  <si>
    <t>מס' תב"ר</t>
  </si>
  <si>
    <t>שם תב"ר</t>
  </si>
  <si>
    <t>אומדן כולל לפרוקט</t>
  </si>
  <si>
    <t>אומדן מאושר במועצה</t>
  </si>
  <si>
    <t>תוספת לאומדן לאישור המועצה</t>
  </si>
  <si>
    <t xml:space="preserve">תקציב מאושר </t>
  </si>
  <si>
    <t>ביצוע בפועל</t>
  </si>
  <si>
    <t>שריון מערך הרכש</t>
  </si>
  <si>
    <t>שריון מערך חוזים</t>
  </si>
  <si>
    <t>סה"כ שריון התחייבויות</t>
  </si>
  <si>
    <t>סה"כ ביצוע</t>
  </si>
  <si>
    <t>יתרת תקציב</t>
  </si>
  <si>
    <t>קרן עבודות פיתוח</t>
  </si>
  <si>
    <t>קרן עודפי תקציב רגיל</t>
  </si>
  <si>
    <t>קרן רכוש</t>
  </si>
  <si>
    <t>פרק תב"ר</t>
  </si>
  <si>
    <t>תכנון מתחם הר' 2200</t>
  </si>
  <si>
    <t>תב"עות קטנות</t>
  </si>
  <si>
    <t>תמ"א 38</t>
  </si>
  <si>
    <t>תכנון פרויקטים פינוי בינוי</t>
  </si>
  <si>
    <t>התחדשות עירונית</t>
  </si>
  <si>
    <t>פינוי בינוי מעונות שרה</t>
  </si>
  <si>
    <t>מתחם הבריגדה מתחם הר' 1960</t>
  </si>
  <si>
    <t>מחלף הרב מכר</t>
  </si>
  <si>
    <t>פיתוח מתחם אלוני ים הר' 2030</t>
  </si>
  <si>
    <t>רח' ז'בוטינסקי אלתרמן הבריגדה</t>
  </si>
  <si>
    <t>פיתוח מתחם "מרינה לי"</t>
  </si>
  <si>
    <t>מרכז תחבורה חדש</t>
  </si>
  <si>
    <t>יעודי קרקע -מפת בסיס</t>
  </si>
  <si>
    <t>עבודות ניקוז בעיר</t>
  </si>
  <si>
    <t>עבודות פיתוח ותשתיות קטנות</t>
  </si>
  <si>
    <t>פרויקטים תחבורתיים בעיר</t>
  </si>
  <si>
    <t>תכנונים כלליים</t>
  </si>
  <si>
    <t>השלמת מבנה העיריה החדש</t>
  </si>
  <si>
    <t>מתחם נוף ים פיתוח</t>
  </si>
  <si>
    <t>מתחם יהודה המכבי וזוהר טל</t>
  </si>
  <si>
    <t>ליווי תשתיות לאומיות</t>
  </si>
  <si>
    <t>פתוח קטעי רח' דרך ירושלים גולומב</t>
  </si>
  <si>
    <t>רחוב בר כוכבא</t>
  </si>
  <si>
    <t>העתקות פרויקטים שונים</t>
  </si>
  <si>
    <t>חיבור גשר הולכי רגל כביש 20</t>
  </si>
  <si>
    <t>מערכת בקרת רמזורים</t>
  </si>
  <si>
    <t>החלפת מדרכות</t>
  </si>
  <si>
    <t>מתחם הגאון מוילנא חתם סופר</t>
  </si>
  <si>
    <t>רח' גבעת החלומות פיתוח</t>
  </si>
  <si>
    <t>ספורטק שלב ג'</t>
  </si>
  <si>
    <t>הוצאות בקשר עם תביעות סעיף 197</t>
  </si>
  <si>
    <t>פיתוח פארק שלב ג'</t>
  </si>
  <si>
    <t>הוצאות אכיפה-דירות נופש במרינה</t>
  </si>
  <si>
    <t>תכנון ייעוץ הנדסי "סל"</t>
  </si>
  <si>
    <t>שיפוץ מבני דת ציבוריים</t>
  </si>
  <si>
    <t>עבודות שונות בפארק הרצליה</t>
  </si>
  <si>
    <t>שדרוג מקלטים ציבוריים</t>
  </si>
  <si>
    <t>גידור שיפוץ גדרות מ.ספורט</t>
  </si>
  <si>
    <t>הצטידות כיתות חדשות בי"ס</t>
  </si>
  <si>
    <t>מדידות נכסים לחיוב היטלי פיתוח</t>
  </si>
  <si>
    <t>בדיקות חיוב להיטלי פיתוח</t>
  </si>
  <si>
    <t>הפרשה בגין תביעות תלויות</t>
  </si>
  <si>
    <t>הלוואה לטובת אוצר המדינה</t>
  </si>
  <si>
    <t>יער עירוני וגינות קהילתיות</t>
  </si>
  <si>
    <t>הטמעת עקרונות הקיימות בחינוך</t>
  </si>
  <si>
    <t>שדרוג מערכות הליבה</t>
  </si>
  <si>
    <t>שיפוץ דירות עמידר</t>
  </si>
  <si>
    <t>חזיתות בתים שיפוץ</t>
  </si>
  <si>
    <t>פצוי והפקעה ב-6525/6 הר' 1704</t>
  </si>
  <si>
    <t>בית הרמלין-חלקה 92-גוש 6592</t>
  </si>
  <si>
    <t>פיצויי הפקעה - פארק הבאסה</t>
  </si>
  <si>
    <t>עלויות רכישת מקרקעין</t>
  </si>
  <si>
    <t>פיצויי הפקעה הר'1941 פארק הבאסה</t>
  </si>
  <si>
    <t>תביעה פינוי גוש 6521 רחמים</t>
  </si>
  <si>
    <t>הקמת גינות לכלבים</t>
  </si>
  <si>
    <t>סככות הצללה לגני משחקים</t>
  </si>
  <si>
    <t>נטיעת עצים ברחבי העיר</t>
  </si>
  <si>
    <t>סקר עצים מסוכנים ברחבי העיר</t>
  </si>
  <si>
    <t>פיתוח מתחם המסילה ודב הוז</t>
  </si>
  <si>
    <t>בית העלמין החדש</t>
  </si>
  <si>
    <t>עבודות פיתוח קטנות</t>
  </si>
  <si>
    <t>מתחם זרובבל</t>
  </si>
  <si>
    <t>כצלנסון-פיתוח</t>
  </si>
  <si>
    <t>עבודות פינוי ומיחזור הר' 1903</t>
  </si>
  <si>
    <t>סה"כ החברה לפיתוח הרצליה</t>
  </si>
  <si>
    <t>תב"ע חוף הים</t>
  </si>
  <si>
    <t>קע"פ</t>
  </si>
  <si>
    <t>אחרים</t>
  </si>
  <si>
    <t>חופים</t>
  </si>
  <si>
    <t>איכות הסביבה</t>
  </si>
  <si>
    <t>מרכיבי העלות</t>
  </si>
  <si>
    <t>מקורות מימון לפרויקט</t>
  </si>
  <si>
    <t>אומדן כולל לפרויקט</t>
  </si>
  <si>
    <t>תוספת לאומדן  לאישור מועצה</t>
  </si>
  <si>
    <t xml:space="preserve">יתרת תקציב 
</t>
  </si>
  <si>
    <t xml:space="preserve">אגף ש.א.י.פ.ה </t>
  </si>
  <si>
    <t>החברה לפיתוח התיירות</t>
  </si>
  <si>
    <t>סה"כ</t>
  </si>
  <si>
    <t>קרן עודפי ת.ר.</t>
  </si>
  <si>
    <t xml:space="preserve">יתרת מקורות מימון </t>
  </si>
  <si>
    <t>הפרש עודף (חוסר)</t>
  </si>
  <si>
    <t xml:space="preserve">תקציב מאושר  </t>
  </si>
  <si>
    <t>צפון הרצליה הר' 2035</t>
  </si>
  <si>
    <t>פיתוח מתחם המכללות הר' 1920/1</t>
  </si>
  <si>
    <t>פתוח מתחם הר' 1972 תחנה מרכזית</t>
  </si>
  <si>
    <t>שיקום האגם בפארק</t>
  </si>
  <si>
    <t>החברה לפיתוח התיירות הרצליה</t>
  </si>
  <si>
    <t>כללי</t>
  </si>
  <si>
    <t>שיפוץ ובינוי נכסים עירוניים כולל תשתיות</t>
  </si>
  <si>
    <t>תב"ע קרית השחקים</t>
  </si>
  <si>
    <t>שביל אופניים הרצליה-ת"א הפקעות</t>
  </si>
  <si>
    <t>שיפוץ המקווה העירוני</t>
  </si>
  <si>
    <t>הקמת גינות בי"ס קהילתיות</t>
  </si>
  <si>
    <t>מתנ"ס נווה ישראל</t>
  </si>
  <si>
    <t>פינוי בינוי מול התחנה</t>
  </si>
  <si>
    <t>פיתוח מתחם אולפני הרצליה</t>
  </si>
  <si>
    <t>קו ניקוז שער הים</t>
  </si>
  <si>
    <t>פיתוח מתחם הר' 1903</t>
  </si>
  <si>
    <t>שימור אתרים</t>
  </si>
  <si>
    <t xml:space="preserve">פינוי בינוי צומת כדורי </t>
  </si>
  <si>
    <t>שצ"פ מערב קיר אקוסטי גליל ים ב'</t>
  </si>
  <si>
    <t>אולם ספורט חטיבת זאב</t>
  </si>
  <si>
    <t>חניונים הר'1900 -שינוי תב"ע</t>
  </si>
  <si>
    <t>פיתוח גליל ים ב'</t>
  </si>
  <si>
    <t>עבודות הרחבה התאמה איצטדיון</t>
  </si>
  <si>
    <t>פרויקטים קטנים רזרבה אגפית</t>
  </si>
  <si>
    <t>שיפוץ ותוספת בניה בי"ס בר אילן</t>
  </si>
  <si>
    <t>שיפוץ בי"ס מפתן ארז</t>
  </si>
  <si>
    <t>התקנת מעלית בי"ס שז"ר</t>
  </si>
  <si>
    <t>מע. תאורה LED ברחבי העיר</t>
  </si>
  <si>
    <t>הצטיידות גנ"י חדשים ח"ר,ח"מ</t>
  </si>
  <si>
    <t>תב"ע מרינה</t>
  </si>
  <si>
    <t>פרויקטים סביבתיים</t>
  </si>
  <si>
    <t>תוכנית שיווק והפרדת פסולת</t>
  </si>
  <si>
    <t>פיתוח חוף רחצה "חוף הכוכבים"</t>
  </si>
  <si>
    <t>פרויקט "הרצליה נקיה מאסבסט"</t>
  </si>
  <si>
    <t>פרויקט תכסיות וניתוח מרחבי</t>
  </si>
  <si>
    <t>אגף בטחון פיקוח וסדר ציבורי</t>
  </si>
  <si>
    <t>גן 3 כיתות 401 גליל ים ב'</t>
  </si>
  <si>
    <t>כיתות מעון וגן שטח 303 גליל ים א'</t>
  </si>
  <si>
    <t xml:space="preserve">חניון המוסכים-תכנון </t>
  </si>
  <si>
    <t>נגישות לאנשים עם מוגבלויות</t>
  </si>
  <si>
    <t>התאמות נגישות מוסדות חינוך</t>
  </si>
  <si>
    <t>שדרוג המרחב הציבורי</t>
  </si>
  <si>
    <t>הצטידות חדשה בי"ס לב טוב</t>
  </si>
  <si>
    <t>רכישת מיכלי אצירה לפסולת ומיחזור</t>
  </si>
  <si>
    <t>שילוט ברחבי העיר</t>
  </si>
  <si>
    <t>פיצויי הפקעה פטריאלי 6524/21,22</t>
  </si>
  <si>
    <t>תב"ע גשר קטן במרינה</t>
  </si>
  <si>
    <t>תכנון תב"ע כיכר דה שליט</t>
  </si>
  <si>
    <t>גשר מעל כביש 20</t>
  </si>
  <si>
    <t>גשר הולכי רגל מעל שבעת הכוכבים</t>
  </si>
  <si>
    <t xml:space="preserve">שיפוצים שונים מוס"ח </t>
  </si>
  <si>
    <t>מתחם גליל ים</t>
  </si>
  <si>
    <t xml:space="preserve">רכישת ציוד טיפול זיהום חוף ים </t>
  </si>
  <si>
    <t xml:space="preserve">ליווי "מהיר" לעיר </t>
  </si>
  <si>
    <t>שריון מערך רכש</t>
  </si>
  <si>
    <t xml:space="preserve">מתחם נוריות  </t>
  </si>
  <si>
    <t>בניית בי"ס ברחוב משה (ירוק)</t>
  </si>
  <si>
    <t>נגישות אקוסטית בי"ס</t>
  </si>
  <si>
    <t>ציפוי מגרשי ספורט</t>
  </si>
  <si>
    <t>תכנון תב"ע הסדרת ייעודי קרקע לפיתוח טיילת החוף</t>
  </si>
  <si>
    <t>בניה עצמית ליד המתחם הבינתחומי</t>
  </si>
  <si>
    <t>ü</t>
  </si>
  <si>
    <t>החברה לפיתוח הרצליה בע"מ</t>
  </si>
  <si>
    <t>אגף ת.ב.ל</t>
  </si>
  <si>
    <t>אגף ש.א.י.פ.ה</t>
  </si>
  <si>
    <t>הצבת קולרים ברחבי העיר</t>
  </si>
  <si>
    <t>רשות החופים</t>
  </si>
  <si>
    <t>סככות צל חוף הכוכבים 2017</t>
  </si>
  <si>
    <t>הכשרת חניון העוגן</t>
  </si>
  <si>
    <t xml:space="preserve">אגף חינוך </t>
  </si>
  <si>
    <t>3.6</t>
  </si>
  <si>
    <t>קרנות הרשות - צפי תנועה באלפי ₪</t>
  </si>
  <si>
    <t>תאור</t>
  </si>
  <si>
    <t>מקורות</t>
  </si>
  <si>
    <t>יתרה צפויה 1.1</t>
  </si>
  <si>
    <t xml:space="preserve">היטלי השבחה ופיתוח שנה שוטפת </t>
  </si>
  <si>
    <t xml:space="preserve">העמקת גביה מהיטלי פיתוח שנה שוטפת </t>
  </si>
  <si>
    <t>סה"כ מקורות</t>
  </si>
  <si>
    <t>שימושים</t>
  </si>
  <si>
    <t>השתתפות בפרעון מילוות מים,ביוב ופיתוח</t>
  </si>
  <si>
    <t>השתתפות בשכ"ע הנדסה לפיתוח ותכנון</t>
  </si>
  <si>
    <t>מימון תקציב בלתי רגיל</t>
  </si>
  <si>
    <t>סה"כ שימושים</t>
  </si>
  <si>
    <t>1.</t>
  </si>
  <si>
    <t>מבוא</t>
  </si>
  <si>
    <t xml:space="preserve">רקע : </t>
  </si>
  <si>
    <t xml:space="preserve">התקציב הבלתי רגיל (תב"ר) מהווה מסגרת תקציבית שנועדה בעיקר לביצוע פרויקטים  של עבודות  </t>
  </si>
  <si>
    <t>מקורות המימון לתב"ר הינם :</t>
  </si>
  <si>
    <t>מענקים ממקורות שלטוניים ובעיקר ממשרדי ממשלה.</t>
  </si>
  <si>
    <t xml:space="preserve">מקורות עצמיים של הרשות הכוללים היטלי השבחה , היטלי פיתוח , העברות מתקציב רגיל, </t>
  </si>
  <si>
    <t>תרומות, מימוש נכסים.</t>
  </si>
  <si>
    <t>הלוואות לזמן ארוך.</t>
  </si>
  <si>
    <t xml:space="preserve">אישור התקציב הבלתי רגיל : </t>
  </si>
  <si>
    <t xml:space="preserve">על פי הוראות משרד הפנים ,לכל פרויקט יש לקבוע את היקף ההשקעה ומקורות המימון. </t>
  </si>
  <si>
    <t>ב – 16.3.2014 הכריז משרד הפנים על עיריית הרצליה כעל עירייה איתנה.</t>
  </si>
  <si>
    <t>חברי וועדת הכספים/מועצת העיר מתבקשים לאשר בזאת :</t>
  </si>
  <si>
    <t xml:space="preserve">באלפי ₪ </t>
  </si>
  <si>
    <t>מתוך אומדן כולל של הפרויקטים בסכום של</t>
  </si>
  <si>
    <t>2.</t>
  </si>
  <si>
    <t>מקורות המימון באלפי ₪ היו כדלקמן -</t>
  </si>
  <si>
    <t>קרן מכירת רכוש</t>
  </si>
  <si>
    <t>משרדי ממשלה ואחרים</t>
  </si>
  <si>
    <t>סה"כ תקציב</t>
  </si>
  <si>
    <t xml:space="preserve">משרדי ממשלה ואחרים </t>
  </si>
  <si>
    <t>אחוז ביצוע</t>
  </si>
  <si>
    <t xml:space="preserve">סה"כ </t>
  </si>
  <si>
    <t>הצעת התקציב הבלתי רגיל מסתכמת בהשקעה של</t>
  </si>
  <si>
    <t>3.</t>
  </si>
  <si>
    <t>שם פרק</t>
  </si>
  <si>
    <t>החברה לפיתוח הרצליה</t>
  </si>
  <si>
    <t>אומדן מקורות המימון  באלפי ₪  מפורט להלן -</t>
  </si>
  <si>
    <t>מקור</t>
  </si>
  <si>
    <t>קרן לעבודות פיתוח</t>
  </si>
  <si>
    <t>סה"כ משרדי ממשלה ואחרים</t>
  </si>
  <si>
    <t>סעיף מימון משרדי ממשלה ואחרים מפורט בטבלה להלן – באלפי ₪ (*)</t>
  </si>
  <si>
    <t>משרד התחבורה</t>
  </si>
  <si>
    <t>משרד החינוך</t>
  </si>
  <si>
    <t>משרד הבינוי והשיכון</t>
  </si>
  <si>
    <t>רשות מינהל מקרקעי ישראל</t>
  </si>
  <si>
    <t>מפעל הפייס</t>
  </si>
  <si>
    <t>הכנסות בעד עבודות</t>
  </si>
  <si>
    <t>(*)</t>
  </si>
  <si>
    <t xml:space="preserve"> תקצוב הפרויקטים נשוא מימון משרדי ממשלה ואחרים כמפורט לעיל מותנה בקבלת מסמך </t>
  </si>
  <si>
    <t>התחייבות כספית חתום על ידי מורשי חתימה של הגורם המממן.</t>
  </si>
  <si>
    <t>4.</t>
  </si>
  <si>
    <t>תב"רים לסגירה בשנת 2016</t>
  </si>
  <si>
    <t>כללי :</t>
  </si>
  <si>
    <t xml:space="preserve">הנחיות משרד הפנים קובעות :  </t>
  </si>
  <si>
    <t xml:space="preserve">תב"ר שהגיע לסיומו או לא הוחל בביצועו או לא הוצאו בגינו התחייבויות כספיות , עליו להיגרע מקובץ </t>
  </si>
  <si>
    <t xml:space="preserve">התב"רים במערכת הכספית של הרשות המקומית. </t>
  </si>
  <si>
    <t>עודף סופי בחשבון התב"ר יועבר לקרנות הרשות . יש לאשר את סגירת התב"רים במועצת העיר.</t>
  </si>
  <si>
    <t xml:space="preserve">במהלך שנת 2016 אושרה במועצת העיר  סגירת  פרויקטים שהסתיימו/לא נוצלו לשנת 2016 והחזרת </t>
  </si>
  <si>
    <t xml:space="preserve">עודפים לקרנות הרשות בסכום של </t>
  </si>
  <si>
    <t>פרויקטים בביצוע החברה לפיתוח</t>
  </si>
  <si>
    <t xml:space="preserve">בהתאם לתוספת להסכם מסגרת לביצוע פרויקטים הנדסיים בין העירייה לחברה לפיתוח הרצליה </t>
  </si>
  <si>
    <t xml:space="preserve">מיום 10.4.2005, יש לאשר במועצת העיר את ביצוע הפרויקטים  שהיקפם עולה על ערך הסף.  </t>
  </si>
  <si>
    <t>מקורות מימון אחרים - פרוט</t>
  </si>
  <si>
    <t>אגף/מחלקה</t>
  </si>
  <si>
    <t>המשרד להגנת הסביבה</t>
  </si>
  <si>
    <t xml:space="preserve">הכנסות בעד עבודות </t>
  </si>
  <si>
    <t xml:space="preserve">החברה לפיתוח הרצליה </t>
  </si>
  <si>
    <t xml:space="preserve">החברה לפיתוח תיירות </t>
  </si>
  <si>
    <t>רשות  מקרקעי ישראל</t>
  </si>
  <si>
    <t xml:space="preserve">אגף החינוך </t>
  </si>
  <si>
    <t>תוכן</t>
  </si>
  <si>
    <t>עמודים</t>
  </si>
  <si>
    <t>ריכוזים ודברי הסבר</t>
  </si>
  <si>
    <t>מימוש תקציב</t>
  </si>
  <si>
    <t>מרץ</t>
  </si>
  <si>
    <t>אפריל</t>
  </si>
  <si>
    <t>נכסים ציבוריים</t>
  </si>
  <si>
    <t>נכסים</t>
  </si>
  <si>
    <t>תכנון בנין עיר</t>
  </si>
  <si>
    <t>מינהל כללי</t>
  </si>
  <si>
    <t>שרותים עירוניים שונים</t>
  </si>
  <si>
    <t>מבני דת ציבוריים</t>
  </si>
  <si>
    <t>עלויות</t>
  </si>
  <si>
    <t>תקציב</t>
  </si>
  <si>
    <t>ועדת כספים</t>
  </si>
  <si>
    <t>מועצה</t>
  </si>
  <si>
    <t>אומדן כולל לפרויקט
מעודכן</t>
  </si>
  <si>
    <t>אומדן מאושר בתוכנית הפיתוח</t>
  </si>
  <si>
    <t>תוספת אומדן לאישור המועצה מעבר לתוכנית הפיתוח</t>
  </si>
  <si>
    <t>פרויקט השכרת אופניים</t>
  </si>
  <si>
    <t>סה"כ החברה לתיירות</t>
  </si>
  <si>
    <t>שיפוץ אולם ספורט היובל</t>
  </si>
  <si>
    <t>קרן ייעודית</t>
  </si>
  <si>
    <t>קרן יעודית  מתחם גליל ים</t>
  </si>
  <si>
    <t>סמטת ניסנוב</t>
  </si>
  <si>
    <t>ביכנ"ס מקדש מלך</t>
  </si>
  <si>
    <t>ריכוז</t>
  </si>
  <si>
    <t xml:space="preserve">החברה לפיתוח התיירות הרצליה     </t>
  </si>
  <si>
    <t xml:space="preserve">אגף תקשוב ומערכות מידע     </t>
  </si>
  <si>
    <t>מספר הפרויקטים המטופל ע"י אגף הנדסה :</t>
  </si>
  <si>
    <t>מקורות מימון לפרויקטים :</t>
  </si>
  <si>
    <t>מקורות מימון</t>
  </si>
  <si>
    <t>סכום</t>
  </si>
  <si>
    <t>מספר הפרויקטים המטופל ע"י החברה לפיתוח בע"מ :</t>
  </si>
  <si>
    <t>אחוז</t>
  </si>
  <si>
    <t>פרויקט</t>
  </si>
  <si>
    <t xml:space="preserve">מתחם גליל ים </t>
  </si>
  <si>
    <t xml:space="preserve">פרויקטים שונים </t>
  </si>
  <si>
    <t xml:space="preserve">מתוכם העיקריים : </t>
  </si>
  <si>
    <t>קרן ייעודית גליל ים</t>
  </si>
  <si>
    <t>מספר הפרויקטים המטופל ע"י האגף :</t>
  </si>
  <si>
    <t>אגף חינוך</t>
  </si>
  <si>
    <t>החברה לפיתוח התיירות בהרצליה</t>
  </si>
  <si>
    <t>מתוקצב כולו מקרן עבודות פיתוח.</t>
  </si>
  <si>
    <t>וסכומי התקציב, הנדרש, אם בכלל, אינם ידועים מראש ותלויים לעיתים בהליכים משפטיים.</t>
  </si>
  <si>
    <t>אגף תקשוב  ומערכות מידע</t>
  </si>
  <si>
    <t>תיכון ראשונים</t>
  </si>
  <si>
    <t>ריכוז לפי פרקים</t>
  </si>
  <si>
    <t>העברה מעודפי תקציב רגיל שנים קודמות</t>
  </si>
  <si>
    <t xml:space="preserve">התקנת מערך שליטה ובקרה מצלמות מוסדות חינוך ומבני ציבור, פריסת תשתיות </t>
  </si>
  <si>
    <t>פרויקטים דחופים בלתי צפויים מראש/מימוני ביניים.</t>
  </si>
  <si>
    <t>פרק</t>
  </si>
  <si>
    <t>פרויקטים לביצוע ע"י החברה לפיתוח הרצליה</t>
  </si>
  <si>
    <t>מספר הפרויקטים :</t>
  </si>
  <si>
    <t>מדידת נכסים בעת ביצוע עב' פיתוח לצורך חיוב הנכסים עפ"י שטחם בפועל.</t>
  </si>
  <si>
    <t>בדיקת תשלומי היטלי פיתוח בגין נכסים בעת ביצוע עב' פיתוח.</t>
  </si>
  <si>
    <t>עלויות כלליות בקשר עם רכישת מקרקעין.</t>
  </si>
  <si>
    <t>פיצויי הפקעה נכס גוש 6524/21,22 פטריאלי.</t>
  </si>
  <si>
    <t>פיצויי הפקעה נכס גוש 6524/58,68 הרשקוביץ שושנה.</t>
  </si>
  <si>
    <t>פיצויי הפקעה נכס הר' 1982,1929 גוש 6524/52. הרחבת ז'בוטינסקי ושטח הפארק.</t>
  </si>
  <si>
    <t>קרן ייעודית מתחם גליל ים</t>
  </si>
  <si>
    <t>תאור הפרויקט</t>
  </si>
  <si>
    <t>עדכון מע. מידע הנדסי כתוצאה משינוי ייעודי קרקע עקב החלטות ועדות התכנון.</t>
  </si>
  <si>
    <t>סל עבודות ניקוז ברחבי העיר .</t>
  </si>
  <si>
    <t>תב"ע הר' 2394 (לשעבר הר  2159 )</t>
  </si>
  <si>
    <t>חיבור פארק שלב ב' עם שכונת המסילה בגשר הולכי רגל מעל כביש 20.</t>
  </si>
  <si>
    <t>שדרות ה - 93 הבאר</t>
  </si>
  <si>
    <t>יהודה הנשיא רבי עקיבא רזיאל</t>
  </si>
  <si>
    <t>נילי - עבודות פיתוח והסדרת תנועה</t>
  </si>
  <si>
    <t>פיתוח וביצוע שידרוג ויזואלי מתחם בני בניימין הנדיב</t>
  </si>
  <si>
    <t>רחוב הפרטיזנים</t>
  </si>
  <si>
    <t>שיכון דרום הר' 2312</t>
  </si>
  <si>
    <t>הר מירון בר כוכבא הר' 2266</t>
  </si>
  <si>
    <t>ביצוע הריסות עפ"י צווים</t>
  </si>
  <si>
    <t>תוכנית מתאר איזור התעסוקה הר/2440</t>
  </si>
  <si>
    <t>שצ"פ דליה רביקוביץ בשכונת אלתרמן (הר/1920)</t>
  </si>
  <si>
    <t>שביל מתחם העצמאות הרב גורן הבנים</t>
  </si>
  <si>
    <t>עבודות פיתוח מערך שבילים בין הרחובות העצמאות הרב גורן ורחוב הבנים.</t>
  </si>
  <si>
    <t>סל עבודות קטנות עפ"י דרישה.</t>
  </si>
  <si>
    <t>סל עבודות תכנון עפ"י דרישה.</t>
  </si>
  <si>
    <t>שצ"פ רבי עקיבא דרומה (השביל הירוק)</t>
  </si>
  <si>
    <t>תכנון להקמת רכבת עילית מתחנת הרכבת לאיזור התעשיה.</t>
  </si>
  <si>
    <t>מתחם קמפוס הרצליה (יד גיורא)</t>
  </si>
  <si>
    <t>פיתוח חורשת הפרחים</t>
  </si>
  <si>
    <t>החלפת עמודי תאורה באיזור תעשיה</t>
  </si>
  <si>
    <t>גנ"י נווה עמל ציפורן מוריה</t>
  </si>
  <si>
    <t>גנ"י מרכז ויצמן תמר תאנה</t>
  </si>
  <si>
    <t>עבודות פיתוח בכנ"ס אברהם אבינו</t>
  </si>
  <si>
    <t>שיפוץ בית הורים</t>
  </si>
  <si>
    <t>בית ספר בן גוריון</t>
  </si>
  <si>
    <t>סינמטק בבנין עיריה חדש</t>
  </si>
  <si>
    <t>מועדון טלוויזיה קהילתית בשכונת צמרות</t>
  </si>
  <si>
    <t xml:space="preserve">כיתות מעון 5 יום 5 כיתות גן-. 404 גליל ים ב' </t>
  </si>
  <si>
    <t>גן 3 כיתות 402 גליל ים ב'(כולל חניון)</t>
  </si>
  <si>
    <t>בית ספר יסודי 18 כיתות מגרש 304 גלילי ים א'</t>
  </si>
  <si>
    <t>סה"כ פרויקטים מתחם גליל ים</t>
  </si>
  <si>
    <t>סל לשיפוץ בתי כנסת ע"פ תוכנית שתוגש במהלך השנה.</t>
  </si>
  <si>
    <t>סל לשיפוץ ובינוי נכסים עירוניים.</t>
  </si>
  <si>
    <t>שדרוג כבישים מדרכות תשתיות</t>
  </si>
  <si>
    <t>שיפוצי מוסדות חינוך שונים  (לב טוב ,גורדון)</t>
  </si>
  <si>
    <t>עבודות שיקום לשיפור איכות ומראה המים באגם.</t>
  </si>
  <si>
    <t xml:space="preserve"> התקנת גופי תאורה בטכנולוגיה מתקדמת במגרשי הספורט</t>
  </si>
  <si>
    <t>שיפוץ מעבדת רובוטיקה בהנדסאים</t>
  </si>
  <si>
    <t>תוספת כיתות /חדרי ספח ברנדיס</t>
  </si>
  <si>
    <t>שיפוץ מבנה אגף תבל ואגף הבטחון</t>
  </si>
  <si>
    <t>ספירת מלאי וסימון הרכוש העירוני</t>
  </si>
  <si>
    <t>הצטיידות לחמ"ל החדש</t>
  </si>
  <si>
    <t>הקמת חפ"ק עירוני חדש</t>
  </si>
  <si>
    <t>הצטיידות בר אילן לאחר שיפוץ</t>
  </si>
  <si>
    <t>הצטיידות בי"ס בר אילן אחרי השיפוץ.</t>
  </si>
  <si>
    <t>הצטיידות בי"ס יצחק נבון אלתרמן</t>
  </si>
  <si>
    <t>הצטידות גנ"י חדשים  גליל ים מגרש301/2</t>
  </si>
  <si>
    <t>נגישות אקוסטית מ.החינוך 2017</t>
  </si>
  <si>
    <t>סדנת רובוטיקה בהנדסאים</t>
  </si>
  <si>
    <t>מרחבי למידה</t>
  </si>
  <si>
    <t>עבודות שונות,שיפוצים, ציוד בספריות, מרכזים קהילתיים, מוזיאונים.לפי פרוט.</t>
  </si>
  <si>
    <t>הצטיידות מבנה תרבות מערב העיר</t>
  </si>
  <si>
    <t xml:space="preserve">שיקום שדרוג,הקמה ונגישות גינות ציבוריות </t>
  </si>
  <si>
    <t>רכישת מיכלי אצירה מפלסטיק ומתכת לפסולת ומיחזור.</t>
  </si>
  <si>
    <t>הקמת פינות מיחזור ברחבי העיר (פינות המרכזות מיכלי אצירה לסוגים שונים של פסולת כגון: בקבוקים, זכוכית, נייר, אריזות ועוד).</t>
  </si>
  <si>
    <t>ספורטק חידוש מתחם מתקני משחק</t>
  </si>
  <si>
    <t>סקר טבע עירוני</t>
  </si>
  <si>
    <t xml:space="preserve">שדרוג גן דפנה אילת </t>
  </si>
  <si>
    <t>הסדרת החוף הנפרד</t>
  </si>
  <si>
    <t>תחנת הצלה חוף הכוכבים 2017</t>
  </si>
  <si>
    <t>ציוד הצלה ובטיחות 2018</t>
  </si>
  <si>
    <t>תשתיות תקשורת אלחוטית וסיבים אופטיים לעיר חכמה במוס"ח וברחבי העיר בהתאם לתוכנית רב שנתית.</t>
  </si>
  <si>
    <t xml:space="preserve">תשתיות פס רחב מוס"ח </t>
  </si>
  <si>
    <t xml:space="preserve">הקמת מרכז שליטה ובקרה  עירוני </t>
  </si>
  <si>
    <t xml:space="preserve">הקמת אתר עירוני ופורטל </t>
  </si>
  <si>
    <t>פיצויי הפקעה הר' 1940 6664/105</t>
  </si>
  <si>
    <t>סה"כ אגף חינוך</t>
  </si>
  <si>
    <t>שיפוץ פנים הדירות של דיירי עמידר הנמצאים במצב סוציו אוקונומי קשה. העבודה מבוצעת ע"י חברת עמידר השתתפות העיריה 50%.</t>
  </si>
  <si>
    <t>פיצויי הפקעה בגוש 6525/6 הר/ 1704. טרם שולמו הפיצויים ליתרת בעלי המקרקעין.</t>
  </si>
  <si>
    <t>פיצויי הפקעה בגוש 6525 חלקות 130,131 הר/ 1704. טרם שולמו הפיצויים ליתרת בעלי המקרקעין. טרם הסתיים ההליך המשפטי.</t>
  </si>
  <si>
    <t>עלויות בקשר עם תביעה של פינוי נכס גוש 6521 חלק' 21-23, 67-68. משפחת רחמים. טרם הסתיים ההליך המשפטי.</t>
  </si>
  <si>
    <t>פרויקט בניה עצמית בו לעיריה 3 יח"ד בבית מגורים משותף.</t>
  </si>
  <si>
    <t>אגף  נכסים וביטוח</t>
  </si>
  <si>
    <t>אגף ת.נ.ו.ס</t>
  </si>
  <si>
    <t xml:space="preserve">שדרוג המרחב הציבורי באיזור התעשיה </t>
  </si>
  <si>
    <t>המשך עבודות פיתוח במתחם הרחובות הנוריות, אנצו סירני , דב גרונר , שלמה בן יוסף , חביבה רייך.</t>
  </si>
  <si>
    <t>המשך עבודות פיתוח במתחם אלוני ים הר' 2030.</t>
  </si>
  <si>
    <t xml:space="preserve">מימון רמ"י. </t>
  </si>
  <si>
    <t>עבודות פיתוח ביכנ"ס "אברהם אבינו" בשכונת יד התשעה.</t>
  </si>
  <si>
    <t>סה"כ רשות החופים</t>
  </si>
  <si>
    <t>מספר פרויקטים</t>
  </si>
  <si>
    <t>סה"כ אגף נכסים וביטוח</t>
  </si>
  <si>
    <t>תוכנית הצטיידות  מיחשוב מוס"ח</t>
  </si>
  <si>
    <t>אגף תקשוב ומע. מידע</t>
  </si>
  <si>
    <t>סה"כ מינהל כללי</t>
  </si>
  <si>
    <t>אגף נכסים וביטוח</t>
  </si>
  <si>
    <t>אגף תקשוב ומערכות מידע</t>
  </si>
  <si>
    <t>פרויקט המושתת על מערכת GIS: שדרוג, הרחבת שרתים,תוספות לאפליקציות חדשות.</t>
  </si>
  <si>
    <t>הקרן לשמירה על שטחים פתוחים</t>
  </si>
  <si>
    <t>סל הוצאות בקשר עם תביעות סעיף 197.</t>
  </si>
  <si>
    <t>תב"ע תוכנית שיקום המסילה המתפנה הר '2435</t>
  </si>
  <si>
    <t>סל לביצוע עבודות פרויקטים קטנים הנדרשים ע"י האגף מעת לעת.</t>
  </si>
  <si>
    <t>פרויקטים דחופים בצ"מ 2019/2020</t>
  </si>
  <si>
    <t>עב' פיתוח דחופות בלתי צפויות, מימוני ביניים, שיתעוררו במהלך השנה ויבוצעו עפ"י החלטות הנהלת העיר. שנים 2019/2020.</t>
  </si>
  <si>
    <t>הפרשה לתביעות תלויות בעקבות הנחיית אגף הביקורת של משה"פ במסגרת הדוחות הכספיים.</t>
  </si>
  <si>
    <t>במסגרת סיכום עקרונות בין משרד האוצר לשלטון המקומי  מ - 12.5.2013.</t>
  </si>
  <si>
    <t>טרם הסתיים הליך רישום הנכס ע"ש העיריה בפנקסי הרישום.</t>
  </si>
  <si>
    <t>פיצויי הפקעה בפארק.</t>
  </si>
  <si>
    <t>פיצויי הפקעה בפארק תוכנית הר' 1941.</t>
  </si>
  <si>
    <t>תשלום פיצויי הפקעה בקשר עם תוכנית  הר' 1940 6664/105.</t>
  </si>
  <si>
    <t>הכנת תוכנית לצרכי רישום מתחם מלון דניאל.</t>
  </si>
  <si>
    <t>סה"כ אגף תקשוב ומערכות מידע</t>
  </si>
  <si>
    <t>שדרוג תשתיות אינטרנט במוס"ח.</t>
  </si>
  <si>
    <t xml:space="preserve"> אגף ת.ב.ל</t>
  </si>
  <si>
    <t>סה"כ מינהל הנדסה</t>
  </si>
  <si>
    <t xml:space="preserve">מינהל  הנדסה </t>
  </si>
  <si>
    <t>מינהל הנדסה</t>
  </si>
  <si>
    <t>סל עבודות פיתוח קטנות מזדמנות הנדרשות במהלך השנה.</t>
  </si>
  <si>
    <t>עלויות אכיפה צווי בית משפט במרינה.</t>
  </si>
  <si>
    <t>סה"כ אגף ת.נ.ו.ס</t>
  </si>
  <si>
    <t>סה"כ אגף בטחון פיקוח וסדר ציבורי</t>
  </si>
  <si>
    <t>הארכת דרך ירושלים והתחברות אליה</t>
  </si>
  <si>
    <t>צומת הבריגדה היהודית -מנחם בגין- בטיחות</t>
  </si>
  <si>
    <t>תכנון צומת הבריגדה היהודית -מנחם בגין עקב ריבוי תאונות דרכים עפ"י נתוני הרלב"ד. מימון מ. התחבורה.</t>
  </si>
  <si>
    <t>תקשורת ברחבי העיר ומוסדות חינוך, תוכנית הצטיידות מיחשוב מוסדות חינוך.</t>
  </si>
  <si>
    <t>פרויקט בביצוע .</t>
  </si>
  <si>
    <t>תב"ע משולש המנהרה הר' 2350</t>
  </si>
  <si>
    <t>לאור החלטת בימ"ש שהעיריה תבצע שינויים גיאומטרים וקיר.</t>
  </si>
  <si>
    <r>
      <t>הפיכת תוכנית אסטרטגית  לתוכנית סטטוטורית, לתוכנית מתאר בועדה המחוזית בהתאם ליו"ר הועדה המחוזית.</t>
    </r>
    <r>
      <rPr>
        <sz val="11"/>
        <color rgb="FFFF0000"/>
        <rFont val="David"/>
        <family val="2"/>
      </rPr>
      <t xml:space="preserve"> </t>
    </r>
  </si>
  <si>
    <t>תכנון צומת השרון בר אילן  עקב ריבוי תאונות דרכים עפ"י נתוני הרלב"ד. מימון מ. התחבורה.</t>
  </si>
  <si>
    <t xml:space="preserve">שיפוץ אולם ספורט היובל כולל פיתוח המבואה והמתחם. </t>
  </si>
  <si>
    <t>עבודות פיתוח. מימון רמ"י במסגרת הסכם "הגג".</t>
  </si>
  <si>
    <t>מתחם המשתלה  תב"ע 1874</t>
  </si>
  <si>
    <t>הקמת בריכה ומרכז לאומנויות לחימה</t>
  </si>
  <si>
    <t>פיתוח מתחם מתנ"ס נווה עמל ומגרשי טניס</t>
  </si>
  <si>
    <t>קירוי והצללה מגרשי ספורט עירוניים</t>
  </si>
  <si>
    <t>השקעה בתשתיות והרחבת  חניונים</t>
  </si>
  <si>
    <t>מימון רמ"י במסגרת הסכם "הגג".</t>
  </si>
  <si>
    <t>החלפת צילרים אולמות ספורט נ. ישראל,סמדר ,נוף ים</t>
  </si>
  <si>
    <t xml:space="preserve">עבודות במסגרת מערכות כיבוי אש והמשך שדרוג מערכת מיזוג במוזיאון. </t>
  </si>
  <si>
    <t>פרויקט לווינים - ישראל 70</t>
  </si>
  <si>
    <t>פרויקט שיגור 70 לווינים בשיתוף עם 70 ערים ומועצות עירוניות. מימון מ. המדע.</t>
  </si>
  <si>
    <t>הקמה שיפוץ רצפות פרקט אולמות ספורט</t>
  </si>
  <si>
    <t>עבודות התאמה לתקן חדש מגרשי ספורט</t>
  </si>
  <si>
    <t>עבודות שיפוץ במתקנים במגרשי הספורט בהתאם לדוחות מכון התקנים.</t>
  </si>
  <si>
    <t>תוכנית  אב להפחתת זיהום אויר</t>
  </si>
  <si>
    <t>פיתוח נופי דרך ירושלים כביש 531</t>
  </si>
  <si>
    <t>הסדרת השטח לאורך רח' ארלוזרוב קטע: בית"ר-דרך ירושלים. ייצוב פני הקרקע למניעת סחף והסדרת שיפועים וניקוזים, הסדרת המדרכה וגינון והשקייה.</t>
  </si>
  <si>
    <t>הסדרת הגן המרכזי בשכונת גן רש"ל כולל: מתקני משחק, משטח גומי, עבודות גינון, השקייה, פיתוח והנגשה.</t>
  </si>
  <si>
    <t>הכנת תב"ע .</t>
  </si>
  <si>
    <t>פריסת תשתיות תקשורת ברחבי העיר ומוס"ח</t>
  </si>
  <si>
    <t>התקנת מערכות  שו"ב מצלמות מוס"ח מבני ציבור</t>
  </si>
  <si>
    <t>הקמת אתר עירוני חדש מתקדם , ידידותי ומותאם לכלל הצרכים העירוניים כולל מימשקים לתושבים ומימשקים למערכות התפעוליות . האתר יהיה רספונסיבי  בנוסף מתן מענה לפורטל האירגוני על בסיס אותה תשתית.</t>
  </si>
  <si>
    <t>הכנת תצ"ר רישום זכויות תבע 574א</t>
  </si>
  <si>
    <t>מינהל כללי (61)</t>
  </si>
  <si>
    <t>תכנון ובנין עיר (73)</t>
  </si>
  <si>
    <t>נכסים ציבוריים (74)</t>
  </si>
  <si>
    <t>חופים (747)</t>
  </si>
  <si>
    <t>חינוך (81)</t>
  </si>
  <si>
    <t>מבני דת ציבוריים (85)</t>
  </si>
  <si>
    <t>איכות הסביבה (87)</t>
  </si>
  <si>
    <t>מס' פרק</t>
  </si>
  <si>
    <t>רווחה (84)</t>
  </si>
  <si>
    <t>נכסים (93)</t>
  </si>
  <si>
    <t>תשלומים בלתי רגילים (99)</t>
  </si>
  <si>
    <t>טיפול במרחב ציבורי (848)</t>
  </si>
  <si>
    <t>טיפול במרחב ציבורי</t>
  </si>
  <si>
    <t xml:space="preserve">תרבות הדיור </t>
  </si>
  <si>
    <t xml:space="preserve">ראה פרוט נוסף בעמוד 15 </t>
  </si>
  <si>
    <t xml:space="preserve">אגף נכסים וביטוח </t>
  </si>
  <si>
    <t xml:space="preserve">אגף תקשוב ומערכות מידע </t>
  </si>
  <si>
    <t>תרבות הדיור (764)</t>
  </si>
  <si>
    <r>
      <t>סל עבודות</t>
    </r>
    <r>
      <rPr>
        <sz val="11"/>
        <color rgb="FFFF0000"/>
        <rFont val="David"/>
        <family val="2"/>
      </rPr>
      <t xml:space="preserve"> </t>
    </r>
    <r>
      <rPr>
        <sz val="11"/>
        <rFont val="David"/>
        <family val="2"/>
      </rPr>
      <t>לשדרוג במרחב הציבורי כולל ריהוט רחוב באיזור התעשיה.</t>
    </r>
  </si>
  <si>
    <t>השקעה בתשתיות ובמערכות מיכון בחניונים ברחבי העיר.</t>
  </si>
  <si>
    <t>שיפוצים שונים מוס"ח</t>
  </si>
  <si>
    <t xml:space="preserve">אגף נכסים וביטוח         </t>
  </si>
  <si>
    <t>מרבית הפרויקטים של האגף הינם פיצויי הפקעה. פרויקטים אלו נמשכים זמן רב</t>
  </si>
  <si>
    <t>פיתוח מתחם רזיאל מע' תב"ע 1706</t>
  </si>
  <si>
    <t>אוצר הצמחים ,הראשונים ואבן אודם</t>
  </si>
  <si>
    <t>צומת הרב גורן מוהליבר - בטיחות</t>
  </si>
  <si>
    <t>צומת השרון בר אילן -בטיחות</t>
  </si>
  <si>
    <t>תכנון כולל לסוגיית חיזוק הקשר בין מזרח העיר למערבה באמצעות תוספות של גשרים להולכי רגל ורכב דו גלגלי.</t>
  </si>
  <si>
    <t>סקר חריגות בניה ברחבי העיר</t>
  </si>
  <si>
    <t>פיתוח רח' צ.ה.ל</t>
  </si>
  <si>
    <r>
      <t>מערכת כבישים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  <charset val="177"/>
      </rPr>
      <t xml:space="preserve">  באזור תעשייה מערבי </t>
    </r>
  </si>
  <si>
    <t>שדרוג כבישים מדרכות ,תשתיות</t>
  </si>
  <si>
    <t>סל עבודות איטום מקלטים  עפ"י תוכנית.</t>
  </si>
  <si>
    <t>עבודות נגישות לאנשים עם מוגבלויות, מדידות נכסים ובדיקות נכסים לצורך גביית היטלי פיתוח,</t>
  </si>
  <si>
    <t xml:space="preserve">חינוך </t>
  </si>
  <si>
    <t xml:space="preserve">תרבות וספורט </t>
  </si>
  <si>
    <t xml:space="preserve">רווחה </t>
  </si>
  <si>
    <r>
      <t xml:space="preserve">תכנון </t>
    </r>
    <r>
      <rPr>
        <sz val="11"/>
        <rFont val="David"/>
        <family val="2"/>
        <charset val="177"/>
      </rPr>
      <t xml:space="preserve">וביצוע  תוכנית אב לשבילי אופניים </t>
    </r>
  </si>
  <si>
    <r>
      <rPr>
        <sz val="11"/>
        <rFont val="David"/>
        <family val="2"/>
        <charset val="177"/>
      </rPr>
      <t>התחדשות עירונית יד  התשעה</t>
    </r>
    <r>
      <rPr>
        <b/>
        <sz val="11"/>
        <rFont val="David"/>
        <family val="2"/>
      </rPr>
      <t xml:space="preserve"> </t>
    </r>
  </si>
  <si>
    <t>הפרש</t>
  </si>
  <si>
    <r>
      <t xml:space="preserve">שיפוץ מבני </t>
    </r>
    <r>
      <rPr>
        <sz val="11"/>
        <rFont val="David"/>
        <family val="2"/>
      </rPr>
      <t xml:space="preserve"> תרבות ונוער </t>
    </r>
  </si>
  <si>
    <r>
      <t xml:space="preserve">הקמת פינות מיחזור </t>
    </r>
    <r>
      <rPr>
        <sz val="11"/>
        <rFont val="David"/>
        <family val="2"/>
      </rPr>
      <t>וגזם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  <charset val="177"/>
      </rPr>
      <t xml:space="preserve">ברחבי העיר </t>
    </r>
  </si>
  <si>
    <t>הבקשה/תאור</t>
  </si>
  <si>
    <t>הנדסה</t>
  </si>
  <si>
    <t>כיכר העוגן השונית</t>
  </si>
  <si>
    <t>סה"כ הנדסה</t>
  </si>
  <si>
    <t>הגנה על מצוקי הים</t>
  </si>
  <si>
    <t>תבל</t>
  </si>
  <si>
    <t>רכישת רכבים</t>
  </si>
  <si>
    <t>סה"כ תבל</t>
  </si>
  <si>
    <t>אגף פיקוח בטחון וסדר ציבורי</t>
  </si>
  <si>
    <t>סה"כ אגף פיקוח בטחון וסדר ציבורי</t>
  </si>
  <si>
    <t>חידוש ריהוט בי"ס</t>
  </si>
  <si>
    <t>אגף תנוס</t>
  </si>
  <si>
    <t>סה"כ אגף תנוס</t>
  </si>
  <si>
    <t>סה"כ ש.א.י.פ.ה</t>
  </si>
  <si>
    <t>שילוט חופים 2019</t>
  </si>
  <si>
    <t>ציוד הצלה ובטיחות 2019</t>
  </si>
  <si>
    <t>אופנוע ים 2019</t>
  </si>
  <si>
    <t>סה"כ חופים</t>
  </si>
  <si>
    <t>החברה לתיירות</t>
  </si>
  <si>
    <t>סה"כ מצטבר</t>
  </si>
  <si>
    <t>מסגרת ביצוע  עבודות מדרכות לאחר השלמת עבודות בניה כתוצאה מהיתרים.</t>
  </si>
  <si>
    <t>פרויקט ממשלתי המתוקצב ע"י המדינה במקביל לרשות. הביצוע העירוני מתעכב עקב בעית פולש והמינהל.</t>
  </si>
  <si>
    <t xml:space="preserve"> תוכנית המתאר הכוללנית </t>
  </si>
  <si>
    <t xml:space="preserve"> תכנון חיבוריות בין מזרח למערב </t>
  </si>
  <si>
    <r>
      <t>תוכנית אסטרטגית להתייעלות עירונית במרכז העיר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 xml:space="preserve">ובשכונות </t>
    </r>
  </si>
  <si>
    <t>תשלומי פיצויים להפקעות לביצוע שביל אופניים זמני ע"י משרד התחבורה.</t>
  </si>
  <si>
    <t>תכנית פיתוח של המרחב הציבורי תל מיכל</t>
  </si>
  <si>
    <t>השלמת עבודות גינון ותיקונים במתחם. לקראת סגירת תב"ר.</t>
  </si>
  <si>
    <t>פיתוח תשתיות. בשלבי סיום.</t>
  </si>
  <si>
    <t>המשך תכנון חניון ברח' מדינת היהודים.</t>
  </si>
  <si>
    <t>הכשרת חניון העוגן במרינה לחניון בתשלום. ממתין להיתר.</t>
  </si>
  <si>
    <t>עיצוב חצר לימודית בי"ס גורדון</t>
  </si>
  <si>
    <t>פיתוח מתחם גליל ים הר' 1985 א'</t>
  </si>
  <si>
    <r>
      <t>פארק גליל ים</t>
    </r>
    <r>
      <rPr>
        <b/>
        <sz val="11"/>
        <rFont val="David"/>
        <family val="2"/>
      </rPr>
      <t xml:space="preserve"> </t>
    </r>
  </si>
  <si>
    <r>
      <t>קיריית החינוך ( מגרש 406)-</t>
    </r>
    <r>
      <rPr>
        <sz val="11"/>
        <rFont val="David"/>
        <family val="2"/>
      </rPr>
      <t>ספריה, מרכז קהילתי</t>
    </r>
    <r>
      <rPr>
        <b/>
        <sz val="11"/>
        <rFont val="David"/>
        <family val="2"/>
      </rPr>
      <t xml:space="preserve"> </t>
    </r>
  </si>
  <si>
    <t>השלמת 6 כיתות בנבון</t>
  </si>
  <si>
    <t>מתחם בזק</t>
  </si>
  <si>
    <t>בית ספר בן צבי</t>
  </si>
  <si>
    <t>מימון מ. החינוך. ממתין לתקבול סופי.</t>
  </si>
  <si>
    <t>מסגרת עבודות במרחב הציבורי.</t>
  </si>
  <si>
    <t>עבודות חיפוי חיצוני עפ"י דרישת מינהל הנדסה.</t>
  </si>
  <si>
    <t>ייסגר עם קבלת תקבולי מ. החינוך.</t>
  </si>
  <si>
    <t>מרכז שלום המשפחה בהסתדרות 4 , נתיבים להורות בויצמן 19.</t>
  </si>
  <si>
    <t>עבודות שיפוץ ושדרוג ביה"ס.</t>
  </si>
  <si>
    <t>החלפת רכבים קיימים ורכישת תוספת רכבים עפ"י רשימה.</t>
  </si>
  <si>
    <t>החלפת מזגנים , החלפת תאורה ללדים  ובקרת מבנים במוס"ח ובמוסדות עירוניים. מימון מ. הכלכלה והתעשיה.</t>
  </si>
  <si>
    <t>גידור מרחב האירועים בפארק</t>
  </si>
  <si>
    <t>עבודות גידור קבוע, תאורה תשתיות ושערים במרחב האירועים בפארק.</t>
  </si>
  <si>
    <t>הקמת יחידת חילוץ הצטיידות</t>
  </si>
  <si>
    <t>הצטיידות  של יחידת חילוץ מתנדבים שעברו הכשרה בפיקוד העורף לתפקוד במצבי חרום .</t>
  </si>
  <si>
    <t>הנגשת כיתות ליקווי שמיעה. ייסגר עם קבלת  יתרת התקבולים ממ. החינוך.</t>
  </si>
  <si>
    <t>הצטיידות מעבדות תיכון ראשונים</t>
  </si>
  <si>
    <t>הצטיידות חדשה של מעבדות בתיכון ראשונים עקב גידול משמעותי במספר התלמידים ומספר הפעילויות .</t>
  </si>
  <si>
    <t xml:space="preserve">עיצוב חדשני של כיתות האם </t>
  </si>
  <si>
    <t>הקמת מרחבי למידה חדשניים בשכבת כיתות ז' בחט"ב רעות הכולל ריהוט ועיצוב פנים.</t>
  </si>
  <si>
    <t>שיפוץ מבנה מועדון נוער הכוכב השמיני</t>
  </si>
  <si>
    <t>שיפוץ מועדון הנוער יוסף נבו 18 הכולל איטום גגות וקירות, החלפות תקרות.</t>
  </si>
  <si>
    <t>קידום אמנת ברית ערים כתוכנית המשך לתוכנית להפחתת פליטות של פורום ה-15.</t>
  </si>
  <si>
    <r>
      <t>שדרוג</t>
    </r>
    <r>
      <rPr>
        <sz val="11"/>
        <rFont val="David"/>
        <family val="2"/>
        <charset val="177"/>
      </rPr>
      <t xml:space="preserve"> וטיפול המרחב הציבורי</t>
    </r>
  </si>
  <si>
    <t>נטיעת עצים ברחבי העיר לרבות פתיחת ריצוף קיים במדרכה,  והתקנת מגן סביב העץ במקרה הצורך. בהמשך להצעת החוק בנושא הצללת המרחב הציבורי, יאותרו שטחים נוספים לנטיעת עצים ברחבי העיר.</t>
  </si>
  <si>
    <r>
      <t xml:space="preserve">הסדרת שטחי </t>
    </r>
    <r>
      <rPr>
        <sz val="11"/>
        <rFont val="David"/>
        <family val="2"/>
      </rPr>
      <t>מוס"ח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ברחב</t>
    </r>
    <r>
      <rPr>
        <sz val="11"/>
        <rFont val="David"/>
        <family val="2"/>
        <charset val="177"/>
      </rPr>
      <t xml:space="preserve">י העיר </t>
    </r>
  </si>
  <si>
    <t>שדרוג מתחם המשקל העירוני</t>
  </si>
  <si>
    <t>עבודות במתחם המשקל העירוני להסדרת נושא הבטיחות.</t>
  </si>
  <si>
    <t>שדרוג רחוב וינגגיט</t>
  </si>
  <si>
    <t>שדרוג רחוב בן גוריון</t>
  </si>
  <si>
    <t>עבודות שדרוג ושיקום שטחי הגינון  לצידי הרחוב במקטעים שטרם שודרגו. שטח של כ- 4.5 דונם.</t>
  </si>
  <si>
    <t>הקמת סככות המתנה לאוטובוס כולל תשתיות</t>
  </si>
  <si>
    <t>קידום ושימור הטבע העירוני בעיר</t>
  </si>
  <si>
    <t>טרם הסתיימה עבודה בתחנת הצלה חוף הכוכבים .</t>
  </si>
  <si>
    <r>
      <t>פיתוח חופי רחצה</t>
    </r>
    <r>
      <rPr>
        <strike/>
        <sz val="11"/>
        <rFont val="David"/>
        <family val="2"/>
      </rPr>
      <t/>
    </r>
  </si>
  <si>
    <t xml:space="preserve">מיזמים קהילתיים </t>
  </si>
  <si>
    <t>.</t>
  </si>
  <si>
    <t>הכנת תב"ע . מימון רמ"י.</t>
  </si>
  <si>
    <t>משרד  לבטחון הפנים</t>
  </si>
  <si>
    <t>פיתוח רח' הארז והחרוב</t>
  </si>
  <si>
    <t>פיתוח רחובות הארז והחרוב. תכנון וביצוע.</t>
  </si>
  <si>
    <t>סקר תשתיות קיימות</t>
  </si>
  <si>
    <t>שיפוץ חלקי של בית משותף בו מצויים הספריה והחניון בבעלות העיריה. סוקולוב 56.</t>
  </si>
  <si>
    <t>תיקון ליקויים סקר כיבוי אש מוס"ח  ועיריה</t>
  </si>
  <si>
    <t>סל לעבודות הסדרת ליקויים כיבוי אש במוס"ח ובמוסדות עיריה  לפי סקר.</t>
  </si>
  <si>
    <t>תוכנת ניהול ותאום תשתיות</t>
  </si>
  <si>
    <r>
      <t>תכנון ציר המעפילים הכניסה הצפונית לעיר בשיתוף מועצה מקומית כפר שמריהו.</t>
    </r>
    <r>
      <rPr>
        <b/>
        <sz val="11"/>
        <rFont val="David"/>
        <family val="2"/>
      </rPr>
      <t xml:space="preserve"> </t>
    </r>
  </si>
  <si>
    <t>המשך עבודות פיתוח במתחם. פיתוח השצ"פ.</t>
  </si>
  <si>
    <t>המשך עבודות פיתוח במתחם הר' 1903 הרצליה הילס. פיתוח שצ"פ מערבי.</t>
  </si>
  <si>
    <r>
      <t xml:space="preserve">הוספת 6 כיתות כולל מיקלוט במתחם בי"ס נבון. </t>
    </r>
    <r>
      <rPr>
        <sz val="11"/>
        <rFont val="David"/>
        <family val="2"/>
      </rPr>
      <t>הצטיידות בחינוך.</t>
    </r>
    <r>
      <rPr>
        <b/>
        <sz val="11"/>
        <rFont val="David"/>
        <family val="2"/>
      </rPr>
      <t xml:space="preserve"> </t>
    </r>
  </si>
  <si>
    <t>הקמת ארנה</t>
  </si>
  <si>
    <t>תוכנית שבילי אופניים בשצ"פים עירוניים</t>
  </si>
  <si>
    <t xml:space="preserve">עבודה סלילה, גינון ותאורה במתחם. </t>
  </si>
  <si>
    <t xml:space="preserve">פיתוח רחוב גבעת החלומות לרבות עבודות ניקוז ותאורה. עדכון תכנון וביצוע . </t>
  </si>
  <si>
    <t xml:space="preserve">השלמת תכנון וביצוע פיתוח קטע הרחוב מרבי עקיבא עד דוד רזיאל. </t>
  </si>
  <si>
    <r>
      <t xml:space="preserve">מסגרת </t>
    </r>
    <r>
      <rPr>
        <sz val="11"/>
        <rFont val="David"/>
        <family val="2"/>
        <charset val="177"/>
      </rPr>
      <t>עבודות של החלפת עמודי תאורה באיזור התעשיה.</t>
    </r>
  </si>
  <si>
    <r>
      <t>שטח 408 גליל ים ב'</t>
    </r>
    <r>
      <rPr>
        <sz val="11"/>
        <rFont val="David"/>
        <family val="2"/>
      </rPr>
      <t>-גנ"י, בי"ס, ספריה</t>
    </r>
    <r>
      <rPr>
        <b/>
        <sz val="11"/>
        <rFont val="David"/>
        <family val="2"/>
      </rPr>
      <t xml:space="preserve"> </t>
    </r>
  </si>
  <si>
    <r>
      <t xml:space="preserve">הקמת מרכז שליטה ובקרה  במיקום שיקבע ע"י הנהלת העיר כולל אמצעי מולטי מדיה למתן מענה לתשתית העיר החכמה. הההקמה כוללת עבודות בינוי, מולטימדיה וריהוט. </t>
    </r>
    <r>
      <rPr>
        <b/>
        <sz val="11"/>
        <rFont val="David"/>
        <family val="2"/>
      </rPr>
      <t/>
    </r>
  </si>
  <si>
    <t xml:space="preserve">מס' תב"ר </t>
  </si>
  <si>
    <t>שיפוץ חזיתות בתים כולל: פיתוח חצרות, חדרי מדרגות, מעלית (רכוש משותף). בשיתוף האגודה לתרבות הדיור.</t>
  </si>
  <si>
    <t xml:space="preserve">הקמה ושדרוג גינות ציבוריות כולל: פיתוח, תשתיות ושבילי גישה, הנגשה, תאורה, מערכות השקייה, מתקני משחק, ריהוט גן, מתקני כושר, משטחי גומי וכל העבודות. עפ"י תוכנית עבודה שתאושר ע"י הנהלת העיר. </t>
  </si>
  <si>
    <t>חינוך לקיימות. קול קורא לשנים 2018-2020. מימון מ. להגנת הסביבה.</t>
  </si>
  <si>
    <t xml:space="preserve">המשך הסדרת שטחי בי"ס ,תוספת הסדרת שטחי גנ"י כולל: עצי הצללה, דשא סינטטי, מערכות השקייה חסכוניות במים והסדרת שטחים מוזנחים. עפ"י תוכנית עבודה שתאושר ע"י הנהלת עיר. </t>
  </si>
  <si>
    <t>שדרוג תשתיות בגינות קהילתיות קיימות , החווה החקלאית גליל ים, והקמת יער  נוסף .</t>
  </si>
  <si>
    <t>התקנת חיבורים חיצוניים לגנרטורים  במבני חינוך וציבור לשימוש בעת הצורך.</t>
  </si>
  <si>
    <t>חסכון,התייע' אנרגטית מוסח/ציבור</t>
  </si>
  <si>
    <t>עבודות מבנה קט רגל והשלמת פיתוח בשטחים "ריקים" הגובלים בפטנק ומגרשי קטרגל.</t>
  </si>
  <si>
    <t xml:space="preserve">בניית ביכנ"ס ברח' מקדש מלך. תכנון.  </t>
  </si>
  <si>
    <t xml:space="preserve">תכנון מתחם חוף התכלת. עתירה של בעלי הקרקע הפרטיים על השתהות בקידום  התוכנית . </t>
  </si>
  <si>
    <t>תכנון התחדשות עירונית ביד התשעה במסגרת תוכנית כללית/תוכניות מתחמיות.</t>
  </si>
  <si>
    <t>הרצליה : "עיר חכמה" : במסגרת פרויקט התקנת מערכות שו"ב , מצלמות ופריסת תשתיות תקשורת ברחבי העיר</t>
  </si>
  <si>
    <t>תכנון ראשוני הקמת מעון לאנשים עם מוגבלויות ביד התשעה.</t>
  </si>
  <si>
    <t xml:space="preserve">תכנון וביצוע  תוכנית אב לשבילי אופניים </t>
  </si>
  <si>
    <t xml:space="preserve">הקמת חניות והסדרים גיאומטרים ליד מבנה לזכר השואה שיוקם ע"י היזם (ליאור דינור ואחרים). מימון היזם מובטח בערבות. </t>
  </si>
  <si>
    <t xml:space="preserve">בניית אתר הנדסי לתשתיות וסנכרון בין עבודות התשתית השונות ברחבי העיר. </t>
  </si>
  <si>
    <t>עבודות שיפוץ כללי למשרדי האגפים כולל חדר ישיבות.</t>
  </si>
  <si>
    <t xml:space="preserve">במקביל לבנית גנ"י בביצוע של החב. לפיתוח. </t>
  </si>
  <si>
    <t>עבודות בגן גלעד וגן קלישר. לקראת סיום.</t>
  </si>
  <si>
    <t>ביצוע של החלפת משטחי גומי ישנים מאוד בגינות קיימות. לקראת סיום.</t>
  </si>
  <si>
    <t xml:space="preserve">פרויקט "עיר חכמה" - התקנת מערכות שליטה ובקרה,מצלמות ופריסת תשתיות ברחבי העיר. </t>
  </si>
  <si>
    <t xml:space="preserve">פיתוח והקמת מתנ"סים. </t>
  </si>
  <si>
    <t xml:space="preserve">פיתוח והקמת אולמות ספורט. </t>
  </si>
  <si>
    <t>חן סופיים.</t>
  </si>
  <si>
    <t xml:space="preserve">ב – 10.2.2014 אושר במליאת הכנסת חוק רשויות איתנות על פיו ניתנו לרשויות איתנות המתנהלות </t>
  </si>
  <si>
    <t xml:space="preserve">בהתאם לקריטריונים שנקבעו , הקלות מבחינת האסדרה של משרד הפנים , בין היתר בתחום התקציב. </t>
  </si>
  <si>
    <t>לתקופה של שנת תקציב.</t>
  </si>
  <si>
    <t xml:space="preserve">פיתוח ותשתיות, שיפוץ ובניה , בהיקף תקציבי נכבד המבוצעות במשך תקופה ארוכה ואינם מוגבלים </t>
  </si>
  <si>
    <t>עבודות הנגשה כולל מעלית ושיפוץ אולם והכשרת היתר הבניה לכל המבנה. ממתין להיתר.</t>
  </si>
  <si>
    <t>מימון מ. הפנים. ממתין לתקבול סופי.</t>
  </si>
  <si>
    <t>יתרה לביצוע צפוי עד 31.12.2020</t>
  </si>
  <si>
    <t>אומדן לביצוע שנת 2021</t>
  </si>
  <si>
    <t>אומדן לביצוע שנת 2022 ואילך</t>
  </si>
  <si>
    <t>תקציב נוסף נדרש במסגרת תוכנית עבודה 2020</t>
  </si>
  <si>
    <t>תקציב נוסף נדרש מעבר לתוכנית עבודה 2020</t>
  </si>
  <si>
    <t>סה"כ תקציב נוסף נדרש 2020</t>
  </si>
  <si>
    <t>יתרת תקציב פנויה 31.12.2020</t>
  </si>
  <si>
    <t>תקציב נדרש 2021</t>
  </si>
  <si>
    <t>גנ"י מתחם זרובבל</t>
  </si>
  <si>
    <t>גנ"י דוד השמעוני</t>
  </si>
  <si>
    <t>ליווי פרויקטים פינוי בינוי</t>
  </si>
  <si>
    <t>תכנון שב"צ דן שומרון בי"ס על יסודי</t>
  </si>
  <si>
    <t>תוספת 6 כיתות לימוד בי"ס שז"ר</t>
  </si>
  <si>
    <t>כיתות גן 3 נוספות מגרש 302 גליל ים</t>
  </si>
  <si>
    <t>נגישות אקוסטית 2019 מ. החינוך</t>
  </si>
  <si>
    <t>חסכון, התיעלות אנרגטית מוסח/ציבור 2020</t>
  </si>
  <si>
    <t>התקנת חיבורים חיצוניים לגנרטורים מוסח/ציבור</t>
  </si>
  <si>
    <t>תיכון היובל</t>
  </si>
  <si>
    <t>שיקום חזית מבנה דיור לקשיש</t>
  </si>
  <si>
    <t>טיפול במפגעי בטיחות במצוק</t>
  </si>
  <si>
    <t>סה"כ החברה לפיתוח</t>
  </si>
  <si>
    <t>סה"כ אגף תבל</t>
  </si>
  <si>
    <t>סה"כ אגף שאיפה</t>
  </si>
  <si>
    <t>סה"כ אגף החינוך</t>
  </si>
  <si>
    <r>
      <t xml:space="preserve">מסמכי מדיניות 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ותוכניות אסטרטגיות</t>
    </r>
    <r>
      <rPr>
        <sz val="11"/>
        <rFont val="David"/>
        <family val="2"/>
        <charset val="177"/>
      </rPr>
      <t xml:space="preserve"> להתחדשות עירונית בשכונות</t>
    </r>
    <r>
      <rPr>
        <b/>
        <sz val="11"/>
        <rFont val="David"/>
        <family val="2"/>
      </rPr>
      <t xml:space="preserve"> </t>
    </r>
  </si>
  <si>
    <r>
      <t xml:space="preserve">מעון לאנשים עם מוגבלויות - </t>
    </r>
    <r>
      <rPr>
        <strike/>
        <sz val="11"/>
        <rFont val="David"/>
        <family val="2"/>
      </rPr>
      <t xml:space="preserve"> </t>
    </r>
    <r>
      <rPr>
        <sz val="11"/>
        <rFont val="David"/>
        <family val="2"/>
      </rPr>
      <t>ביד התשעה</t>
    </r>
    <r>
      <rPr>
        <b/>
        <sz val="11"/>
        <rFont val="David"/>
        <family val="2"/>
      </rPr>
      <t xml:space="preserve"> </t>
    </r>
  </si>
  <si>
    <t>לקראת סיום.</t>
  </si>
  <si>
    <t>לסגירה.</t>
  </si>
  <si>
    <t>מימון קרן הועדה החקלאית.</t>
  </si>
  <si>
    <t xml:space="preserve">תיכון היובל </t>
  </si>
  <si>
    <t>שנת  2021</t>
  </si>
  <si>
    <t>חלוקת ההשקעה בתקציב  באלפי ₪ על פי מינהל/אגף/יחידה מפורטת להלן -</t>
  </si>
  <si>
    <t>שם מינהל/אגף/יחידה</t>
  </si>
  <si>
    <t>שנת 2021</t>
  </si>
  <si>
    <t>העברה מתקציב רגיל 2020</t>
  </si>
  <si>
    <t>המשך הצטיידות עפ"י התוכנית המקורית.</t>
  </si>
  <si>
    <t>פינוי דיירים מוגנים גוש 6558 חלקה 151</t>
  </si>
  <si>
    <t>פינוי  2 דיירים מוגנים מרכז מסחרי כצלנסון גוש 6558 חלקה 151.</t>
  </si>
  <si>
    <t>סל להחלפה ושדרוג מזגנים במוסדות חינוך ועירייה. איחוד עם תב"ר 1472.</t>
  </si>
  <si>
    <t>עבודות שונות בפארק כולל תוספת קווי ביוב,שיפוץ שרותים המשך עבודות חידוש מסלול.</t>
  </si>
  <si>
    <r>
      <t>הצללות בי"ס וגנ"י</t>
    </r>
    <r>
      <rPr>
        <b/>
        <sz val="11"/>
        <rFont val="David"/>
        <family val="2"/>
        <charset val="177"/>
      </rPr>
      <t xml:space="preserve">  </t>
    </r>
    <r>
      <rPr>
        <sz val="11"/>
        <rFont val="David"/>
        <family val="2"/>
        <charset val="177"/>
      </rPr>
      <t xml:space="preserve">ומתנס"ים </t>
    </r>
  </si>
  <si>
    <t>משטחי בטיחות, מתקני חצר,גינון, דשא סינטטי.</t>
  </si>
  <si>
    <t>בי"ס חלופי בפארק הרצליה</t>
  </si>
  <si>
    <t>השלמת תכנון וביצוע הקמת בי"ס חלופי בפארק.</t>
  </si>
  <si>
    <t>התקנת מעלית במימון חלקי של משרד החינוך.</t>
  </si>
  <si>
    <t xml:space="preserve">מימון מ. החינוך. </t>
  </si>
  <si>
    <t>שדרוג חט"ב זאב</t>
  </si>
  <si>
    <t>הקמת מערכות pv מעל גגות מבני ציבור בהרצליה</t>
  </si>
  <si>
    <t>רישוי תחנת הדלק העירונית</t>
  </si>
  <si>
    <t>עלויות רישוי/היתר לתחנת הדלק העירונית במתחם אגף תבל.</t>
  </si>
  <si>
    <t>נגישות אקוסטית 2020 מ. החינוך</t>
  </si>
  <si>
    <t>נגישות אקוסטית גנ"י וכיתות בי"ס . מימון מ.החינוך.</t>
  </si>
  <si>
    <t xml:space="preserve"> הקמת מערכת ניטור קולי התראות לפיקוח במסגרת עיר חכמה. הכל בשיתוף פעולה עם מרכז היזמות העירוני. פרויקט השקייה חכמה , מערכת לניהול פדגוגי בניהול אפליקציה ייעודית לגננות , ניהול דאטה בענן, מיזם לחיסכון אנרגיה.</t>
  </si>
  <si>
    <t xml:space="preserve">ציוד מחשוב היקפי ללמידה מרחוק </t>
  </si>
  <si>
    <t>שיקום ופיתוח המצודה הרומית בתל מיכל.</t>
  </si>
  <si>
    <t>תכנון להסדרת ייעודיי קרקע בטיילת החוף. קידום התב"ע בחלק של שדרוג תחנת השאיבה ודרכי הגישה אליה.</t>
  </si>
  <si>
    <t>שיקום מבנה החינוך הימי במרינה</t>
  </si>
  <si>
    <t>שיקום המבנה גג המבנה, שרותים ועבודות פיתוח.</t>
  </si>
  <si>
    <t xml:space="preserve">מסגרת עבודות של  פרויקטים תחבורתיים עפ"י החלטות ועדת תנועה ופניות הציבור : הסדרים בטיחותיים של צמתים , הסדרי חניה ותכנון תנועתי חדש. </t>
  </si>
  <si>
    <t xml:space="preserve">הצללת אזורים של מתקני משחקים לנוחות הציבור. נחקק חוק חדש שאושר בוועדת הפנים המחייב את הרשויות להקים הצללות בגני משחקים. </t>
  </si>
  <si>
    <t xml:space="preserve">עבודות במרחב הציבורי בשטחים ציבוריים בשכונות השונות ברחבי העיר כולל ריהוט רחוב עפ"י תוכנית עבודה שתאושר ע"י הנהלת העיר. </t>
  </si>
  <si>
    <t>התב"ר לסגירה.</t>
  </si>
  <si>
    <t xml:space="preserve">ביצוע סקר מקיף של כל העצים בעיר ע"י אגרונומים. זאת עפ"י דרישה מ. החקלאות עקב שינויי אקלים והזדקנות העצים במרחב הציבורי. </t>
  </si>
  <si>
    <t>פרויקטים סביבתתים לשיפור איכות הסביבה. מימון מלא מ. להגנת הסביבה.</t>
  </si>
  <si>
    <t>עבודות פיתוח השטח בין שכונת יד התשעה לקיר האקוסטי של כביש 531, כולל פיתוח השצ"פ. (שטח שהסתיימו בו עבודות הרכבת הקלה).</t>
  </si>
  <si>
    <t>ייסגר עם קבלת תקבולים מ. הגנת הסביבה.</t>
  </si>
  <si>
    <t>ביצוע עבודות לטיפול במפגעי בטיחות במצוק. מימון מ. הפנים.</t>
  </si>
  <si>
    <t>גן יניב - פיתוח והקמת מתקני כושר</t>
  </si>
  <si>
    <t>הקמת מתקני כושר ופיתוח בשטח הגבול בין גינת הכלבים וחיבור לגן הציבורי בשטח של 1.3 דונם.</t>
  </si>
  <si>
    <t xml:space="preserve">סל עבודות פיתוח גידור והיערכות לקראת פתיחת עונת הרחצה ובמהלכה. </t>
  </si>
  <si>
    <t>ציוד הצלה ובטיחות 2020</t>
  </si>
  <si>
    <t>מימון מ. הפנים.</t>
  </si>
  <si>
    <t>עיצוב מרחבי למידה מוס"ח מ.חינוך</t>
  </si>
  <si>
    <t>מימון מ. החינוך.</t>
  </si>
  <si>
    <t>הצטיידות בית ספר חלופי</t>
  </si>
  <si>
    <t>הצטיידות בי"ס דמוקרטי</t>
  </si>
  <si>
    <t xml:space="preserve">עבודות השלמת שצ"פים וגינת כלבים. </t>
  </si>
  <si>
    <t>תוספת קומה והקמת חדרי פעילויות .</t>
  </si>
  <si>
    <t>המשך עבודות פיתוח שצ"פ בשכונת צמרות והשלמת עבודות ליד המשתלה.</t>
  </si>
  <si>
    <t>המשך פיתוח רחוב צ.ה.ל .</t>
  </si>
  <si>
    <t>מתנ"ס קהילתי  בשטח של כ-4000 מ"ר הכולל גלריה מקומית, ספרייה חדשה,  חדרי חוגים, מועדון לגמלאים ובית קפה.</t>
  </si>
  <si>
    <t xml:space="preserve">התקנת קירוי קשיח במגרשי ספורט 2020: דור, תיכון חדש. </t>
  </si>
  <si>
    <t xml:space="preserve">עבודות פיתוח כולל קו ניקוז רחוב שער הים. </t>
  </si>
  <si>
    <t>הסדרת הסמטה  המקשרת בין רח' אליעזר קפלן במזרח לרח' וינגייט  במערב.</t>
  </si>
  <si>
    <t>הקמת מתנ"ס ברחוב המסילה.</t>
  </si>
  <si>
    <r>
      <t>עבודות הקמת אולם ספורט בנגיד  כולל הריסת אולמות ומקלט קיימים.</t>
    </r>
    <r>
      <rPr>
        <b/>
        <sz val="11"/>
        <rFont val="David"/>
        <family val="2"/>
      </rPr>
      <t xml:space="preserve"> </t>
    </r>
  </si>
  <si>
    <t>פיתוח מתחם ומבנה משכן האומנים בגבעת הסופר.</t>
  </si>
  <si>
    <t xml:space="preserve">ביצוע שצ"פ בקטע רח' דליה רביקוביץ פינת אסתר רהב. </t>
  </si>
  <si>
    <t>המשך תכנון ראשוני הקמת ארנה באיזור האיצטדיון.</t>
  </si>
  <si>
    <t>ליווי פרויקטים של פינוי בינוי הכולל הכנת אומדנים ומפרטים ופיקוח על היתרים וביצוע בפועל.</t>
  </si>
  <si>
    <t xml:space="preserve">עבודות פיתוח. מימון רמ"י במסגרת הסכם "הגג". </t>
  </si>
  <si>
    <t>גשר מחבר בין הפארק לבין שבעת הכוכבים.</t>
  </si>
  <si>
    <t>מתחם בי"ס הנדיב</t>
  </si>
  <si>
    <t>בי"ס דמוקרטי</t>
  </si>
  <si>
    <t>אולם ספורט בי"ס יוחנני</t>
  </si>
  <si>
    <t>בי"ס נוף ים-תוספת 6 כיתות ומקלט</t>
  </si>
  <si>
    <t>חט"ב באלתרמן</t>
  </si>
  <si>
    <t>בית כנסת גליל ים</t>
  </si>
  <si>
    <t>מקווה גליל ים</t>
  </si>
  <si>
    <t>בית ספר ברנר (תוספת 6 כיתות)</t>
  </si>
  <si>
    <r>
      <t xml:space="preserve">אומדן </t>
    </r>
    <r>
      <rPr>
        <b/>
        <sz val="11"/>
        <rFont val="David"/>
        <family val="2"/>
        <charset val="177"/>
      </rPr>
      <t>לשנת 2021</t>
    </r>
  </si>
  <si>
    <t>פיתוח  סופי ברח' זאב במתחם והתחברות כביש סלילה ליהודה הנשיא.</t>
  </si>
  <si>
    <t>ליווי תוכנית הקו הירוק , קו המטרו , מהיר לעיר ואחרים המבוצעים ע"י מ. התחבורה. יועצי תנועה, מפקחים, יועצי בטיחות.</t>
  </si>
  <si>
    <t>סל תכנון הכנת תב"עות לשימור אתרים. השלמת תנאים למתן תוקף.</t>
  </si>
  <si>
    <t>פיתוח סימטה שהפכה לדרך במסגרת תב"ע 2029 בנווה עמל. העבודות כוללות החלפת תשתיות תת קרקעיות,הריסת מבנה והתחברות לרח' כצלנסון.</t>
  </si>
  <si>
    <t xml:space="preserve">הכנת חוו"ד תכנונית והערכות להתנגדות לתוכנית שמקדם מינהל התכנון והועדה המחוזית לכל צפון הרצליה ללא שיתוף העירייה. </t>
  </si>
  <si>
    <t xml:space="preserve">תכנון פיתוח מתחם "ניצבא" כולל פיתוח רחוב העצמאות מבן גוריון עד קהילת ציון. </t>
  </si>
  <si>
    <t xml:space="preserve">תכנון תב"ע לשכונה חדשה בהרצליה הצעירה. שטח בגודל של כ - 50 דונם , כ - 300 יח"ד. </t>
  </si>
  <si>
    <r>
      <t xml:space="preserve">פיתוח מתחם אולפני הרצליה תב"ע הר' 2180. תכנון. </t>
    </r>
    <r>
      <rPr>
        <b/>
        <sz val="11"/>
        <rFont val="David"/>
        <family val="2"/>
      </rPr>
      <t/>
    </r>
  </si>
  <si>
    <r>
      <t>השלמת ביצוע  עבודות סלילה ופיתוח סופי רח' דן שומרון. תכנון רח' דורי.</t>
    </r>
    <r>
      <rPr>
        <b/>
        <sz val="11"/>
        <rFont val="David"/>
        <family val="2"/>
      </rPr>
      <t xml:space="preserve"> </t>
    </r>
  </si>
  <si>
    <t>העצמת הזכויות הנוספות לבנינים לצורך הגברת הכדאיות של ביצוע חיזוק מבנים. בדיקת מבנים קיימים להיתכנות תמ"א והתאמת המדיניות בעיר לתמ"א החדשה שטרם סוכמה.</t>
  </si>
  <si>
    <t>שינוי תוכנית גליל ים א' ב' (=ט')</t>
  </si>
  <si>
    <t xml:space="preserve">שינוי לתוכנית הר' 1985 ב' עקב ריבוי יח"ד והצורך לספק שטחים ציבוריים בגינם. </t>
  </si>
  <si>
    <t xml:space="preserve">תכנון צומת הרב גורן מוהליבר עקב ריבוי תאונות דרכים עפ"י נתוני הרלב"ד. מימון מ. התחבורה. </t>
  </si>
  <si>
    <t>מיחשוב כלל התשתיות הקיימות במרחב הציבורי. ב - 2021 : מיפוי ואיסוף נתונים.</t>
  </si>
  <si>
    <t>צומת כצלנסון  - ירושלים</t>
  </si>
  <si>
    <t>ביצוע צומת כצלנסון ירושלים כולל הארכת הפניה שמאלה.  פרויקט בטיחותי.מימון מ. התחבורה.</t>
  </si>
  <si>
    <t>תכנון הסדרת צומת אשל- בזל</t>
  </si>
  <si>
    <t>תכנון צומת אשל בזל . פרויקט בטיחותי. מימון מ. התחבורה.</t>
  </si>
  <si>
    <t>עבודות ניקוז רחוב סוקולוב</t>
  </si>
  <si>
    <t>הפרדה בין מי נגר למערכת ביוב עירונית</t>
  </si>
  <si>
    <t>תוכנית תפעולית במסגרת "מהיר לעיר"</t>
  </si>
  <si>
    <t xml:space="preserve">עבודות ניקוז  רחוב רבינו תם </t>
  </si>
  <si>
    <t xml:space="preserve">תוכנית אב לביופילטרים ברחבי העיר   </t>
  </si>
  <si>
    <t xml:space="preserve">עבודות ניקוז   רחוב הרב גורן </t>
  </si>
  <si>
    <t xml:space="preserve">עבודות ניקוז   רחוב רוחמה ושבטי ישראל </t>
  </si>
  <si>
    <t>פיתוח דרך מזרחית מקבילה לקיבוץ גלויות</t>
  </si>
  <si>
    <t>ליווי תוכניות ארציות</t>
  </si>
  <si>
    <t>פיתוח קיימות סביבה וחדשנות</t>
  </si>
  <si>
    <t>משרד הפנים</t>
  </si>
  <si>
    <r>
      <t xml:space="preserve">תכנון איזור תעשיה ושכונת מגורים במשולש התחבורה. מקודם בותמ"ל . </t>
    </r>
    <r>
      <rPr>
        <b/>
        <sz val="11"/>
        <rFont val="David"/>
        <family val="2"/>
      </rPr>
      <t xml:space="preserve"> </t>
    </r>
  </si>
  <si>
    <t>הלוואות</t>
  </si>
  <si>
    <t>סל תכנון של תב"עות הנדרשות במהלך השנה כולל  תוכניות גגות מרתפים מבנים ציבוריים.</t>
  </si>
  <si>
    <t>סל תכנון של תוכניות ופרויקטים, מדידות ותכנון ראשוני כולל פיתוח רחבת העיריה ,אלתרמן.</t>
  </si>
  <si>
    <t xml:space="preserve">הכנת תוכנית מתאר כוללנית על מנת לאפשר לעיריה לתכנן תוכניות בסמכות וועדה מקומית. </t>
  </si>
  <si>
    <t>תב"ע בשיתוף מועצת כפר שמריהו לתכנון קישוריות שביל אופניים ופארק בתחום המסילה המתפנה ובחינת חיבור תחבורתי נוסף להרצליה ב'.</t>
  </si>
  <si>
    <t>עבודות לאיתור ליקויים עקב כמות עצומה של מי הנגר החודרים למערכת הביוב והגורמים להצפות ועבודות לתיקונם.</t>
  </si>
  <si>
    <t>שלב ב' של עבודות שיפוצים יסודיים הרחבות בקומת הקרקע, מטבח, חזיתות. עיכוב בהיתר.</t>
  </si>
  <si>
    <t>הקמת מערכות סולאריות על גגות אולמות ספורט ומתנ"סים 14 במספר עפ"י רשימה. מימון הלוואות במסגרת מיזם  מאושר מפעל הפייס.</t>
  </si>
  <si>
    <t>הצטיידות חדשה: כיתות חדשות בעקבות גידול עפ"י צפי במס' תלמידים ופתיחת כיתות במקום החדש , שיפוץ כיתות קיימות בביצוע אגף תבל. סל מסגרת.</t>
  </si>
  <si>
    <t xml:space="preserve">תב"ר מסגרת. ב - 2020 בוצעו 3 גינות. לקראת 2021 בגיבוש תוכנית לאיתור שטחים להקמת גינות כלבים נוספות לאור בקשות תושבי העיר. </t>
  </si>
  <si>
    <t>התקנת תאורה בתחנות אוטובוס ברחבי העיר שהקים מ.התחבורה  וביצוע תשתיות לתחנות אוטובוס שיוצבו ע"י מ. התחבורה ב - 2021.</t>
  </si>
  <si>
    <t>תוכנית אב לשילוט של כל סוגי השילוט בעיר בשלב 1 הרצליה הירוקה ,החלפת שלטים לשלטים מחזירי אור ברחבי העיר .</t>
  </si>
  <si>
    <t xml:space="preserve">הצבת מתקני שתייה מקוררים כולל תשתיות ברחבי העיר לרווחת התושבים. </t>
  </si>
  <si>
    <t xml:space="preserve">ביצוע שצ"פים במתחם : מלכי יהודה (האקליפטוס), קורן,דן שומרון,דורי,משה שמיר. </t>
  </si>
  <si>
    <r>
      <t>הכנת מסמכי מדיניות להתחדשות עירונית בשכונות לגיבוש מדיניות לחידוש המרקם הקיים בשכונות. רח' הרב קוק  , רח' בן גוריון ,תוכנית הר/2213.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איחוד עם תב"ר 1759.</t>
    </r>
  </si>
  <si>
    <r>
      <t xml:space="preserve">העסקת צוות יועצים שילווה את התכנון והביצוע של הפרויקט. התב"ר לסגירה. </t>
    </r>
    <r>
      <rPr>
        <sz val="11"/>
        <rFont val="David"/>
        <family val="2"/>
      </rPr>
      <t>ראה תב"ר 1366.</t>
    </r>
  </si>
  <si>
    <r>
      <t>בדיקת התכנות של מתחמי פינוי בינוי ותכנון פרויקטים להתחדשות עירונית ופינוי בינוי.</t>
    </r>
    <r>
      <rPr>
        <sz val="11"/>
        <rFont val="David"/>
        <family val="2"/>
      </rPr>
      <t xml:space="preserve"> איחוד עם תב"ר 1674.</t>
    </r>
  </si>
  <si>
    <r>
      <t xml:space="preserve">בדיקת התכנות טרם קביעת ותוך כדי בחינת מתחמי פינוי בינוי. </t>
    </r>
    <r>
      <rPr>
        <sz val="11"/>
        <rFont val="David"/>
        <family val="2"/>
      </rPr>
      <t>ראה תב"ר 1660.</t>
    </r>
  </si>
  <si>
    <t>ביצוע תשתיות רח' הנשיא מחיבורו לשער הים עד הצומת רח' הפועל התאנה כולל הטמנת רשת חשמל.</t>
  </si>
  <si>
    <t xml:space="preserve">העבודות:מבנים יבילים, טריבונות, ארונות שחקנים, עבודות בטיחות. </t>
  </si>
  <si>
    <t>הקמת קמפוס מדעים:בי"ס להנדסאים ותיכון חדש.</t>
  </si>
  <si>
    <t>הצטיידות ריהוט ומיחשוב 40 מרחבי למידה כולל 20  כיתות אם . מימון מ. הפיס.</t>
  </si>
  <si>
    <t xml:space="preserve">בניית מרחבי למידה  ב - 14 בי"ס . מימון מ. החינוך. </t>
  </si>
  <si>
    <t xml:space="preserve">הכנת תוכנית לניצול יעיל לשצ"פים ברחבי העיר לשימושי שבילי אופניים והתקנת מצללות. </t>
  </si>
  <si>
    <t xml:space="preserve">סל לשדרוג כבישים במקביל לעבודת תאגיד המים ומדרכות ברחבי העיר עפ"י תוכנית עבודה שתאושר ע"י הנהלת העיר. </t>
  </si>
  <si>
    <t>סל להקמת ושדרוג תשתיות כולל עמודי תאורה והתקנת גופי תאורה בטכנולוגיה מתקדמת עפ"י תוכנית רב שנתית. מימון מ. הכלכלה והתעשיה.</t>
  </si>
  <si>
    <t xml:space="preserve">תוספת כיתות וחדרי ספח בקומת המסד בבי"ס ברנדיס. </t>
  </si>
  <si>
    <t xml:space="preserve">ספירת רכוש במוסדות חינוך ויחידות עירוניות וסימון הרכוש העירוני. </t>
  </si>
  <si>
    <t>עבודות מיזוג, חשמל, נגרות תקשורת  והצטיידות לחמ"ל האחורי. מימון מ. הפנים.</t>
  </si>
  <si>
    <t xml:space="preserve">שיקום חזיתות בנין דיור לקשיש ברח' שמאי. שלב א' חזית דרומית בביצוע. </t>
  </si>
  <si>
    <t>משרד נייד (רכב)  הכולל : מרכז תקשורת רב ערוצית ,תורן תקשורת טלסקופי,עמדת מחשב,קיר תדרוך,עזרים שונים , בלון תאורה להארה של זירת ארוע ,מיזוג אויר,תאורה,מרכז אנרגיה.</t>
  </si>
  <si>
    <t>הקמת גינות קהילתיות בית ספריות. מימון קרן הועדה החקלאית.</t>
  </si>
  <si>
    <t xml:space="preserve">החלפת מתחם ישן ורעוע עשוי מלוחות עץ נרקבים שעומד שעומד לפני פסילת מכון התקנים. </t>
  </si>
  <si>
    <t>פעילות חד פעמית בעקבות ממצאי סקר טבע עירוני. הפעילות כוללת: סילוק מינים פולשים של צמחייה , סגירת אזורים עם בולדרים,שילוט וכתיבת מסמך מדיניות טבע עירונית.</t>
  </si>
  <si>
    <t xml:space="preserve">עב' פיתוח דחופות בלתי צפויות, מימוני ביניים, שיתעוררו במהלך השנה ויבוצעו עפ"י החלטות הנהלת העיר. שנים 2021/2022. </t>
  </si>
  <si>
    <t>עבודות הרחבת והכשרת חלקות נוספות מס' 3 , 5, בבית העלמין החדש. מימון תאגיד בית העלמין הרצליה.</t>
  </si>
  <si>
    <t xml:space="preserve">הקמת מועדון טלויזיה קהילתית במרכז יום לקשיש בצמרות. </t>
  </si>
  <si>
    <t>פיתוח מתחם הרחובות אוצר הצמחים, אבן אודם, הראשונים.</t>
  </si>
  <si>
    <t xml:space="preserve">תכנון פיתוח הרחובות הר מירון בר כוכבא בעקבות אישור תוכנית התחדשות עירונית. </t>
  </si>
  <si>
    <t xml:space="preserve">מימון מ. התחבורה. </t>
  </si>
  <si>
    <t xml:space="preserve">גיבוש תוכנית פעולות לעבודות הגנה על מצוקי חופי הים . 2021: המשך תכנון. מימון מ. הפנים. </t>
  </si>
  <si>
    <t>תכנון ראשוני של פיתוח מתחם "בזק" בו ייבנה בניין משרדים שבין היתר יאוכלס אגף הרווחה.</t>
  </si>
  <si>
    <r>
      <t xml:space="preserve">תכנון וביצוע הקמת 4 כיתות גן במתחם זרובבל. </t>
    </r>
    <r>
      <rPr>
        <sz val="11"/>
        <rFont val="David"/>
        <family val="2"/>
      </rPr>
      <t>מימון מ. החינוך. לו"ז לאיכלוס 9/2021</t>
    </r>
    <r>
      <rPr>
        <b/>
        <sz val="11"/>
        <rFont val="David"/>
        <family val="2"/>
      </rPr>
      <t xml:space="preserve">. </t>
    </r>
  </si>
  <si>
    <t xml:space="preserve">הקמת תיכון 30 כיתות בשב"צ דן שומרון גוש 656 חל' 991. </t>
  </si>
  <si>
    <t xml:space="preserve">תכנון לתוספת 6 כיתות בי"ס שז"ר. </t>
  </si>
  <si>
    <r>
      <t xml:space="preserve">בניית 3 כיתות גן לו"ז לאיכלוס 3/2022, בניית החניון במימון  חברת אפריקה ישראל. </t>
    </r>
    <r>
      <rPr>
        <sz val="11"/>
        <rFont val="David"/>
        <family val="2"/>
      </rPr>
      <t xml:space="preserve">גנ"י:  מימון מ. החינוך. </t>
    </r>
  </si>
  <si>
    <r>
      <t xml:space="preserve">בי"ס יסודי בשטח 304.ב - 2021: תכנון. </t>
    </r>
    <r>
      <rPr>
        <b/>
        <sz val="11"/>
        <rFont val="David"/>
        <family val="2"/>
      </rPr>
      <t/>
    </r>
  </si>
  <si>
    <r>
      <t xml:space="preserve">כיתות גן (3) נוספות מגרש 302 גליל ים. לו"ז לאיכלוס 9/2021. </t>
    </r>
    <r>
      <rPr>
        <sz val="11"/>
        <rFont val="David"/>
        <family val="2"/>
      </rPr>
      <t>מימון מ. החינוך.</t>
    </r>
  </si>
  <si>
    <t xml:space="preserve">עדכון שם תב"ר : מסומן (*) </t>
  </si>
  <si>
    <t>מערכת כבישים באיזור תעשיה מערבי</t>
  </si>
  <si>
    <t>מרכז מדעים וקהילה</t>
  </si>
  <si>
    <t>סה"כ פרק 73</t>
  </si>
  <si>
    <t>סה"כ פרק 74</t>
  </si>
  <si>
    <t>סה"כ פרק 76</t>
  </si>
  <si>
    <t>סה"כ פרק 747</t>
  </si>
  <si>
    <t>סה"כ פרק 81</t>
  </si>
  <si>
    <t>סה"כ פרק 82</t>
  </si>
  <si>
    <t>סה"כ פרק 84</t>
  </si>
  <si>
    <t>סה"כ פרק 85</t>
  </si>
  <si>
    <t>סה"כ פרק 87</t>
  </si>
  <si>
    <t>סה"כ פרק 93</t>
  </si>
  <si>
    <t>סה"כ פרק 61</t>
  </si>
  <si>
    <t>סה"כ פרק 72</t>
  </si>
  <si>
    <t>סה"כ פרק 848</t>
  </si>
  <si>
    <t>סה"כ פרק 99</t>
  </si>
  <si>
    <t>הקמת חניון "מרינה לי".</t>
  </si>
  <si>
    <t xml:space="preserve">ובדיקות קיימות וחדשנות בהיבטים התכנוניים של העיר.  </t>
  </si>
  <si>
    <t>תכנון וביצוע שבילי אופנים ברחבי העיר .  תכנון וביצוע: אלטנוילנד , ז'בוטינסקי , העצמאות , הדר. מימון מ. הפיס.</t>
  </si>
  <si>
    <t>סל העתקות אור של תוכניות הפרויקטים השונים.</t>
  </si>
  <si>
    <t xml:space="preserve">תוכנית מתארית ומפורטת חלקית לאורך רחוב המנהרה ועד פארק הואדי. התוכנית כוללת מתחם לשימור. יש עתירה לבימ"ש של בעלי קרקע פרטיים. </t>
  </si>
  <si>
    <r>
      <t xml:space="preserve">הארכת דרך ירושלים  מרחוב סוקולוב עד ליפקין שחק כולל דרך ושביל אופניים , פיתוח רחוב יבנה והנגב . </t>
    </r>
    <r>
      <rPr>
        <sz val="11"/>
        <rFont val="David"/>
        <family val="2"/>
      </rPr>
      <t>תכנון.</t>
    </r>
    <r>
      <rPr>
        <b/>
        <sz val="11"/>
        <rFont val="David"/>
        <family val="2"/>
      </rPr>
      <t xml:space="preserve"> </t>
    </r>
  </si>
  <si>
    <t>ביצוע סקר חריגות בנייה עפ"י תיקון לחוק הרשויות.</t>
  </si>
  <si>
    <t xml:space="preserve"> ביצוע צווים שיפוטיים וביצוע הריסות במקרים בהם לא בוצעו, ככל שיידרש בהמשך לסקר חריגות הבניה.</t>
  </si>
  <si>
    <t xml:space="preserve">ליווי אדריכלי  לתוכנית בחינת הקשר השביל הירוק המטרופולוני לאורך אבא אבן תל מיכל והמרחב הציבורי במרינה לחיזוק הקישוריות העיר למרינה ולחוף . </t>
  </si>
  <si>
    <t>הקמת תחנות אוטובוס , תחנות קצה ותשתיות בהתאם לצורך, במסגרת התוכנית התפעולית של "מהיר לעיר".</t>
  </si>
  <si>
    <t>הכנת תוכנית אב לביופילטרים ברחבי העיר והקמת 2 ביופילטרים. מתקנים לסינון מים מזוהמים ומניעת בזבוז מי נגר עירוני .</t>
  </si>
  <si>
    <t>ליווי של יועצים ,מתכננים , אגרונום למגוון תוכניות ארציות (תמ"א,תמ"ל)</t>
  </si>
  <si>
    <t xml:space="preserve">יועצי סביבה וקיימות בהיבטים תכנוניים. גיבוש מדיניות של תכנון מיטבי של שטחי החוץ בבי"ס. </t>
  </si>
  <si>
    <t>שצ"פים במתחם הר' 1960</t>
  </si>
  <si>
    <t>תכנון מבנה מעונות לסטודנטים ברח' בן שפרוט.</t>
  </si>
  <si>
    <t xml:space="preserve">בניית אולם ספורט חדש בחטיבה. </t>
  </si>
  <si>
    <t>תכנון במסגרת שינוי תב"ע חניונים הר' 1900. חניונים: משכית (תכנון מפורט), גלגלי הפלדה.</t>
  </si>
  <si>
    <t>פיתוח שצ"פ בגבעת הפרחים כולל הנגשה. ח-ן סופיים.</t>
  </si>
  <si>
    <t>הקמת מע.השכרת אופניים ברחבי העיר ובאיזור התעסוקה, חלק מתוכנית אב להפחתת פליטות גזי חממה. מימון מ.להגנת הסביבה.</t>
  </si>
  <si>
    <t xml:space="preserve">הקמת החניון מתחת לשצ"פ במתחם המרינה לי. </t>
  </si>
  <si>
    <t xml:space="preserve">בניית גן ילדים במתחם זרובבל. ח-ן סופיים. </t>
  </si>
  <si>
    <t xml:space="preserve">בניית גנ"י - גן רשל ובב"ס אילנות. ח-ן סופיים. </t>
  </si>
  <si>
    <t>עבודות הכשרת החוף הנפרד, מעברים ושיפוץ כולל גשר מעבר. ח-ן סופיים.</t>
  </si>
  <si>
    <r>
      <t xml:space="preserve">תכנון פיתוח רחוב הפרטיזנים. </t>
    </r>
    <r>
      <rPr>
        <sz val="11"/>
        <rFont val="David"/>
        <family val="2"/>
      </rPr>
      <t xml:space="preserve">מדרכה מזרחית/דרומית, עבודות ניקוז. </t>
    </r>
  </si>
  <si>
    <t xml:space="preserve">עיצוב חצר לימודית בי"ס גורדון. מימון חלקי מ. החינוך. </t>
  </si>
  <si>
    <t>תכנון ביכנ"ס במתחם גליל ים.</t>
  </si>
  <si>
    <t>תכנון מקווה במתחם גליל ים.</t>
  </si>
  <si>
    <t>עבודות שיקום חזיתות המקווה. ח-ן סופיים.</t>
  </si>
  <si>
    <r>
      <t xml:space="preserve">בניית בית ספר ברח' משה-12 כתות. מימון מ. החינוך. היתר בשלב סופי. </t>
    </r>
    <r>
      <rPr>
        <sz val="11"/>
        <rFont val="David"/>
        <family val="2"/>
      </rPr>
      <t/>
    </r>
  </si>
  <si>
    <r>
      <t xml:space="preserve">החלפת מזגנים והחלפת תאורה ללדים במוס"ח. מימון מ. הכלכלה והתעשיה. </t>
    </r>
    <r>
      <rPr>
        <b/>
        <sz val="11"/>
        <rFont val="David"/>
        <family val="2"/>
      </rPr>
      <t xml:space="preserve"> </t>
    </r>
  </si>
  <si>
    <t xml:space="preserve">הצטיידות מעבדה בהנדסאים . </t>
  </si>
  <si>
    <t>מימון מ. הפנים. עבור רכישת 2 סככות נוספות הצללה לחוף הכוכבים.</t>
  </si>
  <si>
    <t>מימון מ. הפנים. יבוצעו עבודות נוספות בחוף הנפרד.</t>
  </si>
  <si>
    <t>החלפה והוספת ציוד הצלה ובטיחות. מימון מ. הפנים.</t>
  </si>
  <si>
    <t xml:space="preserve">רכישת אופנוע ים כולל זיווד. מימון מ. הפנים. </t>
  </si>
  <si>
    <t xml:space="preserve">החלפה והוספת ציוד הצלה ובטיחות. מימון מ. הפנים. </t>
  </si>
  <si>
    <t xml:space="preserve">מערכות מתקדמות לעיר חכמה כולל שו"ב מצלמות , ציוד נלווה ותשתיות מיחשוב. </t>
  </si>
  <si>
    <t>סל הצטיידות מיחשוב היקפי לקידום למידה דיגיטלית מרחוק בבי"ס. ב - 2021 ציוד מיחשוב מחודש. מימון מ. החינוך.</t>
  </si>
  <si>
    <t>יתרה שלא מומשה</t>
  </si>
  <si>
    <t xml:space="preserve">מערכת כבישים   באזור תעשייה מערבי </t>
  </si>
  <si>
    <t xml:space="preserve">מעון לאנשים עם מוגבלויות -  ביד התשעה </t>
  </si>
  <si>
    <t xml:space="preserve">פארק גליל ים </t>
  </si>
  <si>
    <t xml:space="preserve">שטח 408 גליל ים ב'-גנ"י, בי"ס, ספריה </t>
  </si>
  <si>
    <t xml:space="preserve">קיריית החינוך ( מגרש 406)-ספריה, מרכז קהילתי </t>
  </si>
  <si>
    <t>מענקים ממוסדות שאינם שלטוניים כגון : מפעל הפייס , השתתפויות של תאגידים .</t>
  </si>
  <si>
    <t xml:space="preserve">במסגרת מיזם משותף של משרד האנרגיה, מפעל הפיס ומרכז השלטון המקומי של קרן </t>
  </si>
  <si>
    <t>אושרה בקשת העיריה להשתתפות בפרויקט בסכום של 7,100 אלפי ₪.</t>
  </si>
  <si>
    <t xml:space="preserve">הלוואות שהוקצה לרשויות המקומיות עבור הקמת פאנלים סולאריים על מבני ציבור בתחומן, </t>
  </si>
  <si>
    <t xml:space="preserve">הלוואה </t>
  </si>
  <si>
    <t xml:space="preserve">במסגרת מיזם משותף של משרד האנרגיה ,מפעל הפיס ומרכז השלטון המקומי, נטילת הלוואה </t>
  </si>
  <si>
    <t>וחתימה על התחייבויות  וכל מסמך אחר שיידרש לצורך מימון הפרויקט בתקציב  הבלתי רגיל</t>
  </si>
  <si>
    <t xml:space="preserve">חלוקת ההשקעה בתקציב  באלפי ₪ על פי פרקים עיקריים מפורטת להלן –  </t>
  </si>
  <si>
    <t>מינהל/אגף/
יחידה</t>
  </si>
  <si>
    <t>ריכוז לפי מינהל/אגפים/יחידות</t>
  </si>
  <si>
    <t>משרד הכלכלה והתעשיה</t>
  </si>
  <si>
    <t>תאגיד בית העלמין הרצליה</t>
  </si>
  <si>
    <t>פיתוח מתחם הרחובות יהודה המכבי, זוהר טל, האצל, הגבורה. סיום. ח-ן סופיים.</t>
  </si>
  <si>
    <t>עבודות פיתוח במתחם הרחובות והרחבתם.סיום. ח-ן סופיים.</t>
  </si>
  <si>
    <t>תכנון מתחם מעונות שרה לפינוי ובינוי.התוכנית בשלב סטוטורי מתקדם - בשלב הפקדה. מימון מ. הבינוי.</t>
  </si>
  <si>
    <t>הקמת חניון "מרינה לי"</t>
  </si>
  <si>
    <t xml:space="preserve">עבודות שיפוץ בית ההורים ברחוב אנה פרנק. עבודות שדרוג ושיפוץ כללי. </t>
  </si>
  <si>
    <t>הכשרת סינמטק בבניין העיריה החדש. מימון מ. הפיס.</t>
  </si>
  <si>
    <t xml:space="preserve">תכנון פיתוח מתחם שיכון דרום. תכנון בין רח' בן גוריון-רבי עקיבא-בן יהודה. </t>
  </si>
  <si>
    <t>במקביל,תבר הצטיידות בחינוך .</t>
  </si>
  <si>
    <r>
      <t xml:space="preserve">בניית 10 כיתות גן .  לו"ז לאיכלוס 9/2021. </t>
    </r>
    <r>
      <rPr>
        <sz val="11"/>
        <rFont val="David"/>
        <family val="2"/>
      </rPr>
      <t>מימון מ. החינוך</t>
    </r>
    <r>
      <rPr>
        <b/>
        <sz val="11"/>
        <rFont val="David"/>
        <family val="2"/>
      </rPr>
      <t xml:space="preserve"> .</t>
    </r>
  </si>
  <si>
    <r>
      <rPr>
        <sz val="11"/>
        <rFont val="David"/>
        <family val="2"/>
      </rPr>
      <t xml:space="preserve"> כיתות גן (7) . לו"ז איכלוס 9/2021</t>
    </r>
    <r>
      <rPr>
        <b/>
        <sz val="11"/>
        <rFont val="David"/>
        <family val="2"/>
      </rPr>
      <t xml:space="preserve">. 2 כיתות גן </t>
    </r>
    <r>
      <rPr>
        <sz val="11"/>
        <rFont val="David"/>
        <family val="2"/>
      </rPr>
      <t>מימון מ.החינוך .</t>
    </r>
  </si>
  <si>
    <t xml:space="preserve">החלפת מערכות צ'לרים באולמות הספורט מימון מ. הכלכלה והתעשיה. </t>
  </si>
  <si>
    <r>
      <t xml:space="preserve">התקנת גופי תאורה בטכנולוגיה מתקדמת במגרשי ספורט. </t>
    </r>
    <r>
      <rPr>
        <sz val="11"/>
        <rFont val="David"/>
        <family val="2"/>
      </rPr>
      <t xml:space="preserve">יוגש קול קורא התייעלות מימון מ. הכלכלה והתעשיה. </t>
    </r>
  </si>
  <si>
    <t xml:space="preserve">התקנת מעליות, שרותים ,רמפות בבי"ס עפ"י תוכנית רב שנתית. מימון מ. החינוך. </t>
  </si>
  <si>
    <r>
      <t xml:space="preserve">פרויקט  בניית אודיטוריום ,תוספת 6 כתות ו-2 ממ"דים ,שיפוץ כללי. </t>
    </r>
    <r>
      <rPr>
        <sz val="11"/>
        <rFont val="David"/>
        <family val="2"/>
      </rPr>
      <t>אודיטוריום - מימון מ.הפיס.</t>
    </r>
  </si>
  <si>
    <t>התאמת מבנים בחט"ב סמדר לבי"ס דמוקרטי.</t>
  </si>
  <si>
    <t xml:space="preserve">התקציב מיועד לפרויקטים של השקעה במרחבי למידה ובהצטידויות מוסדות חינוך חדשים </t>
  </si>
  <si>
    <t xml:space="preserve">מימון מ. הפנים.בניית התחנה טרם הסתיימה. </t>
  </si>
  <si>
    <t>תוכנית הצטיידות למיחשוב כל מוס"ח .החלפת מחשבים ניידים והשלמה למורים חדשים, החלפת מקרנים , מחשבים מזכירויות. מימון מפעל הפיס.</t>
  </si>
  <si>
    <t xml:space="preserve">העיריה רשאית לקבל הלוואה מבנק מרכנתיל דיסקונט בע"מ בשיעור ריבית של  </t>
  </si>
  <si>
    <t>פריים מינוס 1%. מפעל הפיס מעמיד ערבות סל ופקדון להבטחת ההלוואה לפרויקט.</t>
  </si>
  <si>
    <t>פרויקטים דחופים בצ"מ 2021/2022</t>
  </si>
  <si>
    <t>יתרה לביצוע צפוי עד 31.12.2021</t>
  </si>
  <si>
    <t>אומדן לביצוע שנת 2022</t>
  </si>
  <si>
    <t>אומדן לביצוע שנת 2023 ואילך</t>
  </si>
  <si>
    <t>תקציב נוסף נדרש במסגרת תוכנית עבודה 2021</t>
  </si>
  <si>
    <t>תקציב נוסף נדרש מעבר לתוכנית עבודה 2021</t>
  </si>
  <si>
    <t>סה"כ תקציב נוסף נדרש 2021</t>
  </si>
  <si>
    <t>יתרת תקציב פנויה 31.12.2021</t>
  </si>
  <si>
    <t>תקציב נדרש 2022</t>
  </si>
  <si>
    <t>הצטיידות בי"ס מפתן ארז</t>
  </si>
  <si>
    <t>שיפוץ חדר מורים תיכון הנדסאים</t>
  </si>
  <si>
    <t>מיול וזיווד חופים 2020 מ.הפנים</t>
  </si>
  <si>
    <r>
      <t xml:space="preserve">הקמת </t>
    </r>
    <r>
      <rPr>
        <sz val="11"/>
        <rFont val="David"/>
        <family val="2"/>
        <charset val="177"/>
      </rPr>
      <t xml:space="preserve">חניון מרינה לי </t>
    </r>
  </si>
  <si>
    <r>
      <t xml:space="preserve"> </t>
    </r>
    <r>
      <rPr>
        <sz val="11"/>
        <rFont val="David"/>
        <family val="2"/>
      </rPr>
      <t>מרכז מדעים וקהילה</t>
    </r>
    <r>
      <rPr>
        <b/>
        <sz val="11"/>
        <rFont val="David"/>
        <family val="2"/>
      </rPr>
      <t xml:space="preserve"> </t>
    </r>
  </si>
  <si>
    <r>
      <t xml:space="preserve">הקמת </t>
    </r>
    <r>
      <rPr>
        <sz val="11"/>
        <rFont val="David"/>
        <family val="2"/>
        <charset val="177"/>
      </rPr>
      <t xml:space="preserve">מתנ"ס רחוב המסילה </t>
    </r>
  </si>
  <si>
    <r>
      <t xml:space="preserve">הקמת אולם ספורט הנגיד </t>
    </r>
    <r>
      <rPr>
        <b/>
        <sz val="11"/>
        <rFont val="David"/>
        <family val="2"/>
      </rPr>
      <t/>
    </r>
  </si>
  <si>
    <r>
      <t>בי"ס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  <charset val="177"/>
      </rPr>
      <t xml:space="preserve">ואולם ספורט ויצמן  </t>
    </r>
    <r>
      <rPr>
        <strike/>
        <sz val="11"/>
        <rFont val="David"/>
        <family val="2"/>
      </rPr>
      <t/>
    </r>
  </si>
  <si>
    <r>
      <t>שצ"פים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  <charset val="177"/>
      </rPr>
      <t>במתחם הר 1960</t>
    </r>
    <r>
      <rPr>
        <b/>
        <sz val="11"/>
        <rFont val="David"/>
        <family val="2"/>
      </rPr>
      <t xml:space="preserve"> </t>
    </r>
  </si>
  <si>
    <r>
      <t>תוכ. אב רב שנתית שיפוצים מוס"ח</t>
    </r>
    <r>
      <rPr>
        <sz val="11"/>
        <rFont val="David"/>
        <family val="2"/>
      </rPr>
      <t xml:space="preserve"> 2021  ואילך.</t>
    </r>
  </si>
  <si>
    <t>החלפת קו ניקוז רח' שלווה</t>
  </si>
  <si>
    <t>החלפת קו ניקוז רח' בזל</t>
  </si>
  <si>
    <t>התקנת תקרות אקוסטיות משרדי רווחה</t>
  </si>
  <si>
    <t>שיפוץ בית הרמלין</t>
  </si>
  <si>
    <t>נגישות אקוסטית 2021 מ.החינוך</t>
  </si>
  <si>
    <t>הקמת מבנים יבילים חדשים באיצטדיון</t>
  </si>
  <si>
    <t>עבודות תשתית ותאורה בעקבות עבודות ח"ח של הטמנת הרשת העילית.</t>
  </si>
  <si>
    <t xml:space="preserve"> תקרות אקוסטיות אגף רווחה בן גוריון 14-16,קומה ב'.</t>
  </si>
  <si>
    <t>אגף רווחה. הסבת אולם למעון יום של עמותת אלווין.</t>
  </si>
  <si>
    <t>נגישות אקוסטית 9 כיתות. מימון מ. החינוך.</t>
  </si>
  <si>
    <t xml:space="preserve"> הקמת 3 מבנים יבילים  באיצטדיון כולל תשתיות ופיתוח דרכי גישה.</t>
  </si>
  <si>
    <t>שיפוץ והצטיידות תיכון הנדסאים. מ. החינוך.</t>
  </si>
  <si>
    <t>החלפת קו ניקוז ברח' שלווה. אומדן ראשוני.</t>
  </si>
  <si>
    <t>החלפת קו ניקוז ברח' בזל. אומדן ראשוני.</t>
  </si>
  <si>
    <t>הערות הנדסה</t>
  </si>
  <si>
    <t>הערות דיון 16.8.21/17.8.21</t>
  </si>
  <si>
    <t>התייחסות הנדסה 29.8.21</t>
  </si>
  <si>
    <t>תקציב נדרש עד 31.12.21- עדכון הנדסה</t>
  </si>
  <si>
    <t>עדכון יתרה לביצוע צפוי עד 31.12.21</t>
  </si>
  <si>
    <t>מימוש תקציב 9/2021</t>
  </si>
  <si>
    <t>הערות הנדסה דיון 16.8.21/17.8.21</t>
  </si>
  <si>
    <t>הערות דיון 30.8.21 דמטרי, איתי</t>
  </si>
  <si>
    <t>התייחסות 13/9</t>
  </si>
  <si>
    <t>הערות דיון הנדסה 13.9.21</t>
  </si>
  <si>
    <t>ריכוז ההשלמות/הערות בהתאם לדיונים.</t>
  </si>
  <si>
    <t>התייחסות 30/9</t>
  </si>
  <si>
    <t>דיון 3.10.21</t>
  </si>
  <si>
    <t>הערות לדיון מנכל</t>
  </si>
  <si>
    <t>סיכום דיון מנכ"ל 5.10.21</t>
  </si>
  <si>
    <t>הערות לדיון ראה"ע</t>
  </si>
  <si>
    <t xml:space="preserve">עדכון מע. מידע הנדסי כתוצאה משינוי ייעודי קרקע עקב החלטות ועדות התכנון. </t>
  </si>
  <si>
    <t>ככל שיאושר תקציב נוסף ב - 2022 יהיה בתב"ר חדש.</t>
  </si>
  <si>
    <t>תקציב מסגרת. ביצוע 2021 מיתרת תקציב פנויה.</t>
  </si>
  <si>
    <t xml:space="preserve">תקציב מסגרת. ביצוע 2021 מיתרת תקציב פנויה. </t>
  </si>
  <si>
    <t>אין פעילות. לקבל הסבר ופרוט. ככל שיאושר תקציב נוסף  ב - 2022 יהיה בתב"ר חדש.</t>
  </si>
  <si>
    <t xml:space="preserve">תוקם הזמנת עבודה להחלפת מדרכות בתום בנייה של אחד הפרויקטים ברחובות העיר </t>
  </si>
  <si>
    <t>יתרת תקציב 311 אלשח נותרה ללא שינוי. ככל שיאושר תקציב ב - 2022, יהיה בתב"ר חדש.</t>
  </si>
  <si>
    <t xml:space="preserve">בהתאם לדיון ראשוני עם מהנדסת העיר בתאריך 10/08/2021, הומלץ לסגור </t>
  </si>
  <si>
    <t>לקבל עדכון לסגירת השריון.לסגור תב"ר.</t>
  </si>
  <si>
    <t>לקבל עדכון לתאור העבודות ופרוט אומדן.</t>
  </si>
  <si>
    <t>השלמת מדרכות קרצוף וריבוד אספלט.</t>
  </si>
  <si>
    <t>במקביל לעבודות התאגיד. לקבל: תאור עבודות,אומדן.</t>
  </si>
  <si>
    <t>מותנה בתוכנית עבודה משותפת עם התאגיד</t>
  </si>
  <si>
    <t>לתקן שריון בחוזה 20013. בהתאם תעודכן יתרת התקציב הפנויה. יתרה פנויה 1.1.22: 0.</t>
  </si>
  <si>
    <t>השריון תוקן.</t>
  </si>
  <si>
    <t>לקבל תאור עבודות ופרוט אומדן.,פריסה לפי שנים, השלמת התנאים לקבלת 2 מלשח מ. הפיס.</t>
  </si>
  <si>
    <t>אביבה/דמיטרי</t>
  </si>
  <si>
    <t>לעדכן לפי 5 מלשח. מימון מ. הפיס. ליזה : לבדיקת מ. הפיס.</t>
  </si>
  <si>
    <t>לפי בדיקה עם מפעל הפיס - הסכום המתאים מופיע במערכת</t>
  </si>
  <si>
    <t>עודכן ל-  5 מלשח כולל 2 מ. הפיס. לקבל עדכון מ. הפיס.</t>
  </si>
  <si>
    <t>לקבל עדכון על מ. הפיס.</t>
  </si>
  <si>
    <t>אשתקד 4.5 מלשח. לא נוצל.</t>
  </si>
  <si>
    <t>עדכון תאור . הנחיית מנכ"ל: לביצוע מיידי.</t>
  </si>
  <si>
    <t>לקבל תאור עבודות ופרוט אומדן.</t>
  </si>
  <si>
    <t>עד 31.12.21 נדרש תקציב של 600 אלשח. התב"ר מסתיים. לעדכן היקף פרויקט. לעדכן תקציב נדרש 2021.</t>
  </si>
  <si>
    <t>תקציב נדרש עודכן (500 אשח)</t>
  </si>
  <si>
    <t>בוטל תקציב 2022. 2021 : 500 אלשח.</t>
  </si>
  <si>
    <t>כל התקציב יידרש לביצוע</t>
  </si>
  <si>
    <t>מוקפא מ.התחבורה.</t>
  </si>
  <si>
    <t>תקציב מסגרת. זהה לאשתקד.</t>
  </si>
  <si>
    <t>ארנה : ייעוד התבר בין היתר הוא לבדיקה והתנעת פרויקטים חדשים. בהמשך ככל שהתברים מאושרים יש להעביר את העלויות לתב"רים הייעודיים.</t>
  </si>
  <si>
    <t>לבדוק עלויות בתב"ר השייכים לפרויקטים ייעודיים. לקבל עדכון הקטנת סכום.</t>
  </si>
  <si>
    <t>תקציב מסגרת. תקציב 2021  1,000 אלשח. לא נוצל במלואו.</t>
  </si>
  <si>
    <t>הביצוע הסתיים, ממתינים לח-ן סופי</t>
  </si>
  <si>
    <t>אין שריון בביצוע. רק בתכנון. לקבל הסבר. בהתאם להקטין תקציב.</t>
  </si>
  <si>
    <t>חוייב חן סופי. לבדוק סגירת תב"ר או לחילופין הקטנת תקציב.</t>
  </si>
  <si>
    <t>ניתן להקטין תקציב ב-900 אשח</t>
  </si>
  <si>
    <t>לא נדרש תקציב 2022. להשאיר 100 אלשח עד 31.12.21. עודכן.</t>
  </si>
  <si>
    <t>יידרשו 1.5 משח להקמת מובל (במסגרת הקו הירוק)+ צוות יועצים</t>
  </si>
  <si>
    <t>ליווי - 400 אלשח. למובל תב"ר חדש בנפרד. לקבל פרוט לליווי ולמובל.</t>
  </si>
  <si>
    <t>לקבל פרוט ל - 400 אלשח. מובל : תבר חדש.</t>
  </si>
  <si>
    <t>אביבה ודמיטרי בחופשה - נעביר פירוט של ה- 400 אשח בשבוע הבא</t>
  </si>
  <si>
    <t>יועצי תכנון - 200 אשח.  ביצוע - 200 אשח</t>
  </si>
  <si>
    <t>עודכן ל - 400 אלשח.. לקבל הסבר לביצוע : פיקוח על העבודות.</t>
  </si>
  <si>
    <t>עודכן לפי יתרת התקציב. אין צורך בתוספת תקציב.</t>
  </si>
  <si>
    <t>תקציב מסגרת. תקציב 2021  1,200 אלשח. לא נוצל .</t>
  </si>
  <si>
    <t>התב"ר לסגירה. ראה ת.ע. 2021 יחד עם תבר 1366. לבדוק סגירת שריונים</t>
  </si>
  <si>
    <t>התב"ר לסגירה. איחוד עם תב"ר 1366.</t>
  </si>
  <si>
    <t>תקציב מסגרת. תקציב 2021  250 אלשח. לא נוצל .</t>
  </si>
  <si>
    <t>הנדסה: בהליך של בדיקת יועצים.</t>
  </si>
  <si>
    <t>נדרש להעריך את היקף הנזק ולהמליץ על שחרור ערבות</t>
  </si>
  <si>
    <t>לקבל עדכון.</t>
  </si>
  <si>
    <t>מתניעים בהתאם טיפול עם הלשכה המשפטית בנושא .</t>
  </si>
  <si>
    <t>לקבל התייחסות לסגירת הנושא.נשלח כתב ההתחייבות והערבות.</t>
  </si>
  <si>
    <t>עולה שוב לסיכום של מהנדסת העיר. נעדכן בשבוע הקרוב</t>
  </si>
  <si>
    <t>ממתין לקבלת עדכון הנדסה לסגירת הטיפול מול היזמים.</t>
  </si>
  <si>
    <r>
      <t>התחדשות עירונית יד  התשעה</t>
    </r>
    <r>
      <rPr>
        <b/>
        <sz val="11"/>
        <rFont val="David"/>
        <family val="2"/>
      </rPr>
      <t xml:space="preserve"> </t>
    </r>
  </si>
  <si>
    <r>
      <t xml:space="preserve">תכנון התחדשות עירונית ביד התשעה במסגרת תוכנית כללית/תוכניות מתחמיות. </t>
    </r>
    <r>
      <rPr>
        <sz val="11"/>
        <rFont val="David"/>
        <family val="2"/>
      </rPr>
      <t>2022 : הכנת מסמך עקרונות.</t>
    </r>
  </si>
  <si>
    <t>הנדסה: התקציב  עבור מסמך עקרונות</t>
  </si>
  <si>
    <t>תקציב מסגרת.</t>
  </si>
  <si>
    <t>מבוקשת הגדלה של 100 אשח - לטובת הפעלת יועצי קרקע</t>
  </si>
  <si>
    <t>יש יתרת תקציב של 130 אלשח.</t>
  </si>
  <si>
    <t>לקבל עדכון. לבדוק הקטנת תקציב.</t>
  </si>
  <si>
    <t>להשאיר תקציב ולהעלות בדיון הנהלה</t>
  </si>
  <si>
    <t>לדיון הנהלה הקטנת תקציב.</t>
  </si>
  <si>
    <t>לקבל הסבר ל-600 אלשח.</t>
  </si>
  <si>
    <t>ממתין לקבלת הסבר ל - 600 אלשח.</t>
  </si>
  <si>
    <t>עבודה סלילה, גינון ותאורה במתחם. 2022: סיום ביצוע שלב א' ותכנון דרך שרות מנחם בגין.</t>
  </si>
  <si>
    <t>לטובת תכנון וביצוע דרך גישה, סלילה וגינון</t>
  </si>
  <si>
    <t>לקבל פרוט תאור עבודות .</t>
  </si>
  <si>
    <t>לקבל פרוט.</t>
  </si>
  <si>
    <t>אביבה ודמיטרי בחופשה - נעביר פירוט בשבוע הבא</t>
  </si>
  <si>
    <t>יידרש 1,000 אשח לתכנון ב-2022</t>
  </si>
  <si>
    <t xml:space="preserve">עודכן הסכום ל-2.3 מלשח: לסיום ביצוע שלב א' ותכנון דרך שרות מנחם בגין. </t>
  </si>
  <si>
    <t xml:space="preserve">ב - 2022: סיום ביצוע שלב א' ותכנון דרך שרות מנחם בגין. </t>
  </si>
  <si>
    <t>חן סופיים קבלן ופיקוח. להשאיר כ - 500 אלשח .להקטין תקציב.</t>
  </si>
  <si>
    <t>נמצא בחן- סופי</t>
  </si>
  <si>
    <t>הסתיים. ח-ן סופיים.</t>
  </si>
  <si>
    <t>תקציב ללא פעילות מ - 2015/2019. לדיון הנהלה.</t>
  </si>
  <si>
    <t>עודכן ללא תוספת תקציב.</t>
  </si>
  <si>
    <t>תקציב מסגרת. תקציב 2021 200 אלשח לא נדרש.</t>
  </si>
  <si>
    <t>לסגירת התב"ר</t>
  </si>
  <si>
    <t>לבדוק סגירת שריונים ולסגור תבר. (איחוד עם תב"ר 1660).</t>
  </si>
  <si>
    <t>לסגירה. איחוד עם תב"ר 1660.</t>
  </si>
  <si>
    <t>לעדכן תקציבית תוספת מ. הבינוי 64 אלשח</t>
  </si>
  <si>
    <t>נדרש להגדיל תקציב ב- 64,226 ₪ בהתאם להגדלת ההסכם שנחתמה</t>
  </si>
  <si>
    <t>עודכן 64,226 ₪ מימון מ. הבינוי.</t>
  </si>
  <si>
    <t>לקבל עדכון</t>
  </si>
  <si>
    <t>ללא פעילות. תקציב 2021 150 אלשח לא נדרש.</t>
  </si>
  <si>
    <t>חיבור הגשר אינו בר ביצוע. לקבל עדכון אפשרויות ומשמעות תקציבית.</t>
  </si>
  <si>
    <t>עדיין לא סוכמו החלופות ההנדסיות</t>
  </si>
  <si>
    <t>חיבור הגשר אינו בר ביצוע.טרם סוכמו החלופות ההנדסיות.</t>
  </si>
  <si>
    <t>חיבור הגשר אינו בר ביצוע.טרם התקבל עדכון החלופות ההנדסיות.</t>
  </si>
  <si>
    <t>הנדסה : יש חלופות.עולה לדיון בועדה מקומית.</t>
  </si>
  <si>
    <t>הנדסה : יש חלופות. עולה לדיון בועדה מקומית.</t>
  </si>
  <si>
    <t>ליווי ותכנון יועץ רמזורים לעדכון מערכת בקרת רמזורים ברחבי העיר עקב צמתים ורמזורים חדשים. 2022: תכנון 20 רמזורים חדשים ,יועץ רמזורים, רמזור בן גוריון בר אילן. עדכון רמזורים לתיעדוף הולכי הרגל.</t>
  </si>
  <si>
    <t>לקבל עדכון.להקטין תקציב.</t>
  </si>
  <si>
    <t>דמיטרי/אביבה</t>
  </si>
  <si>
    <t>לקבל פרוט ל - 1.7 מלשח ב - 2022.</t>
  </si>
  <si>
    <t>החומרים עדיין בהכנה לקראת דיון בפני רה"ע</t>
  </si>
  <si>
    <t>תכנון 20 רמזורים חדשים לפי 50 אלשח , יועץ רמזורים, רמזור בן גוריון בר אילן. עדכון רמזורים לתיעדוף הולכי הרגל.</t>
  </si>
  <si>
    <t>תכנון 20 רמזורים חדשים ,יועץ רמזורים, רמזור בן גוריון בר אילן. עדכון רמזורים לתיעדוף הולכי הרגל.</t>
  </si>
  <si>
    <t>הנחיית מנכל:  להתחיל ביצוע מז'בוטינסקי שבעת הכוכבים.</t>
  </si>
  <si>
    <r>
      <t xml:space="preserve">תוכנית לצורך מידע מה וכמה ניתן לבנות  בהתאם לתשתיות הקיימות במרכז ותוכנית לבחינת הנדרש לאוכלוסיה בשכונות עפ"י תחזיות גידול האוכלוסיה. התב"ר לסגירה. </t>
    </r>
    <r>
      <rPr>
        <sz val="11"/>
        <rFont val="David"/>
        <family val="2"/>
      </rPr>
      <t xml:space="preserve">ראה תב"ר 1756. </t>
    </r>
  </si>
  <si>
    <t>לבדוק סגירת שריונים  ולסגור תבר (איחוד עם תב"ר 1756).</t>
  </si>
  <si>
    <t>טרם ידוע מתי תאושר התכנית ומה תהיה תגובת העירייה. נדרש שריון עבור יועצים, סקרי קרקע .</t>
  </si>
  <si>
    <t>טרם ידוע מתי תאושר התכנית ומה תהיה תגובת העירייה. נדרש שריון עבור יועצים, סקרי קרקע ועוד</t>
  </si>
  <si>
    <t>מוניקה מבקשת לפחות 200 אשח להמשך המענה לגבי התנגדויות לתוכנית ב-22</t>
  </si>
  <si>
    <t>לא עודכן. יתרת תקציב 94 אלשח.</t>
  </si>
  <si>
    <t xml:space="preserve">הליך התנעה לתכנון מתחם לפינוי בינוי למרכז עירוני-עסקי ומגורים ברחוב בן גוריון. </t>
  </si>
  <si>
    <t>לדיון עם רה"ע</t>
  </si>
  <si>
    <t>לא מתוקצב. לדיון הנהלה. לסגור.</t>
  </si>
  <si>
    <t>מומלץ לסגור</t>
  </si>
  <si>
    <t>לדיון הנהלה .לא מתוקצב. לסגור.</t>
  </si>
  <si>
    <t>אין שינוי מאשתקד.</t>
  </si>
  <si>
    <t>יתרת תקציב פנוי מ 31.12.20.</t>
  </si>
  <si>
    <t>יתרת תקציב פנוי מ 31.12.20. ממתין לעדכון הנדסה.</t>
  </si>
  <si>
    <t>הסדרת שבילי גישה רגלית וכניסת כלי רכב לחניות,שביל פינוי אשפה,פיתוח כולל גינון ותאורה.ב-2021 מתוכנן מרכז "מייקרים" בשיתוף אדריכלית השימור. יבוצע לאחר קבלת היתר לבניינים.</t>
  </si>
  <si>
    <t>תבר ללא פעילות.מחכים לביצוע (היתר בנייה טרם התקבל) של הבניינים בני בנימין 2-4. לאחר הסיום יתבצעו עבודות בפרוייקט.</t>
  </si>
  <si>
    <t>עודכן יתרה לביצוע עד 31.12.21. יתרת התקציב פנויה מ-31.12.20</t>
  </si>
  <si>
    <t>יתרת תקציב מ - 2020. ממתין לביצוע (היתר בנייה ) של הבניינים בני בנימין 2-4. לאחר  מכן ניתן  לביצוע.</t>
  </si>
  <si>
    <r>
      <t xml:space="preserve">לדחות ל - 2023. </t>
    </r>
    <r>
      <rPr>
        <b/>
        <sz val="11"/>
        <color rgb="FFFF0000"/>
        <rFont val="David"/>
        <family val="2"/>
      </rPr>
      <t>עודכן.</t>
    </r>
  </si>
  <si>
    <t>נדרשת עבודה שמאית על ההפקעות.לאחר מכן יידרשו המתכננים.</t>
  </si>
  <si>
    <t>להקטין תקציב. יתרת תקציב פנוי מ- 31.12.20.</t>
  </si>
  <si>
    <t>הנדסה- ממתינים לבדיקת שמאים</t>
  </si>
  <si>
    <t>ממתינים לבדיקת שמאים</t>
  </si>
  <si>
    <t>כולל תב"ע נקודתית להחזרת הייעודים בי"ס 304 ויועץ סביבתי.</t>
  </si>
  <si>
    <t>מתוקצב מ. התחבורה.ההתייחסות "המתנה למ. החבורה" אינה ברורה. (הערות תברים ללא תנועה).</t>
  </si>
  <si>
    <t>נמצא בבדיקה נוספת של תשתיות - על מה אושר תכנון ועל מה ביצוע.</t>
  </si>
  <si>
    <t>נמצא בבדיקה נוספת  - על מה אושר תכנון ועל מה ביצוע.</t>
  </si>
  <si>
    <t>להקטין תקציב ל - 100 אלשח 70% מ. התחבורה.</t>
  </si>
  <si>
    <t>בוצעה הקטנת תקציב ל - 100 אלשח 70% מ. התחבורה.</t>
  </si>
  <si>
    <t>להקטין תקציב ל -250  אלשח 70% מ. התחבורה.</t>
  </si>
  <si>
    <t>בוצעה הקטנת תקציב ל - 250 אלשח 70% מ. התחבורה.</t>
  </si>
  <si>
    <t>להשאיר. התוכנית תימשך לאחר ת/2200</t>
  </si>
  <si>
    <t>לדיון הנהלה כולל העברת הפרוקט לח.לפיתוח. (הערות תברים ללא תנועה).</t>
  </si>
  <si>
    <t>תבר ללא פעילות.טיוטת מכרז טרם אושרה במשפטית.  התקיימה ישיבת סטטוס עם מאיה אלדר.</t>
  </si>
  <si>
    <t>עודכן היקף פרויקט. לקבל אומדן.</t>
  </si>
  <si>
    <t>יתרת תקציב מ - 31.12.20. לקבל עדכון להיקף הפרויקט. אביבה ודמיטרי בחופשה - נעביר פירוט בשבוע הבא</t>
  </si>
  <si>
    <t>היקף הפרויקט ללא שינוי מהאומדן שהועבר בשנה שעברה. הנתח התקציבי יידרש לביצוע</t>
  </si>
  <si>
    <t>הנדסה : במכרז.</t>
  </si>
  <si>
    <t>במכרז.</t>
  </si>
  <si>
    <t xml:space="preserve">תבר ללא פעילות. קושי באיתור כמות ספקים שתאפשר יציאה למכרז. </t>
  </si>
  <si>
    <t>יתרת תקציב מ - 31.12.20. קושי באיתור ספקים ליציאה למכרז.</t>
  </si>
  <si>
    <t>לדווח משרד התחבורה.</t>
  </si>
  <si>
    <t>בוצע חשבון-מדווח</t>
  </si>
  <si>
    <t>אין אישור סופי ממשרד התחבורה</t>
  </si>
  <si>
    <t>יש הרשאה מ. התחבורה. ההתייחסות אינה ברורה. (הערות תברים ללא תנועה).</t>
  </si>
  <si>
    <t>יש אישור מ. התחבורה רק על התכנון , טרם התקבל אישור על הביצוע .</t>
  </si>
  <si>
    <t>נמצא בת.ע. 2021. לא נדרש תקציב. לבדיקה.</t>
  </si>
  <si>
    <t>לא נדרש תקציב נוסף ב-2022</t>
  </si>
  <si>
    <t>לא מתוקצב. הסכם בהכנה. (הערות תברים ללא תנועה).</t>
  </si>
  <si>
    <t>לא נדרש התקציב ב - 2021. הסכם בהכנה.</t>
  </si>
  <si>
    <t>כן יידרש ל-2022 - דחוף לביצוע</t>
  </si>
  <si>
    <r>
      <t xml:space="preserve">לדחות תקציב 2022 ל - 2023. </t>
    </r>
    <r>
      <rPr>
        <b/>
        <sz val="11"/>
        <color rgb="FFFF0000"/>
        <rFont val="David"/>
        <family val="2"/>
      </rPr>
      <t xml:space="preserve">עודכן. </t>
    </r>
    <r>
      <rPr>
        <sz val="11"/>
        <color theme="1"/>
        <rFont val="David"/>
        <family val="2"/>
      </rPr>
      <t xml:space="preserve">
</t>
    </r>
  </si>
  <si>
    <t>ישנן הזמנות. בימים אלו עורכים תכניות. תב"ר תלוי התקדמות משרד התחבורה</t>
  </si>
  <si>
    <t xml:space="preserve"> אין שריון. אין תקציב . ההתייחסות אינה ברורה. (הערות תברים ללא תנועה).</t>
  </si>
  <si>
    <t>טרם הוקמו הזמנות בגלל שטרם הוצגו חשבונות בגין השלמת עלויות נוספות .</t>
  </si>
  <si>
    <t>אביבה</t>
  </si>
  <si>
    <t>לקבל התייחסות.</t>
  </si>
  <si>
    <t>יועבר בשבוע הבא</t>
  </si>
  <si>
    <t>לקבל התייחסות.אין שריון.אין ביצוע. יועבר בשבוע הבא.</t>
  </si>
  <si>
    <t>יידרשו 50 אשח לתכנון + 150 אשח לביצוע</t>
  </si>
  <si>
    <t>הסבר נוסף.</t>
  </si>
  <si>
    <t>ממתין לפרוט.</t>
  </si>
  <si>
    <r>
      <t>לא מתוקצב. בתכנון לשימוש ברחובות שונים.</t>
    </r>
    <r>
      <rPr>
        <sz val="11"/>
        <rFont val="David"/>
        <family val="2"/>
      </rPr>
      <t xml:space="preserve">  (הערות תברים ללא תנועה). לא התקבל מימון קול קורא. לדיון הנהלה המשך.</t>
    </r>
  </si>
  <si>
    <t>לדיון הנהלה. לא אושר הקול קורא. לסגור.</t>
  </si>
  <si>
    <r>
      <t xml:space="preserve">לתקצב 100 אלשח ב - 2022. </t>
    </r>
    <r>
      <rPr>
        <b/>
        <sz val="11"/>
        <color rgb="FFFF0000"/>
        <rFont val="David"/>
        <family val="2"/>
      </rPr>
      <t>עודכן.</t>
    </r>
  </si>
  <si>
    <t xml:space="preserve">לא אושר הקול קורא. </t>
  </si>
  <si>
    <t>תקציב 2021 שלא נדרש.</t>
  </si>
  <si>
    <t>הועברה החודש פניה לועדת יועצים</t>
  </si>
  <si>
    <t>לא מתוקצב. לקבל פרוט לתקציב הנדרש. (הערות תברים ללא תנועה). עודכן מ - 550 אלפי ₪.</t>
  </si>
  <si>
    <t>לקבל פרוט לתקציב הנדרש.</t>
  </si>
  <si>
    <t>תכנית מתאר להתחדשות עירונית</t>
  </si>
  <si>
    <t>תכנון ראשוני של כל המתחמים בעיר לבחינת פוטציאל התחדשות.</t>
  </si>
  <si>
    <t>סיגל</t>
  </si>
  <si>
    <t>פירוט : מדידת מרכז העיר (300 אשח), תשתיות ופיתוח סביבתי (500 אשח), הסדרי תנועה והסדרי סביבה (700 אשח)</t>
  </si>
  <si>
    <t>הוקטן ל -800 אלשח.תכנון ראשוני.</t>
  </si>
  <si>
    <t>לקבל מסמך מפורט על הפרויקט. לדיון ראה"ע.</t>
  </si>
  <si>
    <r>
      <t xml:space="preserve">לעדכן תקציב 2022 ל- 500 אלפי ₪. </t>
    </r>
    <r>
      <rPr>
        <b/>
        <sz val="11"/>
        <color rgb="FFFF0000"/>
        <rFont val="David"/>
        <family val="2"/>
      </rPr>
      <t>עודכן.</t>
    </r>
  </si>
  <si>
    <t>שדרוג מובל ניקוז בנעמי שמר</t>
  </si>
  <si>
    <t>פיתוח צומת אל על - נורדאו</t>
  </si>
  <si>
    <t>הסדרת צומת רחובות אל על נורדאו כולל כיכר עדכון תב"ע. ב - 2022 : תכנון ראשוני.</t>
  </si>
  <si>
    <t>לקבל אומדן ותקציב ל - 2022.</t>
  </si>
  <si>
    <t xml:space="preserve">שצפ הואדי והמנהרה הרומית </t>
  </si>
  <si>
    <t>עבודות פיתוח, גינון והשקייה, עבודות ניקוז ותיעול פיתוח לאזור הואדי כולל שיקום מדרכות ושבילי אופניים בנעמי שמר ועבודות חשמל ותאורה.ב - 2022 עבור הפקעות. הפרויקט ברובו במימון נת"ע.</t>
  </si>
  <si>
    <t xml:space="preserve">לקבל מסמך מפורט הכולל פרוט התהליכים והסכומים והשתתפות נת"ע. </t>
  </si>
  <si>
    <t>שצפ שבט מנשה</t>
  </si>
  <si>
    <t>עבודות פיתוח, גינון , השקייה, חשמל ותאורה ברחוב שבט מנשה.</t>
  </si>
  <si>
    <t>לדיון ראה"ע.</t>
  </si>
  <si>
    <t>גינת צוקרמן</t>
  </si>
  <si>
    <t>עבודות פיתוח, גינון , השקייה, חשמל ותאורה רחוב בר כוכבא.</t>
  </si>
  <si>
    <t>המדרון 15 שצ"פ</t>
  </si>
  <si>
    <t>פיתוח רחוב המדרון. רחוב ללא מוצא.</t>
  </si>
  <si>
    <t>לקיים דיון אצל הסמנכ"ל ג'ו.</t>
  </si>
  <si>
    <t>תכנון כולל הרצליה פיתוח</t>
  </si>
  <si>
    <t>בחינת הגדלת זכויות בנייה ובדיקה פרוגרמטית הרצליה פיתוח.</t>
  </si>
  <si>
    <t>מוניקה תעביר פירוט במהלך היום</t>
  </si>
  <si>
    <t>מינהל תפעול</t>
  </si>
  <si>
    <t>הערות</t>
  </si>
  <si>
    <t>הערות דיון 29.8.21 - תבל
הערות דיון 30.8.21 - איילה</t>
  </si>
  <si>
    <t>הערות דיון 14.9.21- איילה</t>
  </si>
  <si>
    <t>הערות הגשה 30.9.21 כולל מייל איילה</t>
  </si>
  <si>
    <t>הערות לקראת דיון מנכל</t>
  </si>
  <si>
    <t>הערות לקראת דיון מנכל מעודכן</t>
  </si>
  <si>
    <t xml:space="preserve">הערות לדיון מנכל </t>
  </si>
  <si>
    <t>אגף מוביל</t>
  </si>
  <si>
    <t xml:space="preserve">סדר עדיפות </t>
  </si>
  <si>
    <t>סיכום דיון מנכ"ל 12.10.21</t>
  </si>
  <si>
    <r>
      <t xml:space="preserve">שדרוג תשתיות בגינות קהילתיות </t>
    </r>
    <r>
      <rPr>
        <sz val="11"/>
        <rFont val="David"/>
        <family val="2"/>
      </rPr>
      <t xml:space="preserve">וחורשות </t>
    </r>
    <r>
      <rPr>
        <sz val="11"/>
        <rFont val="David"/>
        <family val="2"/>
        <charset val="177"/>
      </rPr>
      <t>קיימות. הקמת גינה בגליל ים ונוספת בנווה ישראל.</t>
    </r>
  </si>
  <si>
    <t xml:space="preserve">גינה נוספת גליל ים ובנווה ישראל לפי 60 אלשח לגינה  ושדרוג תשתיות 30 אלשח בגינות קיימות. </t>
  </si>
  <si>
    <t>איכה"ס</t>
  </si>
  <si>
    <r>
      <rPr>
        <b/>
        <strike/>
        <sz val="10"/>
        <color rgb="FFFF0000"/>
        <rFont val="Arial"/>
        <family val="2"/>
      </rPr>
      <t>לקבל אומדן.</t>
    </r>
    <r>
      <rPr>
        <b/>
        <sz val="10"/>
        <color rgb="FFFF0000"/>
        <rFont val="Arial"/>
        <family val="2"/>
      </rPr>
      <t xml:space="preserve"> התקבל</t>
    </r>
  </si>
  <si>
    <t>מימון אחרים</t>
  </si>
  <si>
    <t>שאיפה</t>
  </si>
  <si>
    <r>
      <t xml:space="preserve">מנכ"ל: לעדכן תקציב 2022 ל - 16,000 אלפי ₪. </t>
    </r>
    <r>
      <rPr>
        <b/>
        <sz val="11"/>
        <color rgb="FFFF0000"/>
        <rFont val="David"/>
        <family val="2"/>
      </rPr>
      <t>עודכן.</t>
    </r>
  </si>
  <si>
    <t xml:space="preserve">סל לייעוץ וקידום תכנון הנדסי. </t>
  </si>
  <si>
    <t>הסכום משמש לקידום תכנון לפרוייקטים ובדיקות ייתכנות,הסכום הוגדל מכיוון שגדלו הדרישות לבדיקות ותכנונים שונים לפני פתיחת תב"ר</t>
  </si>
  <si>
    <t>מסגרת תקציב. יוקטן הסכום.  אשתקד 200 אלשח.</t>
  </si>
  <si>
    <t>תקציב מסגרת. אשתקד 200 אלשח.</t>
  </si>
  <si>
    <t>תקציב מסגרת. אשתקד 200 אלשח. הסכום הוגדל מכיוון שגדלו הדרישות לבדיקות ותכנונים שונים לפני פתיחת תב"ר</t>
  </si>
  <si>
    <t>תב"ל</t>
  </si>
  <si>
    <t>תקציב מסגרת. אשתקד 200 אלשח. הסכום הוגדל לאור גידול הדרישות לבדיקות ותכנונים שונים.</t>
  </si>
  <si>
    <r>
      <t xml:space="preserve">משטחי הולם במתקני כושר 3 מלשח מתוך 3 שנים.שיקום השקייה: 7.5 מלשח ,פארק:650 אלשח.לבחון בשנית תבר 1560 בתבל. </t>
    </r>
    <r>
      <rPr>
        <b/>
        <sz val="10"/>
        <color rgb="FFFF0000"/>
        <rFont val="Arial"/>
        <family val="2"/>
      </rPr>
      <t>לקבל המלצה לסדרי עדיפויות בחלק ההשקייה.</t>
    </r>
  </si>
  <si>
    <t>השקייה - חלוקה תלת שנתית (הסכום עודכן)</t>
  </si>
  <si>
    <t xml:space="preserve">תקציב מסגרת.שדרוג  השקיה בפריסה רב שנתית. טיפול במשטחי הולם בהתאם להנחיות מכון התקנים ועבודות בפארק. </t>
  </si>
  <si>
    <r>
      <t xml:space="preserve"> גינות כלבים (5).</t>
    </r>
    <r>
      <rPr>
        <b/>
        <sz val="10"/>
        <color rgb="FFFF0000"/>
        <rFont val="Arial"/>
        <family val="2"/>
      </rPr>
      <t xml:space="preserve"> לקבל פרוט והמלצה לסדרי עדיפויות.</t>
    </r>
  </si>
  <si>
    <t>סדר עדיפויות: 1. רבין 2. אבא אבן 3. הילס שנת 2023 - בית פוסטר ולוי אשכול (הסכום עודכן)</t>
  </si>
  <si>
    <t>תקציב מסגרת.סדר עדיפויות: 1. רבין 2. אבא אבן 3. הילס שנת 2023 - בית פוסטר ולוי אשכול .350 אלשח לגינה.</t>
  </si>
  <si>
    <r>
      <t>הצללה גינות כושר . התקבל פרוט.</t>
    </r>
    <r>
      <rPr>
        <b/>
        <sz val="10"/>
        <color rgb="FFFF0000"/>
        <rFont val="Arial"/>
        <family val="2"/>
      </rPr>
      <t>לקבל המלצה לסדרי עדיפויות.</t>
    </r>
  </si>
  <si>
    <t>חלוקה דו שנתית (הסכום עודכן)</t>
  </si>
  <si>
    <t>תקציב מסגרת. מדובר ב - 25 אלשח להצללה. השלמות : האם מדובר בהחלפת קיים? אם כן- לא בתב"ר.</t>
  </si>
  <si>
    <t xml:space="preserve">תקציב מסגרת. מדובר ב - 25 אלשח להצללה חדשה. </t>
  </si>
  <si>
    <r>
      <t xml:space="preserve">הזמנה עבור "משבר האקלים". ככל שיאושר תבר חדש ב - 2022 יחוייב שם. </t>
    </r>
    <r>
      <rPr>
        <b/>
        <sz val="10"/>
        <color rgb="FFFF0000"/>
        <rFont val="Arial"/>
        <family val="2"/>
      </rPr>
      <t>התב"ר 1345 לסגירה.</t>
    </r>
  </si>
  <si>
    <t xml:space="preserve">שם התוכנית שונה ב- 2018 ל"תוכנית ברית ערים לאיכות חיים וסביבה". לשיחה עם אורנה. </t>
  </si>
  <si>
    <t>התב"ר לקראת סיום. תב"ר חדש "תוכנית ברית ערים לאיכות חיים וסביבה בתב"ר חדש.</t>
  </si>
  <si>
    <t>התב"ר לקראת סיום. פרויקט "תוכנית ברית ערים לאיכות חיים וסביבה בתב"ר חדש.</t>
  </si>
  <si>
    <r>
      <t xml:space="preserve">התקנה שדרוג מזגנים </t>
    </r>
    <r>
      <rPr>
        <sz val="11"/>
        <rFont val="David"/>
        <family val="2"/>
      </rPr>
      <t>במוס"ח</t>
    </r>
    <r>
      <rPr>
        <sz val="11"/>
        <rFont val="David"/>
        <family val="2"/>
        <charset val="177"/>
      </rPr>
      <t xml:space="preserve">   ועיריה </t>
    </r>
  </si>
  <si>
    <t>ע"פ הערכת ביצוע ב 2021, סכומים נוספים נלקחו מתקציבים שונים</t>
  </si>
  <si>
    <t>התקציב הוגדל במהלך השנה ל- 600 אלף ונוצל ברובו</t>
  </si>
  <si>
    <t>בנוסף למהות להגביל סכום הזמנה מעל 50 אלשח.</t>
  </si>
  <si>
    <t>התקציב הוכפל במהלך השנה ל- 600 אלף ונוצל ברובו. יש להגביל סכום הזמנה מעל 50 אלשח.</t>
  </si>
  <si>
    <t>לא התקבל סכום בקשת תקציב ל - 2022.</t>
  </si>
  <si>
    <t>2022 : 3.5 מלשח.</t>
  </si>
  <si>
    <t xml:space="preserve"> איילה דברי איתי-יחד עם תבר 1968- יש לקחת בחשבון גם את נושא הכנת תוכנית האב כחצי מיליון</t>
  </si>
  <si>
    <t>תקציב מסגרת. כולל הכנת תוכנית אב לשדרוג המרחב הציבורי.</t>
  </si>
  <si>
    <t>מינהל</t>
  </si>
  <si>
    <t>הצללות קבועות מעל מגרשי ספורט  עפ"י תוכנית רב שנתית. 3 הצללות ב - 2022: 1 בספורטק , 2 במתנסים עפ"י החלטה.</t>
  </si>
  <si>
    <t>הצללה בספורטק +2 הצללות ב-2 מתנסים לפי החלטת הנהלה</t>
  </si>
  <si>
    <t>לקבל מה נותר לביצוע מהתכנון 2021. לקבל אומדן של 2022 וסדרי עדיפויות.</t>
  </si>
  <si>
    <t>הצללה בספורטק- הועבר אומדן לגבי 2 הצללות נוספות עד שלא יחליטו איפה עושים לא יהיה אומדן מפורט זה בסביבות 500 אלף ₪ *2</t>
  </si>
  <si>
    <t>בוצע שוריין - זאב,וולפסון,בן צבי והחלפות של הצללות</t>
  </si>
  <si>
    <t>בספורטק 1 מלשח, 2 במתנסים להחלטת הנהלה.</t>
  </si>
  <si>
    <t>לקבל אומדן וסדרי עדיפויות.</t>
  </si>
  <si>
    <t>הועבר אומדן</t>
  </si>
  <si>
    <t xml:space="preserve">התקציב הוכפל במהלך השנה ל -7 מלשח. הפרוט לפי סד"ע. השלמות : הצעה לשלביות .
 </t>
  </si>
  <si>
    <r>
      <t xml:space="preserve">התקציב הוכפל במהלך השנה ל -7 מלשח. הפרוט לפי סד"ע. </t>
    </r>
    <r>
      <rPr>
        <sz val="10"/>
        <color rgb="FFFF0000"/>
        <rFont val="Arial"/>
        <family val="2"/>
      </rPr>
      <t xml:space="preserve">לדיון הנהלה: שלביות.
 </t>
    </r>
  </si>
  <si>
    <r>
      <t xml:space="preserve">התקציב הוכפל במהלך השנה ל -7 מלשח. הפרוט לפי סד"ע. </t>
    </r>
    <r>
      <rPr>
        <sz val="11"/>
        <color rgb="FFFF0000"/>
        <rFont val="David"/>
        <family val="2"/>
      </rPr>
      <t xml:space="preserve">
 </t>
    </r>
  </si>
  <si>
    <t>1 + 2</t>
  </si>
  <si>
    <r>
      <rPr>
        <b/>
        <sz val="10"/>
        <color rgb="FFFF0000"/>
        <rFont val="Arial"/>
        <family val="2"/>
      </rPr>
      <t>לקבל אומדן ופרוט</t>
    </r>
    <r>
      <rPr>
        <sz val="10"/>
        <rFont val="Arial"/>
        <family val="2"/>
      </rPr>
      <t>.</t>
    </r>
  </si>
  <si>
    <t>לבחון הקטנת תקציב.</t>
  </si>
  <si>
    <r>
      <t xml:space="preserve">תקציב מסגרת. השלמות : לא ראיתי הסבר לסכום. </t>
    </r>
    <r>
      <rPr>
        <b/>
        <sz val="10"/>
        <color rgb="FFFF0000"/>
        <rFont val="Arial"/>
        <family val="2"/>
      </rPr>
      <t>נשלח אלייך במייל (שולחת שוב)</t>
    </r>
  </si>
  <si>
    <t xml:space="preserve">תקציב מסגרת. </t>
  </si>
  <si>
    <t>לקבל סדרי עדיפויות.</t>
  </si>
  <si>
    <t>צורף מסמך סדרי עדיפויות.</t>
  </si>
  <si>
    <t xml:space="preserve">לקבל הסבר לפרוט כיצד חושב. אין מימון מ. הגנת הסביבה-להחלטת הנהלה. ככל שיוחלט לתקציב בתקציב הרגיל.לקבל עדכון על גרעון. כ - 90 אלשח. </t>
  </si>
  <si>
    <t>יש פרוט.</t>
  </si>
  <si>
    <t>מדובר בפעילתות ברובה שוטפת של הכשרה של הטמעת עקרונות של קיימות.עודכן התקציב ל - 50 אלשח עבור המשך תוכנית חד פעמית של  תוכנית ניטור ביולוגית.</t>
  </si>
  <si>
    <t>מדובר בפעילתו ברובה שוטפת של הכשרה של הטמעת עקרונות של קיימות.עודכן התקציב ל - 50 אלשח עבור המשך תוכנית חד פעמית של  תוכנית ניטור ביולוגית.</t>
  </si>
  <si>
    <t>תקציב של 50 אלשח עבור המשך תוכנית חד פעמית של  תוכנית ניטור ביולוגית.</t>
  </si>
  <si>
    <t>סל עבודות איטום מקלטים  עפ"י תוכנית ומערכת שליטה והגנה על מיקלטים בעיר.</t>
  </si>
  <si>
    <t>לקבל פרוט וסדרי עדיפויות.</t>
  </si>
  <si>
    <t>עוז/אודליה</t>
  </si>
  <si>
    <t>השלמות : פרוט וסדרי עדיפויות.</t>
  </si>
  <si>
    <t>כולל 2.23 מלשח מע. שליטה והגנה במקלטים. השלמות : פרוט וסדרי עדיפויות.</t>
  </si>
  <si>
    <t>כולל 2.23 מלשח מע. שליטה והגנה במקלטים. תקציב מסגרת. לדיון : התאמת השיפוצים עם המיקלוט החכם. סדרי עדיפויות/שלביות.</t>
  </si>
  <si>
    <t>בטחון</t>
  </si>
  <si>
    <t>כולל 2.23 מלשח מע. שליטה והגנה במקלטים. תקציב מסגרת. לדיון : התאמת השיפוצים עם המיקלוט החכם. סדרי עדיפויות/ שלביות.</t>
  </si>
  <si>
    <t>לקבל פרוט . בשלב זה לא נדרש תקציב נוסף  ב - 2021.</t>
  </si>
  <si>
    <t>מצ"ב אומדן</t>
  </si>
  <si>
    <t>התקציב עודכן ל -500 אלשח לביצוע הסקר בלבד עפ"י האומדן.</t>
  </si>
  <si>
    <t>עבור ביצוע סקר בלבד עפ"י האומדן.</t>
  </si>
  <si>
    <t>שינוי מימון. מ. להגנת הסביבה. התב"ר לסגירה.</t>
  </si>
  <si>
    <t>לקבל תשובה בדחיפות :גרעון מימוני מ- מ - 2017 לסגור את התקציב שינוי מימון.</t>
  </si>
  <si>
    <t>שינוי מימון וסגירת תבר. במקביל לבדוק דיווח במסגרת קול קורא 2021.</t>
  </si>
  <si>
    <t>עודכן שינוי מימון ב - 2022. לא יתקבל התקציב.</t>
  </si>
  <si>
    <t>לאחר סגירת השריון ובדיקת התקבול ניתן לסגור התבר</t>
  </si>
  <si>
    <t>לקבל החלטה על הגרעון המימוני בקשע ההרשאה התקציבית 1.7 מלשח.</t>
  </si>
  <si>
    <t>לקבל החלטה על הגרעון המימוני בקשע ההרשאה התקציבית 1.7 מלשח. הרשאה בדיעבד.</t>
  </si>
  <si>
    <t>לקבל החלטה על הגרעון המימוני בקשע ההרשאה התקציבית 1.7 מלשח. הרשאה בדיעבד. הסבת הרשאה לבי"ס הירוק - טרם.</t>
  </si>
  <si>
    <t>לקבל עדכון על תוצאות פגישה עם יוסף יעקב שלא מגיש חן. להתייעץ.עם בת חן.</t>
  </si>
  <si>
    <t>הוגש חשבון</t>
  </si>
  <si>
    <t>קרן ועדה חקלאית.הקמה ושדרוג גינות בבי"ס  כ - 10 גינות לפי 10 אלשח.</t>
  </si>
  <si>
    <t>עודכן מקור המימון 26.9.21</t>
  </si>
  <si>
    <r>
      <rPr>
        <b/>
        <sz val="10"/>
        <rFont val="Arial"/>
        <family val="2"/>
      </rPr>
      <t>להקטין  תקציב עד גובה הביצוע 38,025 ₪.. לקבל עדכון לגבי דיווח הסכום למ. הגנת הסביבה. לאחר מכן ייסגר</t>
    </r>
    <r>
      <rPr>
        <sz val="10"/>
        <rFont val="Arial"/>
        <family val="2"/>
      </rPr>
      <t>.</t>
    </r>
  </si>
  <si>
    <t>גרעון מימוני מ. הגנת הסביבה. הוקטן תקציב 100 אלשח מימון ה. הסביבה. השלמה : עדכון הגרעון המימוני.</t>
  </si>
  <si>
    <t>גרעון מימוני מ. הגנת הסביבה. הוקטן תקציב.</t>
  </si>
  <si>
    <t>גרעון מימוני מ. הגנת הסביבה. הקטנת תקציב.</t>
  </si>
  <si>
    <t>סל לביצוע עבודות פרויקטים קטנים הנדרשים ע"י המינהל מעת לעת.</t>
  </si>
  <si>
    <t>לשנות לתבר רזרבה ברמה מינהלית</t>
  </si>
  <si>
    <t>אשתקד 300 אלשח.</t>
  </si>
  <si>
    <t>יבוצע במסגרת תברים התייעלות אנרגטית</t>
  </si>
  <si>
    <t>לסגור שריון ותבר.</t>
  </si>
  <si>
    <t>התב"ר לסגירה. תבל : לסגור שריון.</t>
  </si>
  <si>
    <t>אשתקד 500 אלשח. מסגרת..</t>
  </si>
  <si>
    <t>לקבל רשימת פרויקטים. סל מסגרת. אשתקד נכלל בתבר 1435. ההסבר לא תואם לסכום הנדרש. מצ"ב.</t>
  </si>
  <si>
    <t>תבר מסגרת. יש רשימת מבני ציבור.</t>
  </si>
  <si>
    <t>פיתוח חצר. לבדוק דיווח עבודות הנגשה 110 אלשח. לקבל אומדן.</t>
  </si>
  <si>
    <r>
      <t xml:space="preserve">לדחות תקציב 2022 ל - 2023. </t>
    </r>
    <r>
      <rPr>
        <b/>
        <sz val="11"/>
        <color rgb="FFFF0000"/>
        <rFont val="David"/>
        <family val="2"/>
      </rPr>
      <t>עודכן.</t>
    </r>
  </si>
  <si>
    <t>עבודות מתעכבות עקב בעיה של תבעות ,בשלב זה תבוצע מעלית</t>
  </si>
  <si>
    <t>לקבל אומדן.למעלית. לקבל עדכון מאבי על הרשאה מ. החינוך.</t>
  </si>
  <si>
    <t>ישיבה עם אבי+ינון לגבי הרשאות 30.9</t>
  </si>
  <si>
    <t>השלמות : אומדן מעלית 950 אלשח. לבדוק קבלת הרשאה מ. החינוך אבי הלד.</t>
  </si>
  <si>
    <t>לקבל אומדן. סל.</t>
  </si>
  <si>
    <t>יתרת תקציב : יציאה לנוהל. לתקב סכום נמוך יותר רק עבור בתים חדשים.. היתר תקציב רגיל. לדיון.</t>
  </si>
  <si>
    <t>מצ"ב הצעת מחיר לפי נוהל משכ"ל שבוצע לאחרונה ע"ס 826 אש"ח. תקציב 21 הינו חלקי.</t>
  </si>
  <si>
    <t>מדובר בהחלפת מיכלי אצירה. לא שייך לתב"ר. תקציב 2022 : בוטל.</t>
  </si>
  <si>
    <t>בעקבות התקנת המעלית נגרמו מס בעיות יש לבצע עבודות נוספות</t>
  </si>
  <si>
    <t>לקבל עדכון על יתרת הדיווח.לבדיקה נושא ההרשאה הנוספת של 366 אלשח. 2 מעליות?</t>
  </si>
  <si>
    <t>השלמות : דיווח מ. החינוך.</t>
  </si>
  <si>
    <r>
      <rPr>
        <b/>
        <sz val="10"/>
        <color rgb="FFFF0000"/>
        <rFont val="Arial"/>
        <family val="2"/>
      </rPr>
      <t>לא לתקצב</t>
    </r>
    <r>
      <rPr>
        <sz val="10"/>
        <rFont val="Arial"/>
        <family val="2"/>
      </rPr>
      <t>. יש מימון גרעוני 2.7 משלח מ. נכלכלה.</t>
    </r>
  </si>
  <si>
    <t>ירון</t>
  </si>
  <si>
    <r>
      <rPr>
        <b/>
        <sz val="11"/>
        <rFont val="David"/>
        <family val="2"/>
      </rPr>
      <t>לא תוקצב בקשה 10 מלשח</t>
    </r>
    <r>
      <rPr>
        <sz val="11"/>
        <rFont val="David"/>
        <family val="2"/>
      </rPr>
      <t>. יש מימון גרעוני 2.7 משלח מ. הכלכלה. צורף אומדן .</t>
    </r>
  </si>
  <si>
    <t>בועז: הדיווחים למשרד הכלכלה בהכנה. יוגשו בימים הקרובים.</t>
  </si>
  <si>
    <t>לא תוקצב בקשה 10 מלשח. יש מימון גרעוני 2.7 משלח מ. הכלכלה. הדיווחים בהכנה. יוגש בימים הקרובים. צורף אומדן .</t>
  </si>
  <si>
    <r>
      <t>פיר מעלית ומעלית בנין המועצה הדתית</t>
    </r>
    <r>
      <rPr>
        <b/>
        <sz val="11"/>
        <rFont val="David"/>
        <family val="2"/>
        <charset val="177"/>
      </rPr>
      <t xml:space="preserve"> (*) עדכון כולל שיפוץ המרפסת ומדרגות</t>
    </r>
  </si>
  <si>
    <t>יבוצע יש כבלים של חברת חשמל שצריכים להזיז</t>
  </si>
  <si>
    <t>לקבל עדכון מתי ידווח למ. הדתות.</t>
  </si>
  <si>
    <t xml:space="preserve">מכינים מכתב לבקשה לדחיית מועד ההרשאה </t>
  </si>
  <si>
    <t>עדכון ייעוד : כולל שיפוץ המרפסת ומדרגות. ממתין להיתר.</t>
  </si>
  <si>
    <t>לקבל עדכון על הגרעון המימוני הרשאה מ. הכלכלה.</t>
  </si>
  <si>
    <t>גרעון מימוני מ. הכלכלה.</t>
  </si>
  <si>
    <t>גרעון מימוני מ. הכלכלה. 142 אלשח. ראה תב"ר 1917.</t>
  </si>
  <si>
    <t>יתרה לעבודות נגישות שונות</t>
  </si>
  <si>
    <t>לקבל פרוט. לקבל עדכון לגבי ההרשאות התקציביות בתב"ר.</t>
  </si>
  <si>
    <t>השלמות : פרוט לתקציב הנדרש, שעכון דיווחים מ. החינוך.</t>
  </si>
  <si>
    <r>
      <t xml:space="preserve">השלמות : פרוט לתקציב הנדרש, עדכון דיווחים מ. החינוך. </t>
    </r>
    <r>
      <rPr>
        <sz val="10"/>
        <color rgb="FFFF0000"/>
        <rFont val="Arial"/>
        <family val="2"/>
      </rPr>
      <t>הפרוט לא ברור.</t>
    </r>
  </si>
  <si>
    <t>תקציב של 200 אלשח : בי"ס הנדיב, בן גוריון , 10 אלשח בצמ. להשלים : דיווח מ. החינוך.</t>
  </si>
  <si>
    <t>מסגרת עבודות במרחב הציבורי. בביצוע שרותים ציבוריים בבית קינן. לאחר מכן ייסגר.</t>
  </si>
  <si>
    <t>היתרה הפנויה עבור שרותים בבית קינן</t>
  </si>
  <si>
    <t>יאוחד עם תבר 1435</t>
  </si>
  <si>
    <t>ייסגר. ראה תב"ר 1435.</t>
  </si>
  <si>
    <r>
      <t>ייסגר. ראה תב"ר 1435.</t>
    </r>
    <r>
      <rPr>
        <sz val="10"/>
        <color rgb="FFFF0000"/>
        <rFont val="Arial"/>
        <family val="2"/>
      </rPr>
      <t>יתרת תקציב 300 אלשח.</t>
    </r>
  </si>
  <si>
    <t>סל עבודות שיפוצים שונות במוס"ח לרבות שיפוצים יסודיים והתאמת מבנים גנ"י.ראה תב"ר 2177. ייסגר עם קבלת תקבול מ. החינוך יביל יד גיורא.</t>
  </si>
  <si>
    <t>לקבל תוכנית עבודה/פרוט לתקציב של 1 מלשח ב - 2022.</t>
  </si>
  <si>
    <t>לקבל פרוט ומיקומים ולדרג.</t>
  </si>
  <si>
    <t>טרם התקבלה התוכנית המפורטת. ראי סיכום דיון.</t>
  </si>
  <si>
    <t>תקציב מסגרת. 100 אלשח ל - 10 פוליגונים בשכונת הרצליה הירוקה.</t>
  </si>
  <si>
    <t>הסתיים. לבדוק יתרת שריון ולסגור תבר.</t>
  </si>
  <si>
    <t>הסתיים. לקראת סגירה.</t>
  </si>
  <si>
    <t>ממתינים להרשאה</t>
  </si>
  <si>
    <t>יבוצע עם קבלת הרשאה תקציבית מ. החינוך.</t>
  </si>
  <si>
    <t xml:space="preserve">לא מתוקצב.ממתין להרשאה 9.7 מלשח מ. החינוך. </t>
  </si>
  <si>
    <t>לא מתוקצב.ממתין להרשאה 9.7 מלשח מ. החינוך. הסבה הרשאה לב טוב - טרם.</t>
  </si>
  <si>
    <t>תקציב 2022 כולל 2 מלשח מ. הפיס. מתוקצב 100 אלשח עבודת הנגשה מ. החינוך. לקבל עדכון לגבי הרשאה נוספת של המעלית.</t>
  </si>
  <si>
    <t>השלמות : עדכון הרשאה מ. החינוך 110 אלשח מתוקצבת  ובקשת הרשאה נוספת למעלית.</t>
  </si>
  <si>
    <t>אבי הלד: בטיפול בקשת הרשאה נוספת למעלית.</t>
  </si>
  <si>
    <t>מימון מ. הפיס 2 מלשח. אבי הלד: בטיפול בקשת הרשאה נוספת למעלית.</t>
  </si>
  <si>
    <t>ליאור : בעיה תכנונית הנמצאת בטיפול.</t>
  </si>
  <si>
    <t>לקבל פרוט ומיקום.</t>
  </si>
  <si>
    <t>התקבל.</t>
  </si>
  <si>
    <t>תקציב מסגרת.עבור 40 מיקומים.</t>
  </si>
  <si>
    <t>תקציב מסגרת.עבור 40 מיקומים. תוספת : 530 מתקנים*5,200 *1.17</t>
  </si>
  <si>
    <t>סל עבודות. לבדוק הקטנת סכום לקראת דיון מנכל. לקבל הצדקה לסכום.</t>
  </si>
  <si>
    <t>סכום גבוה. להקטין לדיון מנכל.</t>
  </si>
  <si>
    <t>מבירור מול גלית, הצרכים גבוהים מהתקציב שהיה בשנה קודמת. מדובר בתב"ר מסגרת והביצוע יהיה בהתאם לתקציב שיאושר.</t>
  </si>
  <si>
    <t>תקציב מסגרת. אשתקד לא תוקצב. ב - 2021 ביצוע כולל שריון של 650 אלשח. יתרת תקציב 180 אלשח.</t>
  </si>
  <si>
    <t>לעדכן יתרה עד 31.12.21. ב - 2022 500 אלשח. לקבל פרוט.</t>
  </si>
  <si>
    <t>לעדכן 500 אלשח ב - 2022 ביצוע. סל מסגרת לדיון הנהלה.</t>
  </si>
  <si>
    <t>טרם התקבל אומדן</t>
  </si>
  <si>
    <t>תקציב מסגרת. 25 אלשח לקולר.</t>
  </si>
  <si>
    <t>לקבל עדכון תאור.</t>
  </si>
  <si>
    <t>כרגע אין אומדן להחלפת מתקן ספציפי אך חלק מהמתקנים בספורטק ישנים מאוד. הרעיון הוא ליצור תב"ר להחלפת המתקנים הישנים בספורטק ובכל פעם להחליף מתקנים במתחם אחר בהתאם לצורך.</t>
  </si>
  <si>
    <t>תקציב מסגרת.אין אומדן להחלפת מתקן מסוים.</t>
  </si>
  <si>
    <t>תקציב מסגרת. אשתקד 1.7 מלשח.</t>
  </si>
  <si>
    <t>סכום משוריין חלק יבוצע ב-2022</t>
  </si>
  <si>
    <t>גרעון מימוני של מ. הגנת הסביב 55 אלשח</t>
  </si>
  <si>
    <t>השלמה: עדכון הגרעון המימוני.</t>
  </si>
  <si>
    <t>לקבל עדכון יתרה לקבל מ. החינוך.</t>
  </si>
  <si>
    <t>השלמות : עדכון גרעון מימוני מ. החינוך.</t>
  </si>
  <si>
    <t>לקבל לוז לתוצאות הליך שיתוף הציבור לגבי מתקן הנינג'ה ובהתאם לבחון המשך או סגירת תבר.</t>
  </si>
  <si>
    <t xml:space="preserve">יתרת התקציב עבור עבודות נוספות  בעקבות עבודות של בניית גנ"י וגדרות במתחם. </t>
  </si>
  <si>
    <t>לקבל אומדן מעודכן.</t>
  </si>
  <si>
    <t>כולל ציוד וריהוט.</t>
  </si>
  <si>
    <t>כולל ציוד וריהוט.הצטיידות חד פעמית עם הקמת החפ"ק. ההמשך לתקצוב שנתי בתקציב הרגיל.</t>
  </si>
  <si>
    <t xml:space="preserve">בטחון </t>
  </si>
  <si>
    <t xml:space="preserve">עבור קיטלוג ומיחשוב המחסן </t>
  </si>
  <si>
    <t>לא לתקצב 2022. תקציב ללא פעילות.</t>
  </si>
  <si>
    <t>תקציב נדרש 2022 50 אלשח נגרע. תב"ר ללא פעילות. יש יתרת תקציב.</t>
  </si>
  <si>
    <t>יתרת התחייבות לקבל. מ. הפנים.</t>
  </si>
  <si>
    <t>עבור תאורה במגרשי האימונים ואולמות ספורט,2 מיליון ₪ מצ"ב פירוט, 700 אלף מגרשי טניס בנווה עמל והיתר החלפת מזגנים לפי תוכנית</t>
  </si>
  <si>
    <r>
      <rPr>
        <b/>
        <sz val="10"/>
        <color rgb="FFFF0000"/>
        <rFont val="Arial"/>
        <family val="2"/>
      </rPr>
      <t>לא לתקצב</t>
    </r>
    <r>
      <rPr>
        <sz val="10"/>
        <rFont val="Arial"/>
        <family val="2"/>
      </rPr>
      <t>. יש מימון גרעוני 1.5 משלח מ. נכלכלה.</t>
    </r>
  </si>
  <si>
    <r>
      <rPr>
        <b/>
        <sz val="11"/>
        <rFont val="David"/>
        <family val="2"/>
      </rPr>
      <t>לא תוקצב</t>
    </r>
    <r>
      <rPr>
        <sz val="11"/>
        <rFont val="David"/>
        <family val="2"/>
      </rPr>
      <t>. יש מימון גרעוני 1.5 משלח מ. הכלכלה.</t>
    </r>
  </si>
  <si>
    <t>לא תוקצב 3.4 מלשח. יש מימון גרעוני 1.5 משלח מ. הכלכלה. ראה תבר 1917.</t>
  </si>
  <si>
    <t>לקבל רשימה וסדרי עדיפויות.</t>
  </si>
  <si>
    <t>הועבר פירוט</t>
  </si>
  <si>
    <t>השלמות : הצעה לשלביות.</t>
  </si>
  <si>
    <t>עודכן ל - 4 מלשח.</t>
  </si>
  <si>
    <t>פרוט.3 מלשח - התאמה לתקן כ"א שאושר מנכל , 1 מלשח החלפה. שלביות?</t>
  </si>
  <si>
    <t>מנכ"ל: לדיון נוסף כולל בהיבט של תקני כ"א במינהל.</t>
  </si>
  <si>
    <t>פרוט.3 מלשח - התאמה לתקן כ"א שאושר מנכל , 1 מלשח החלפה. דיון מנכל. שלביות.</t>
  </si>
  <si>
    <t>לקבל עדכון על דיווחי מ. החינוך מדוע לא התקבלו כספים.</t>
  </si>
  <si>
    <t>לתקצב 2021. בחלקו מימון מ. הכלכלה.  לא לתקצב 2022.</t>
  </si>
  <si>
    <t>תקציב 2022 נגרע 500 אלשח.</t>
  </si>
  <si>
    <t>הגידור לצורך גביית כספים ארועי פארק. לדיון הנהלה. לצרף אומדן מעודכן.</t>
  </si>
  <si>
    <t>תשובה ממשכ"ל</t>
  </si>
  <si>
    <t>השלמות : הגידור לצורך גביית כספים ארועי פארק. לדיון הנהלה. לצרף אומדן מעודכן.</t>
  </si>
  <si>
    <t>הצטיידות חד פעמית בהקמת  יחידת חילוץ מתנדבים שעברו הכשרה בפיקוד העורף לתפקוד במצבי חרום .</t>
  </si>
  <si>
    <t>לקבל פרוט לתקציב 2022.</t>
  </si>
  <si>
    <t>תשובה משמואל</t>
  </si>
  <si>
    <t>השלמות: לקבל פרוט לתקציב 2022.</t>
  </si>
  <si>
    <t>השלמות: הצטיידות חד פעמית?</t>
  </si>
  <si>
    <t>עבור גנ"י וחלק מהמוסדות בשנת 2022</t>
  </si>
  <si>
    <t>עד קבלת עדכון לצורך לא לתקצב 2022.</t>
  </si>
  <si>
    <t xml:space="preserve"> בשלב זה חיבור לגנרטורים עבור 15 בתי ספר שיכולים לשמש כמרכזי קליטה בחרום אומדן כ-70,000 ₪ לחיבור למוסד, מחולק ל-3 שנים </t>
  </si>
  <si>
    <t xml:space="preserve"> ב - 2022 חיבור לגנרטורים עבור 15 בתי ספר שיכולים לשמש כמרכזי קליטה בחרום אומדן כ-70,000 ₪ לחיבור למוסד. </t>
  </si>
  <si>
    <t>1+3</t>
  </si>
  <si>
    <r>
      <t xml:space="preserve">מנכ"ל: לעדכן תקציב 2022 ל - 500 אלפי ₪. </t>
    </r>
    <r>
      <rPr>
        <b/>
        <sz val="11"/>
        <color rgb="FFFF0000"/>
        <rFont val="David"/>
        <family val="2"/>
      </rPr>
      <t>עודכן</t>
    </r>
  </si>
  <si>
    <t>יבוצע עד 31.12.2021</t>
  </si>
  <si>
    <t>יבוצע עד 31.12.21</t>
  </si>
  <si>
    <t>שדרוג רחוב וינגייט</t>
  </si>
  <si>
    <t>לקבל אומדן מפורט ומוסבר. לבחון  אומדנים לפי שלבים.</t>
  </si>
  <si>
    <t>לחילופין להשאיר את הסכום של 1 מלשח לפי אומדן קיים שלב א' מצומצם. לעדכן את התאור. אגף מוביל : מינהל תפעול.</t>
  </si>
  <si>
    <t>מצ"ב אומדן (תאור הפרוייקט עודכן)</t>
  </si>
  <si>
    <r>
      <t xml:space="preserve">השלמה: מי האגף המוביל. </t>
    </r>
    <r>
      <rPr>
        <sz val="10"/>
        <color rgb="FFFF0000"/>
        <rFont val="Arial"/>
        <family val="2"/>
      </rPr>
      <t>מדובר בפרוייקט שכל אגפי המינהל שותפים לו. יש להעביר לתברים מנהליים</t>
    </r>
  </si>
  <si>
    <t>לעדכן אגף מוביל</t>
  </si>
  <si>
    <t>נדחה מ - 2021.</t>
  </si>
  <si>
    <t>לקבל פרוט. תקציב 2021 לא נוצל כלל.</t>
  </si>
  <si>
    <r>
      <t xml:space="preserve">סכום 100 אלשח ינוצל עד 31.12.21. </t>
    </r>
    <r>
      <rPr>
        <strike/>
        <sz val="10"/>
        <rFont val="Arial"/>
        <family val="2"/>
      </rPr>
      <t>לא נדרש תקציב נוסף ב - 2022</t>
    </r>
    <r>
      <rPr>
        <sz val="10"/>
        <rFont val="Arial"/>
        <family val="2"/>
      </rPr>
      <t>.</t>
    </r>
  </si>
  <si>
    <t>תקציב מסגרת.הקמת 35 סככות ותשתיום ל - 100 סככות שהותקנו.</t>
  </si>
  <si>
    <t>תקציב מסגרת.הקמת 35 סככות ותשתיות ל - 100 סככות שהותקנו.</t>
  </si>
  <si>
    <t>תבר ללא פעילת משנת 2020. יתרת התקציב תהיה לביצוע 2022. לא נדרש תקציב נוסף ב - 2022. לעדכן.</t>
  </si>
  <si>
    <t>עודכן תקציב 2022. לא נדרש.</t>
  </si>
  <si>
    <t>מסגרת.</t>
  </si>
  <si>
    <t>הסתיים. לעגן תקציבית 210 אלשח מ. החינוך.</t>
  </si>
  <si>
    <t>עוגן תקציבית הרשאה מ. החינוך 3 יבילים</t>
  </si>
  <si>
    <t>עוגן תקציבית הרשאה מ. החינוך 3 יבילים 210 אלשח.</t>
  </si>
  <si>
    <t>יש לדווח למ. הגנת הסביבה. לאחר קבלת הכספים לסגירה.</t>
  </si>
  <si>
    <t>השלמה : גרעון מימוני מ. הפנים.</t>
  </si>
  <si>
    <t>לדיון הנהלה. תקציב גבוה עקב דרישות הנדסה. לקבל אומדן.</t>
  </si>
  <si>
    <t>השלמות : לקבל אומדן. תקציב גבוה עקב דרישות הנדסה - לדיון הנהלה.</t>
  </si>
  <si>
    <t>תקציב גבוה עקב דרישות הנדסה - לדיון הנהלה. (הופחת הסכום 80 אלשח).</t>
  </si>
  <si>
    <r>
      <t xml:space="preserve">תוספת תקציב עקב דרישות הנדסה -  כ -900 אלפי </t>
    </r>
    <r>
      <rPr>
        <b/>
        <sz val="11"/>
        <rFont val="David"/>
        <family val="2"/>
      </rPr>
      <t>₪.</t>
    </r>
  </si>
  <si>
    <t>מנכ"ל : לדחות תקציב 2022 ל - 2023. לדיון מנכ"ל.</t>
  </si>
  <si>
    <r>
      <t xml:space="preserve">נדחה ל - 2023.תוספת תקציב עקב דרישות הנדסה -  כ -900 אלפי </t>
    </r>
    <r>
      <rPr>
        <b/>
        <sz val="11"/>
        <rFont val="David"/>
        <family val="2"/>
      </rPr>
      <t xml:space="preserve">₪. </t>
    </r>
    <r>
      <rPr>
        <sz val="11"/>
        <rFont val="David"/>
        <family val="2"/>
      </rPr>
      <t>לדיון מנכ"ל.</t>
    </r>
  </si>
  <si>
    <t>לקבל אומדן  להחלטת הנהלה היתה החלטה על הגבלת תקציב.</t>
  </si>
  <si>
    <t>שמואל</t>
  </si>
  <si>
    <t>השלמות : לקבל אומדן  לתוספת. להחלטת הנהלה היתה החלטה על הגבלת תקציב.</t>
  </si>
  <si>
    <t>לקבל אומדן  לתוספת. להחלטת הנהלה היתה החלטה על הגבלת תקציב.</t>
  </si>
  <si>
    <r>
      <t xml:space="preserve">בי"ס דמוקרטי- התאמת מבנה </t>
    </r>
    <r>
      <rPr>
        <b/>
        <sz val="11"/>
        <rFont val="David"/>
        <family val="2"/>
      </rPr>
      <t xml:space="preserve"> בפארק</t>
    </r>
    <r>
      <rPr>
        <sz val="11"/>
        <rFont val="David"/>
        <family val="2"/>
        <charset val="177"/>
      </rPr>
      <t xml:space="preserve">  </t>
    </r>
    <r>
      <rPr>
        <b/>
        <sz val="11"/>
        <rFont val="David"/>
        <family val="2"/>
      </rPr>
      <t>(*) עדכון שם</t>
    </r>
    <r>
      <rPr>
        <sz val="11"/>
        <rFont val="David"/>
        <family val="2"/>
        <charset val="177"/>
      </rPr>
      <t xml:space="preserve"> </t>
    </r>
    <r>
      <rPr>
        <strike/>
        <sz val="11"/>
        <rFont val="David"/>
        <family val="2"/>
      </rPr>
      <t>בחט"ב סמדר</t>
    </r>
  </si>
  <si>
    <t xml:space="preserve">עדכון תאור: המיקום בפארק. לקבל מבן/אולגה : האם מדובר בבי"ס זמני? : </t>
  </si>
  <si>
    <t>השלמות : עדכון תאור.</t>
  </si>
  <si>
    <t xml:space="preserve">עבודות שיפוצים וחזיתות מבנה ביה"ס בשטח של כ - 2,650 מ"ר, עבודות פיתוח ותשתיות מים וביוב. </t>
  </si>
  <si>
    <t>לקבל אומדנים ועדכון שלביות ולוז לאיכלוס.</t>
  </si>
  <si>
    <t>בשנת 2022 יתבצע רק שלב התכנון - מועבר אומדן מעודכן לסהכ הפרוייקט</t>
  </si>
  <si>
    <t>ב - 2022 : לתכנון .</t>
  </si>
  <si>
    <t xml:space="preserve">כרגע אין מציעים למכרז ,יציאה למכרז נוסף </t>
  </si>
  <si>
    <t>לא ברור התקציב הנדרש ב - 2022. בשלב זה רק 7 מלשח מיזם מ. הפיס שנדחה מ - 2021.</t>
  </si>
  <si>
    <t>לקבל עדכון הנדסי.</t>
  </si>
  <si>
    <t>השלמות : לקבל עדכון הנדסי.</t>
  </si>
  <si>
    <t>לדיון הנהלה : קבלת החלטה האם להמשיך בפרויקט.</t>
  </si>
  <si>
    <t>לקבל עדכונים במסגרת קובץ הרשאות נגישות.</t>
  </si>
  <si>
    <t xml:space="preserve">לקבל הצעה לשלביות. בוצע ב - 2021 7 אלשח בלבד לתכנון </t>
  </si>
  <si>
    <t>סיום הפרוייקט במלואו נדרש ל-2022</t>
  </si>
  <si>
    <t>סיום הפרוייקט במלואו נדרש ל-2022. בהמשך לדיון מנכל: אין התייחסות לצורך מבנה חלופי בעת השיקום , הצטיידות?</t>
  </si>
  <si>
    <t>ליאור: עדיין לא נמצא מיקום חלופי בעת עבודות השיקום. לדיון.</t>
  </si>
  <si>
    <t>בביצוע.</t>
  </si>
  <si>
    <t>לקבל עדכון . טרם נוצל.</t>
  </si>
  <si>
    <t>לאחר שיפוצי קיץ יתחילו בביצוע</t>
  </si>
  <si>
    <t>השלמות : עדכונים במסגרת קובץ הרשאות נגישות.</t>
  </si>
  <si>
    <t>נגישות אקוסטית .מימון מ. החינוך. 2022 : תיכון ראשונים.</t>
  </si>
  <si>
    <t>להגדיל לפי הרשאה נוספת ב-30 אלף ₪ לתיכון ראשונים</t>
  </si>
  <si>
    <t>ב - 2022 : 30 אלשח נגישות אקוסטית.</t>
  </si>
  <si>
    <t>עודכן תקציב 2022 30 אלשח.מ. החינוך תיכון ראשונים.</t>
  </si>
  <si>
    <t>הקמת קירות תמך ברחבי העיר</t>
  </si>
  <si>
    <t>הגנת מצוקי הים</t>
  </si>
  <si>
    <t>לקבל עדכון על בקשת מימון מ. הפנים</t>
  </si>
  <si>
    <t xml:space="preserve">בבדיקת רוני גאון </t>
  </si>
  <si>
    <t>השלמות : בקשת מימון מ. הפנים.</t>
  </si>
  <si>
    <t>מתיחת פנים בנווה עמל</t>
  </si>
  <si>
    <t>לקבל שלביות.</t>
  </si>
  <si>
    <t>להשלים : פריסה רב שנתית.</t>
  </si>
  <si>
    <t>שלביות לסדרי עדיפויות.</t>
  </si>
  <si>
    <t>מערכת מבוססת מצלמות לאכיפת חניה ונתצים</t>
  </si>
  <si>
    <t>לקבל עדכון . חלק מ. התחבורה ב - 22. האומדן 9 מלשח (שלב א').</t>
  </si>
  <si>
    <t>מימון 3.4 מלשח מ. התחבורה.</t>
  </si>
  <si>
    <t>תואם</t>
  </si>
  <si>
    <t>תוכנית הערכות לשינויי האקלים</t>
  </si>
  <si>
    <t>לקבל מסמך הסבר פרוט וכיצד נקבעו הסכומים. לתקצב בתקציב הרגיל - לא שייך לתקציב פיתוח.</t>
  </si>
  <si>
    <t>להשלים : הסבר במסמך נפרד כולל הפרוט שהועבר</t>
  </si>
  <si>
    <t xml:space="preserve">להשלים : תאור ומסמך נפרד של הסבר  כולל הפרוט שהועבר. </t>
  </si>
  <si>
    <t>סל למערכות וצרכי בטחון</t>
  </si>
  <si>
    <t>סל למערכות שונות ורכש לצרכי בטחון: מערכת מעברים מהירים לבנין העירייה,רכש מכולות לחרום ורכש רחפן.</t>
  </si>
  <si>
    <t>לא ברור. נא תאור הפרויקט ואומדן.</t>
  </si>
  <si>
    <t>לא ברור. נא תאור הפרויקט יש כבר תב"ר כללי למינהל.</t>
  </si>
  <si>
    <t>שדרוג רחוב אלי לנדאו</t>
  </si>
  <si>
    <t>שדרוג רחוב אלי לנדאו כולל: כבישים, מפרצי חנייה, מדרכות, גינון, תאורה, שילוט וריהוט רחוב.</t>
  </si>
  <si>
    <t>לקבל אומדן ושלביות.</t>
  </si>
  <si>
    <r>
      <t xml:space="preserve">להשלים : נתונים,תאור, ופריסה רב שנתית. </t>
    </r>
    <r>
      <rPr>
        <sz val="10"/>
        <color rgb="FFFF0000"/>
        <rFont val="Arial"/>
        <family val="2"/>
      </rPr>
      <t>עודכנה פריסה לשנתיים.</t>
    </r>
  </si>
  <si>
    <t>רכישת טרקטור לחוף הים</t>
  </si>
  <si>
    <t>לסדרי עדיפויות.</t>
  </si>
  <si>
    <t>רכישת נפת חול לחופי הרחצה</t>
  </si>
  <si>
    <t xml:space="preserve">לקבל פרוט והסבר. </t>
  </si>
  <si>
    <t>נכלל ב - 4 מלשח. נגרע מהקובץ.</t>
  </si>
  <si>
    <t xml:space="preserve">מימון מ. הפנים 170 אלשח. </t>
  </si>
  <si>
    <t>מנכ"ל : לעדכן תקציב  עבור תחנת הצלה נוספת בחוף סידני עלי. להגיש בקשת מימון למשרד הפנים. להעביר אומדן.</t>
  </si>
  <si>
    <t xml:space="preserve">להשלים : אומדן. </t>
  </si>
  <si>
    <t>שילוט בחופי רחצה 2021</t>
  </si>
  <si>
    <t>מימון מ.הפנים.</t>
  </si>
  <si>
    <t>ציוד הצלה ובטיחות 2021</t>
  </si>
  <si>
    <t>רכישת אופנוע ים 2021</t>
  </si>
  <si>
    <t>להשלים את תאור הפרויקט בטור "תאור".</t>
  </si>
  <si>
    <r>
      <t xml:space="preserve">להשלים : תאור - </t>
    </r>
    <r>
      <rPr>
        <sz val="10"/>
        <color rgb="FFFF0000"/>
        <rFont val="Arial"/>
        <family val="2"/>
      </rPr>
      <t>הושלם. ראי גיליון מאוחד הגשה 30.9.21</t>
    </r>
  </si>
  <si>
    <t>שדרוג וחידוש רהוט רחוב ברחבי העיר</t>
  </si>
  <si>
    <t>נא הסבר מפורט מדוע נדרש. ראה הערה בסיכום דיון.</t>
  </si>
  <si>
    <t>לדברי גלית:לא ניתן לבצע בשלביות.</t>
  </si>
  <si>
    <t>תקציב מסגרת.החלפת ושדרוג ריהוט הרחוב ברחבי העיר:650 אלשח-רחבת שער העיר, שדרות חן,חופי הים - השרון, זבולון . 1.35 מלשח יתר השכונות.שאיפה: כל העבודה בסדר עדיפות 1.</t>
  </si>
  <si>
    <t>תקציב מסגרת.שאיפה: כל העבודה בסדר עדיפות 1. לדיון ראה"ע.</t>
  </si>
  <si>
    <t>שיפוצי מוס"ח ע"פ סקרים והערכות לפתיחת שנה"ל</t>
  </si>
  <si>
    <t xml:space="preserve">תקציב מסגרת של עבודות במוס"ח לרבות שיפוצים יסודיים , התאמת מבנים ושדרוג גנ"י על פי רשימה שתאושר ע"י הנהלת העיר. </t>
  </si>
  <si>
    <t>לקבל רשימה וסדרי עדיפויות.. להקטין את הסכום.</t>
  </si>
  <si>
    <t xml:space="preserve">תקציב מסגרת. כולל טיפול במשטחי הולם בהתאם להנחיות מכון התקנים </t>
  </si>
  <si>
    <t xml:space="preserve">תקציב מסגרת. כולל טיפול במשטחי הולם בהתאם להנחיות מכון התקנים. </t>
  </si>
  <si>
    <t>פיתוח מוסדות חינוך בהתאם לתוכנית אב</t>
  </si>
  <si>
    <t>היערכות לתכנון תוכנית אב רב שנתית התאמת מוסדות חינוך בהתאם לצורך ולגידול האוכלוסיה.</t>
  </si>
  <si>
    <t>?? לא ברור. אם מדובר ב"משכ"ל"? "ירד מהפרק. היה פרוטוקול דיון  אהוד.</t>
  </si>
  <si>
    <t>יורד מהקובץ.</t>
  </si>
  <si>
    <t>להשאיר</t>
  </si>
  <si>
    <t>שיפוץ מטבחים במוסדות רווחה</t>
  </si>
  <si>
    <t>שיפוץ מטבחים במוסדות רווחה שונים, הצטיידות תתוקצב ע"י אגף הרווחה.</t>
  </si>
  <si>
    <t>אומדנים, מיקומים וסדרי עדיפויות.</t>
  </si>
  <si>
    <t>להשלים : תאור</t>
  </si>
  <si>
    <t>הנחיית מנכל לפתוח תב"ר כבר ב - 2021 200 אלשח. יעודכן בהמשך.</t>
  </si>
  <si>
    <t>הנחיית מנכ"ל לפתוח תב"ר כבר ב - 2021 200 אלשח. יעודכן בהמשך.</t>
  </si>
  <si>
    <t>שדרוג תאורה במגרשי אימונים באיצטדיון</t>
  </si>
  <si>
    <t>שדרוג תאורה במגרשי האצטדיון-הארת המגרשים בעוצמה טובה יותר החלפה לתאורת לד ,החלפת עמודים בחלק מהמקומות ומערכת בקרה לשליטה מרחוק.</t>
  </si>
  <si>
    <t>להשלים : תאור , כולל גדר? לוודא. לקבל אומדנים ושלביות.</t>
  </si>
  <si>
    <t>להשלים : תאור , בדיקה לשלביות.</t>
  </si>
  <si>
    <t xml:space="preserve"> ניתן בשלביות 3 , 1.8 מלשח.בקשת מימון מ. הספורט טרם נענתה.</t>
  </si>
  <si>
    <t>מנכ"ל: להגיש תוכנית כולל  ניתוח כספי. לדיון ראה"ע.</t>
  </si>
  <si>
    <t>שיקום אצטדיון גורדון</t>
  </si>
  <si>
    <t>להשלים : תאור , לקבל אומדנים ושלביות.</t>
  </si>
  <si>
    <t>להשלים : תאור , אומדן ,בדיקה לשלביות.</t>
  </si>
  <si>
    <t>בית ליצירה אומנותית - מועדון הנוער</t>
  </si>
  <si>
    <t>בקשת תנוס.</t>
  </si>
  <si>
    <t>הקמת שלוחת הצופים ליד אולפנת צביה</t>
  </si>
  <si>
    <t>להשלים : תאור והיתכנות ביצוע.</t>
  </si>
  <si>
    <t>המיקום ליד האולפנה. לעדכן: שם התב"ר ותאור.</t>
  </si>
  <si>
    <t>להשלים : תאור .</t>
  </si>
  <si>
    <t>הסבת מעון יום בנווה ישראל</t>
  </si>
  <si>
    <t>להשלים : תאור, ואומדן.</t>
  </si>
  <si>
    <t>שיפוץ הקונסרבטוריון יד התשעה</t>
  </si>
  <si>
    <t>להשלים : אומדן.
לדיון ראה"ע.</t>
  </si>
  <si>
    <t>שיקום בטונים יציע מערבי באיצטדיון</t>
  </si>
  <si>
    <t>עבודות שיקום בטונים ביציע המערבי בעקבות דוח קונסטרוקטור להשמשת האיצטדיון.</t>
  </si>
  <si>
    <t xml:space="preserve"> </t>
  </si>
  <si>
    <t>מסמך בן</t>
  </si>
  <si>
    <t>מס"ד</t>
  </si>
  <si>
    <t>הערות החברה</t>
  </si>
  <si>
    <t>הערות דיון 24.8.21</t>
  </si>
  <si>
    <t xml:space="preserve">  (1) לתקצוב בדיעבד</t>
  </si>
  <si>
    <t>זמינים לתקצוב בדיעבד (2)</t>
  </si>
  <si>
    <t>זמינים לתקצוב טרם החלה בניה (3)</t>
  </si>
  <si>
    <t>לא זמין רצוי 2/2022 (4)</t>
  </si>
  <si>
    <t>בקשות הועברו (5)</t>
  </si>
  <si>
    <t>?</t>
  </si>
  <si>
    <t>הערות בעקבות פגישה בן 29.8.21</t>
  </si>
  <si>
    <t>הערות בעקבות העדכונים של עמי , שרית 30.8.21</t>
  </si>
  <si>
    <t>הערות דיון עמי 13.9.21</t>
  </si>
  <si>
    <t>הערות דיון שרית 19.9.21</t>
  </si>
  <si>
    <t>סיכום הערות 30.9.21</t>
  </si>
  <si>
    <t>סיכום הערות 3.10.22</t>
  </si>
  <si>
    <t>סיכום דיון מנכ"ל 5.10.21 , 7.10.21</t>
  </si>
  <si>
    <t>הערות - עם עמי 11.10.21</t>
  </si>
  <si>
    <t>ביצוע רח' רח' משכית, השלמת תכנון וביצוע כניסה נוספת רח' שנקר, תכנון וביצוע רח' שנקר, המנופים,יוחנן הסנדלר ויד חרוצים.</t>
  </si>
  <si>
    <t>לקבל אומדן.לבדוק שלביות. לא נדרש תקציב 2021.</t>
  </si>
  <si>
    <t>עודכנה השלביות. תקציב ב - 2022 בתב"ר חדש.</t>
  </si>
  <si>
    <r>
      <t>לעבור על האומדן עם עמי.</t>
    </r>
    <r>
      <rPr>
        <b/>
        <sz val="11"/>
        <rFont val="David"/>
        <family val="2"/>
      </rPr>
      <t>תקציב ב - 2022 בתב"ר חדש.</t>
    </r>
  </si>
  <si>
    <t>מנכ"ל:מסמך מפורט בגין תוספות, תכולת הפרוייקט ואומדן עדכני. לדיון ראה"ע.</t>
  </si>
  <si>
    <r>
      <t xml:space="preserve">עדכון תאור. 25 מלשח כל שנה 2022 ו - 2023. </t>
    </r>
    <r>
      <rPr>
        <b/>
        <sz val="11"/>
        <color rgb="FFFF0000"/>
        <rFont val="David"/>
        <family val="2"/>
      </rPr>
      <t>עודכן</t>
    </r>
    <r>
      <rPr>
        <sz val="11"/>
        <rFont val="David"/>
        <family val="2"/>
        <charset val="177"/>
      </rPr>
      <t xml:space="preserve">. לקבל אומדן . </t>
    </r>
  </si>
  <si>
    <t>השלמות:מסמך מפורט בגין תוספות, תכולת הפרוייקט ואומדן עדכני. לדיון ראה"ע.</t>
  </si>
  <si>
    <t>תקציב ב - 2022 בתב"ר חדש.</t>
  </si>
  <si>
    <t>לסגור</t>
  </si>
  <si>
    <t>לקבל כמה נדרש מתוך יתרת התקציב של 388 אלשח.</t>
  </si>
  <si>
    <t>לסגור תבר</t>
  </si>
  <si>
    <t>חן סופיים. לסגירה.</t>
  </si>
  <si>
    <t>עודכן ל - 250 אלשח ב - 2022.</t>
  </si>
  <si>
    <t>לא נדרש תקציב 2021. (עמי : לבדיקה חוזרת). יעודכן בהמשך עדכון היקף הפרויקט.</t>
  </si>
  <si>
    <r>
      <rPr>
        <strike/>
        <sz val="11"/>
        <rFont val="David"/>
        <family val="2"/>
      </rPr>
      <t>כצלנסון-</t>
    </r>
    <r>
      <rPr>
        <sz val="11"/>
        <rFont val="David"/>
        <family val="2"/>
        <charset val="177"/>
      </rPr>
      <t xml:space="preserve">פיתוח </t>
    </r>
    <r>
      <rPr>
        <b/>
        <sz val="11"/>
        <rFont val="David"/>
        <family val="2"/>
      </rPr>
      <t xml:space="preserve">  פארק רבין (*) עדכון שם</t>
    </r>
  </si>
  <si>
    <t>לקבל אומדן ושלביות. אירינה: בבדיקת היתכנות של שינוי חלק מהשטח הירוק לשטח חום עבור בי"ס נתיב.</t>
  </si>
  <si>
    <t>עודכנה השלביות. לקבל משמעות הערת אירינה/הנדסה.</t>
  </si>
  <si>
    <t>לעבור על האומדן עם עמי.</t>
  </si>
  <si>
    <t>ניתן לבצע בשלביות. ככל שיוחלט על ביצוע יש לחדש היתר.</t>
  </si>
  <si>
    <t>ב - 2022 : ביצוע פארק צפון. לעדכן את השם לפארק רבין.</t>
  </si>
  <si>
    <t>ב - 2022 : ביצוע פארק צפון.  יש לחדש היתר.</t>
  </si>
  <si>
    <t xml:space="preserve">בנין העיריה החדש.  </t>
  </si>
  <si>
    <t>נדרש 700 אלשח להנדסה. לביצוע עד 10/2021. הוקטן תקציב. התב"ר לסגירה.</t>
  </si>
  <si>
    <t>לא לסגור.</t>
  </si>
  <si>
    <t>לקבל אומדן.</t>
  </si>
  <si>
    <t>התקבל אומדן.</t>
  </si>
  <si>
    <t>החלטת עירייה</t>
  </si>
  <si>
    <t>החלטת הנהלה.</t>
  </si>
  <si>
    <t>עבודות מבנה מועדון פטנג. בספורטק.</t>
  </si>
  <si>
    <t>מבנה מועדון (פטנג).</t>
  </si>
  <si>
    <t>לבקשת תנוס.</t>
  </si>
  <si>
    <t>מנכ"ל: בדיקת תוקף ההיתר, מסמך מפורט הכולל אומדן לביצוע ב - 2022.</t>
  </si>
  <si>
    <t>השלמות: בדיקת תוקף ההיתר, מסמך מפורט הכולל אומדן לביצוע ב - 2022.</t>
  </si>
  <si>
    <t>?????</t>
  </si>
  <si>
    <t>לבדיקה מול הגזבר.</t>
  </si>
  <si>
    <t>בבדיקה מול הגזבר:לתקצב 2021כנגד החזרי חלף.</t>
  </si>
  <si>
    <t>חן סופי ולסגירה</t>
  </si>
  <si>
    <t>לקבל עדכון לצפי חן סופי ובהתאם לעדכן יתרת תקציב.</t>
  </si>
  <si>
    <t>לקבל סכום נדרש לחן הסופיים ובהתאם לסגור/להקטין תקציב.</t>
  </si>
  <si>
    <t>חן סופיים לסגירה.</t>
  </si>
  <si>
    <t xml:space="preserve">המשך עבודות פיתוח שצ"פ במתחם אלוני ים הר' 2030 . </t>
  </si>
  <si>
    <r>
      <t xml:space="preserve">מנכ"ל: בשלב זה לא לביצוע גינת כלבים ושב"צ, להשאיר את יתרת התקציב. לדיון ראה"ע. </t>
    </r>
    <r>
      <rPr>
        <b/>
        <sz val="11"/>
        <color rgb="FFFF0000"/>
        <rFont val="David"/>
        <family val="2"/>
      </rPr>
      <t>עודכן תקציב 2022.</t>
    </r>
  </si>
  <si>
    <t>ביצוע פיתוח ותשתית במתחם "מרינה לי". ביצוע שלב ב'.</t>
  </si>
  <si>
    <t>לשנות שם תב"ר לרחוב העצמאות</t>
  </si>
  <si>
    <t>עודכנה השלביות. כולל שביל אופניים(הנדסה)</t>
  </si>
  <si>
    <t>כולל שביל אופניים הנדסה.</t>
  </si>
  <si>
    <t>איתי</t>
  </si>
  <si>
    <t>תקצוב 2022 תוספת הרשאה מ. הבינוי.</t>
  </si>
  <si>
    <t>הוקטן  תקציב מ. התחבורה.לא ינוצל.לקראת סיום.</t>
  </si>
  <si>
    <t>לסגירה. עמי. עדכון מצב הפרויקט.</t>
  </si>
  <si>
    <t>לסגירה. עמי. עדכון מצב הפרויקט. אביבה. תכנון בלבד.</t>
  </si>
  <si>
    <t>לבדיקת ארנה תקציב 2022. נבדק.תוקצב 562,673 שח תוספת בעקבות פשרה בתובענה ייצוגית.</t>
  </si>
  <si>
    <t>אבי : מסתמן עיכוב בביצוע של כחצי שנה. מנכ"ל : לקבל עדכון על הלו"ז לסיום.</t>
  </si>
  <si>
    <t>השלמות : לקבל עדכון על הלו"ז לסיום.</t>
  </si>
  <si>
    <t>לקבל  אומדן ואפשרות לשלביות.</t>
  </si>
  <si>
    <t>עודכנה השלביות. מדוע הוקטן ההיקף? בוטל "מבנה מתנס חדש"</t>
  </si>
  <si>
    <r>
      <t xml:space="preserve">התקבל אומדן. </t>
    </r>
    <r>
      <rPr>
        <b/>
        <sz val="11"/>
        <rFont val="David"/>
        <family val="2"/>
      </rPr>
      <t>לבדוק נושא הריהוט. לקבל אילו עבודות יבוצעו ב - 2022</t>
    </r>
  </si>
  <si>
    <t>בכל מקרה הביצוע ב 2 שנות תקציב.</t>
  </si>
  <si>
    <t>מנכ"ל: לקדם ביצוע עבודות קירוי המגרשים.</t>
  </si>
  <si>
    <t>מנכ"ל: לקבל מסמך מעודכן סטטוס (היבטים סטטוטוריים ומצב תכנון) של כל החניונים במערב העיר.</t>
  </si>
  <si>
    <t>השלמות: לקבל מסמך מעודכן סטטוס (היבטים סטטוטוריים ומצב תכנון) של כל החניונים במערב העיר.</t>
  </si>
  <si>
    <r>
      <t xml:space="preserve">מנכ"ל : לא נדרש תקציב ב - 2022 מעבר ליתרת התקציב הפנויה. </t>
    </r>
    <r>
      <rPr>
        <b/>
        <sz val="11"/>
        <color rgb="FFFF0000"/>
        <rFont val="David"/>
        <family val="2"/>
      </rPr>
      <t>עודכן</t>
    </r>
    <r>
      <rPr>
        <sz val="11"/>
        <rFont val="David"/>
        <family val="2"/>
        <charset val="177"/>
      </rPr>
      <t>.</t>
    </r>
  </si>
  <si>
    <t>פיס?</t>
  </si>
  <si>
    <t>להשלים מתנוס עדכון תאור העבודות כולל סדרי עדיפויות/שלביות.</t>
  </si>
  <si>
    <t>עודכן תקציב ואומדן. לא נדרש בתאום עם תנוס.</t>
  </si>
  <si>
    <t>לסגור לאחר חן סופי</t>
  </si>
  <si>
    <t>לוודא קבלת חן סופי ולסגור תבר.</t>
  </si>
  <si>
    <t>עודכן היקף פרויקט.</t>
  </si>
  <si>
    <t>חן סופיים ולסגירה.</t>
  </si>
  <si>
    <t>נא לצרף הסבר ואומדן</t>
  </si>
  <si>
    <t>חניוני רמת ים "זבולון"</t>
  </si>
  <si>
    <t>מנכ"ל :לכלול במסמך סטטוס חניונים. ראה תב"ר 1845.</t>
  </si>
  <si>
    <t>השלמות :לכלול במסמך סטטוס חניונים. ראה תב"ר 1845.</t>
  </si>
  <si>
    <t>לבדוק שלביות. מסמך בן : לא זמין לתקצוב.</t>
  </si>
  <si>
    <t xml:space="preserve"> לגזור משמעות לוז איכלוס מול תחילת ביצוע וההחלטה אם להמתין להרשאה.</t>
  </si>
  <si>
    <t xml:space="preserve">עודכנה השלביות. </t>
  </si>
  <si>
    <t xml:space="preserve"> לגזור משמעות לוז איכלוס מול תחילת ביצוע וההחלטה אם להמתין להרשאה. לא זמין לתקצוב. (קבוצה 4)</t>
  </si>
  <si>
    <t xml:space="preserve"> לגזור משמעות לוז איכלוס מול תחילת ביצוע . לא זמין לתקצוב. (קבוצה 4) יוגש 2/2022.</t>
  </si>
  <si>
    <t>לדיון נוסף  ב - 2/2022.</t>
  </si>
  <si>
    <t xml:space="preserve"> לגזור משמעות לוז איכלוס מול תחילת ביצוע . לא זמין לתקצוב. (קבוצה 3) לדיון :עיכוב ביצוע / דיון נוסף 2/2022</t>
  </si>
  <si>
    <t>לבדוק מול הנדסה.</t>
  </si>
  <si>
    <t>לקבל החלטה :הגורם האחראי לתכנון. יתרת תקציב. הנדסה : 13 מלשח .לקבל אומדן מהנדסה ושלביות.</t>
  </si>
  <si>
    <t>איתי/אביבה : יתרת תקציב 500 אלשח מספקת.</t>
  </si>
  <si>
    <t>בתאום עם הנדסה.</t>
  </si>
  <si>
    <r>
      <t xml:space="preserve">מנכ"ל: לעדכן תקציב נוסף של 500 אלפי ₪ ב - 2022. </t>
    </r>
    <r>
      <rPr>
        <b/>
        <sz val="11"/>
        <color rgb="FFFF0000"/>
        <rFont val="David"/>
        <family val="2"/>
      </rPr>
      <t>עודכן.</t>
    </r>
  </si>
  <si>
    <t>לקבל עדכון שאין יותר חן ולסגור.</t>
  </si>
  <si>
    <t>תקציב 2021 כולל 1 מלשח מ. הגנת הסביבה. לא תוקצב.בקשת הארכה מ - 12/2020 טרם נענתה.פג תוקף.לבדוק מול שאיפה.</t>
  </si>
  <si>
    <t>מדוע נדרש תקציב נוסף 1.5 מלשח ב - 2021. מה עם מ. הגנת הסביבה?</t>
  </si>
  <si>
    <t>תקציב 2021 : 200 אלשח. 1.3 מלשח ב - 2022. הרשאה : לקבל משאיפה סטטוס.</t>
  </si>
  <si>
    <t>לקבל עדכון סטטוס הרשאה מ. הגנת הסביבה. לא תוקצב.</t>
  </si>
  <si>
    <t>לבדיקה עבור מה נדרש תקציב 2022.</t>
  </si>
  <si>
    <t>לבדיקה עבור מה נדרש תקציב 2022. מימון מ. הגנת הסביבה ?</t>
  </si>
  <si>
    <t>בדיון : להציע לסגור.</t>
  </si>
  <si>
    <t>בדיון מנכל 31.8.21:לקבל עדכון על תקציב 2022 להכשרת החניון.יתרת התקציב עבור עלויות ההיתר של הח.לתיירות.</t>
  </si>
  <si>
    <t>עודכן תקציב 2022 בהתאם לדיון מנכל.</t>
  </si>
  <si>
    <t>עבר מהנדסה. לקבל אומדן.</t>
  </si>
  <si>
    <r>
      <t xml:space="preserve">עבר מהנדסה. לקבל אומדן. </t>
    </r>
    <r>
      <rPr>
        <b/>
        <sz val="11"/>
        <rFont val="David"/>
        <family val="2"/>
      </rPr>
      <t>בטיפול.</t>
    </r>
  </si>
  <si>
    <t>הנדסה: לבדיקה מול הח. לפיתוח סטטוס התכנון ובהתאם שלביות בביצוע.</t>
  </si>
  <si>
    <t>היה שיתוף ציבור. לעדכן את הציבור - אביבה/הנדסה.</t>
  </si>
  <si>
    <t>???</t>
  </si>
  <si>
    <t>ללא תקצוב. לסגור. לדיון הנהלה.</t>
  </si>
  <si>
    <t>לבקשת הנדסה.</t>
  </si>
  <si>
    <t>לבקשת הנדסה. לדיון ראה"ע.</t>
  </si>
  <si>
    <t>לבדיקת ארנה תקציב 2022. נבדק. תוקצב 562,673 שח תוספת בעקבות פשרה בתובענה ייצוגית.</t>
  </si>
  <si>
    <t>לבדוק עם עמי תקציב ביצוע 2021 בעקבות מסמך בן.</t>
  </si>
  <si>
    <t>לבדוק עם עמי הצורך בתקציב ביצוע ב - 2021. לבדיקת תקציב ב - 2/2022. המתנה להרשאה מ.החינוך.</t>
  </si>
  <si>
    <t>עודכנה השלביות.</t>
  </si>
  <si>
    <t>בביצוע. 5.8 מלשח מ. החינוך חסר. בדיעבד (קבוצה 1)</t>
  </si>
  <si>
    <t>התקבל אומדן. איזו חלופה נקבעה. (חלופה ד' דיון מנכל) לקבל שלביות.</t>
  </si>
  <si>
    <t>ניתן לפריסה נוספת.</t>
  </si>
  <si>
    <r>
      <t xml:space="preserve">מנכ"ל: לעדכן תקציב 2022 ל - 20,000 אלפי ₪. </t>
    </r>
    <r>
      <rPr>
        <b/>
        <sz val="11"/>
        <color rgb="FFFF0000"/>
        <rFont val="David"/>
        <family val="2"/>
      </rPr>
      <t>עודכן.</t>
    </r>
  </si>
  <si>
    <t>שלביות נוספת?</t>
  </si>
  <si>
    <t>לבדוק אם ניתן להקטין תקציב.</t>
  </si>
  <si>
    <t>לבדוק אם ניתן להקטין תקציב. חן אחרון 3/2021.</t>
  </si>
  <si>
    <t>אין כל ביצוע. לדיון הנהלה.</t>
  </si>
  <si>
    <t>מנכ"ל : לקבל לו"ז לסיום הפרויקט.</t>
  </si>
  <si>
    <r>
      <t xml:space="preserve">גנ"י נווה עמל ציפורן </t>
    </r>
    <r>
      <rPr>
        <strike/>
        <sz val="11"/>
        <rFont val="David"/>
        <family val="2"/>
      </rPr>
      <t>מוריה</t>
    </r>
    <r>
      <rPr>
        <sz val="11"/>
        <rFont val="David"/>
        <family val="2"/>
      </rPr>
      <t xml:space="preserve"> </t>
    </r>
    <r>
      <rPr>
        <b/>
        <sz val="11"/>
        <rFont val="David"/>
        <family val="2"/>
      </rPr>
      <t>(*) עדכון וחמניה</t>
    </r>
  </si>
  <si>
    <r>
      <t xml:space="preserve">בניית 3 גנ"י בנווה עמל. חלקות בבעלות רמ"י. </t>
    </r>
    <r>
      <rPr>
        <sz val="11"/>
        <rFont val="David"/>
        <family val="2"/>
      </rPr>
      <t xml:space="preserve">נדחה עד הכרת מ. החינוך </t>
    </r>
    <r>
      <rPr>
        <sz val="11"/>
        <rFont val="David"/>
        <family val="2"/>
        <charset val="177"/>
      </rPr>
      <t>והסכם חכירה רמ"י.</t>
    </r>
  </si>
  <si>
    <r>
      <t xml:space="preserve">התכנון לא נעצר. מ. החינוך : עיכוב בשל הסכם חכירה.ב - 2022 : תכנון בלבד. אין הכרה בצורך עדיין. לעדכן לוז איכלוס. </t>
    </r>
    <r>
      <rPr>
        <b/>
        <sz val="11"/>
        <rFont val="David"/>
        <family val="2"/>
      </rPr>
      <t>עמי : לעדכן סכום לתכנון בלבד.</t>
    </r>
  </si>
  <si>
    <t>תכנון בלבד. לבדוק עם בן בשנית.</t>
  </si>
  <si>
    <t>עדיין אין הכרה בצורך (קבוצה 5). ב - 2022: לתקצב תכנון בלבד.</t>
  </si>
  <si>
    <r>
      <t xml:space="preserve">לא נדרש תקצוב. התב"ר לסגירה. </t>
    </r>
    <r>
      <rPr>
        <b/>
        <sz val="11"/>
        <color rgb="FFFF0000"/>
        <rFont val="David"/>
        <family val="2"/>
      </rPr>
      <t>הח. לפיתוח מבדקשת דיון חוזר.</t>
    </r>
  </si>
  <si>
    <t>לדיון חוזר ראה"ע.</t>
  </si>
  <si>
    <r>
      <t xml:space="preserve">מ. החינוך : אין הכרה בצורך. דיון מנכל : לא לתקצוב. התב"ר לסגירה. </t>
    </r>
    <r>
      <rPr>
        <b/>
        <sz val="11"/>
        <rFont val="David"/>
        <family val="2"/>
      </rPr>
      <t>הח. לפיתוח מבקשת דיון חוזר.</t>
    </r>
  </si>
  <si>
    <t>מסמך בן : "צפוניים" נדרש תקצוב בדיעבד מ. החינוך  2.3 מלשח. "דרומיים" ? בדיקת מס הכיתות.</t>
  </si>
  <si>
    <t>לוודא עם עמי שיתרת התקציב מספקת לכל 6 גנ"י.</t>
  </si>
  <si>
    <t>לוודא עם עמי שיתרת התקציב מספקת לכל 6 גנ"י. מדובר בצפוניים ודרומיים.</t>
  </si>
  <si>
    <t>6 גנ"י צפוניים ודרומיים.</t>
  </si>
  <si>
    <t>בביצוע. מ.החינוך-תקצוב בדיעבד. (קבוצה 1)</t>
  </si>
  <si>
    <r>
      <t xml:space="preserve">גנ"י צפוניים בוצע ללא מ. החינוך (2.3 מלשח). גנ"י דרומיים (3) זמין לתקצוב - 2.3 מלשח מ. החינוך איכלוס 9/2023. </t>
    </r>
    <r>
      <rPr>
        <b/>
        <sz val="11"/>
        <rFont val="David"/>
        <family val="2"/>
      </rPr>
      <t xml:space="preserve">עמי : לברור עיכוב תכנון? </t>
    </r>
    <r>
      <rPr>
        <sz val="11"/>
        <rFont val="David"/>
        <family val="2"/>
      </rPr>
      <t>(קבוצה 1 ,2)</t>
    </r>
  </si>
  <si>
    <t>לקבל עדכון חן סופי ולסגור.</t>
  </si>
  <si>
    <t>עודכן תקציב 2022 לבקשת תנוס. לקבל אומדן.</t>
  </si>
  <si>
    <t>לבדיקה התקציב הנדרש. נשלח מייל עם האומדן הקיים.</t>
  </si>
  <si>
    <t>לקבל עדכון לתקציב</t>
  </si>
  <si>
    <t>לקבל עדכון תקציב.</t>
  </si>
  <si>
    <t>לקבל אומדן מעודכן.  
לדיון ראה"ע.</t>
  </si>
  <si>
    <t xml:space="preserve">תוספת מבנה של 6 כיתות    ואולם ספורט חדש בבי"ס ויצמן. ב - 2022: תכנון. </t>
  </si>
  <si>
    <t>מסמך בן : לעדכן תאור. יסודי וחט"ב ?מסמכי קרקע. לעדכן פרק תבר.</t>
  </si>
  <si>
    <t>תחילת תכנון .(קבוצה 4).</t>
  </si>
  <si>
    <t>ללא פעילות. לדיון הנהלה.</t>
  </si>
  <si>
    <t>ללא פעילות. לא לסגור. לדיון חוזר.</t>
  </si>
  <si>
    <t>לבדוק הנדסית מדוע לא מתבצע.</t>
  </si>
  <si>
    <t>לקבל מסמך מעודכן על הפרויקט כולל תקציב נדרש ב - 2022.</t>
  </si>
  <si>
    <t>לבדיקה אומדן ותקציב  נדרש מיתרת התקציב.</t>
  </si>
  <si>
    <t>לבדוק שלביות נוספת. מימון מ. החינוך. לקבל עדכון תאור לא תואם מסמך בן. עודכן. לדיון : תקציב 2022. לא זמין לתקצוב.</t>
  </si>
  <si>
    <t>לקראת היתר. לדיון תקצוב ביצוע ת.ע. 2022 או ב - 2/2022</t>
  </si>
  <si>
    <t>לקראת היתר. לדיון תקצוב ביצוע ת.ע. 2022 או ב - 2/2022. לקבל לוז איכלוס ושלביות בהתאם.</t>
  </si>
  <si>
    <t>תקציב 2021: עודכן ללא 2 מלשח מ. הפיס.מייל מ - 11.4.21. להשלים מפרט וכתב כמויות לצורך קבלת המענק. לתקצב ב - 2022.</t>
  </si>
  <si>
    <t>לדיון ראה"ע. 
לאחר הדיון : אגף רווחה העביר לחתימות בקשת מימון מקרן שלם  (1 מלשח) ובטוח לאומי (2.2 מלשח).</t>
  </si>
  <si>
    <t>לוודא מיקום.</t>
  </si>
  <si>
    <t>לדיון ראה"ע. 
לאחר הדיון : אגף רווחה העביר לחתימות בקשת מימון מקרן שלם  (1 מלשח) וב' לאומי (2.2 מלשח). לפי אומדן מוגבל של 11.4 מלשח.</t>
  </si>
  <si>
    <r>
      <t xml:space="preserve">מנכ"ל: לדחות תקציב ל - 2023. </t>
    </r>
    <r>
      <rPr>
        <b/>
        <sz val="11"/>
        <color rgb="FFFF0000"/>
        <rFont val="David"/>
        <family val="2"/>
      </rPr>
      <t>עודכן.</t>
    </r>
  </si>
  <si>
    <t>סל עבודות לשדרוג במרחב הציבורי קירצוף וריבוד באיזור התעשיה.</t>
  </si>
  <si>
    <t>לקבל אומדן וכתב כמויות. קרן עודפים בלבד.</t>
  </si>
  <si>
    <t>האומדן כולל 50% העמסות. גבוה מידי. עבודות 8 רחובות. ניתן לתעדף.מוצע 3.5 מלשח. קרן עודפים.</t>
  </si>
  <si>
    <t>אם להחלטת עיריה, מדוע תקציב ב - 2021?</t>
  </si>
  <si>
    <t>תכנון בלבד. לא נדרש תקציב ב - 2022.</t>
  </si>
  <si>
    <t>לא לסגור.
עמי: האם כל יתרת התקציב נדרשת?</t>
  </si>
  <si>
    <t>לבדוק באיזה שלב התכנון. האם כל יתרת התקציב נדרשת?</t>
  </si>
  <si>
    <t>לקבל אומדן, פרוט ולעדכן תאור פרויקט.</t>
  </si>
  <si>
    <t>לקבל אומדן, פרוט ולעדכן תאור פרויקט. האם ב - 2022 ביצוע? או להחלטת עיריה הביצוע.</t>
  </si>
  <si>
    <t>עדיין בשלבי תכנון. טרם החל ביצוע. לקבל אומדן.</t>
  </si>
  <si>
    <r>
      <t>מנכ"ל : לעדכן ל - 300 אלפי ₪ תקציב  2022 לתכנון בלבד.</t>
    </r>
    <r>
      <rPr>
        <b/>
        <sz val="11"/>
        <color rgb="FFFF0000"/>
        <rFont val="David"/>
        <family val="2"/>
      </rPr>
      <t xml:space="preserve"> עודכן.</t>
    </r>
  </si>
  <si>
    <r>
      <t>הפיכת תוכנית אסטרטגית  לתוכנית סטטוטורית, לתוכנית מתאר בועדה המחוזית בהתאם ליו"ר הועדה המחוזית.</t>
    </r>
    <r>
      <rPr>
        <sz val="11"/>
        <rFont val="David"/>
        <family val="2"/>
      </rPr>
      <t xml:space="preserve"> </t>
    </r>
  </si>
  <si>
    <t>לקבל עדכון על חן סופי ולסגור.</t>
  </si>
  <si>
    <t>החלטת עירייה. מדוע?</t>
  </si>
  <si>
    <t>יש תכנון לביצוע.</t>
  </si>
  <si>
    <t>יש קבלן זוכה במכרז.</t>
  </si>
  <si>
    <t>יש קבלן זוכה במכרז.לדיון ראה"ע.</t>
  </si>
  <si>
    <t>לבדיקת הנדסה: לסגור. לא פעיל.</t>
  </si>
  <si>
    <t>אביבה : לבדיקה הרשאה מ. התחבןרה ולתקציב ב - 2022 בהתאם</t>
  </si>
  <si>
    <t>לקבל עדכון הנדסה על מימון מ. התחבורה, יתוקצב בהתאם.</t>
  </si>
  <si>
    <t>להגיש בקשת מימון למשרד התחבורה  - הנדסה.</t>
  </si>
  <si>
    <t>תקציב 2021 : מימון מ. הפנים. לא יתוקצב. תוקף 31.12.21. שרית : טיפול בהארכת תוקף, דיווח . ההרשאה תתוקצב בשנית ב - 2022.</t>
  </si>
  <si>
    <t>מימון מ. הפנים. שרית : מטפלת בהארכת ההרשאה.</t>
  </si>
  <si>
    <t>לבדיקת חינוך :ביצוע 4 אלשח בלבד. מימון חלקי מ. החינוך.</t>
  </si>
  <si>
    <t>אבי הלד: עיכוב בביצוע. יבקש הארכה.</t>
  </si>
  <si>
    <t>חן סופי וסגירה</t>
  </si>
  <si>
    <t>לקבל עדכון חן סופי ולסגור. להקטין יתרת תקציב.</t>
  </si>
  <si>
    <t>בהתאם לדיון הסופי לבדוק "הסטה" תקציבית.</t>
  </si>
  <si>
    <t>מנכ"ל : לקבל פירוט מעודכן לסכום הביצוע הנדרש ב - 2022.
לדיון ראה"ע.</t>
  </si>
  <si>
    <t>שלביות לדיון הנהלה במסגרת תעדוף תקציבים.</t>
  </si>
  <si>
    <r>
      <t xml:space="preserve">מנכ"ל: לעדכן תקציב 2022 ל - 15,000 אלפי ₪. </t>
    </r>
    <r>
      <rPr>
        <b/>
        <sz val="11"/>
        <color rgb="FFFF0000"/>
        <rFont val="David"/>
        <family val="2"/>
      </rPr>
      <t>עודכן.</t>
    </r>
  </si>
  <si>
    <t>הריסת מבני ספח והקמת מבנה חדש.תכנון ראשוני בי"ס בן צבי. תוספת 6 כיתות הרחבה ל - 24 כיתות.</t>
  </si>
  <si>
    <t>תקציב 2021 : לוודא את הסכום. מסמך בן: לא תואם תאור. מימון מ. החינוך צפי 2/2022. לעדכן לוז איכלוס. לא זמין לתקצוב.</t>
  </si>
  <si>
    <t>לתקצב 2022 תכנון בלבד. לדיון ביצוע ב - 2/2022 .</t>
  </si>
  <si>
    <t>עודכן האומדן. ב - 2022 תכנון בלבד. ראה מסמך בן.</t>
  </si>
  <si>
    <t xml:space="preserve"> לגזור משמעות לוז איכלוס מול תחילת ביצוע . לא זמין לתקצוב. (קבוצה 4) יוגש 2/2022. לתקצב תכנון בלבד.</t>
  </si>
  <si>
    <t>עודכן תקציב 2021 : לא כולל מ. החינוך.מסמך בן: תקצוב בדיעבד. 2023 : סכום המימון של ההרשאה התקציבית.</t>
  </si>
  <si>
    <t>מימון מ. החינוך חסר. (קבוצה 1) בדיעבד.</t>
  </si>
  <si>
    <t>לקבל סכום תקציב סופי נדרש ב - 2021 עקב המימון החסר של מ. החינוך.</t>
  </si>
  <si>
    <t>לקבל סכום סופי.</t>
  </si>
  <si>
    <t>לקבל סכום תקציב סופי נדרש ב - 2021 עקב המימון החסר של מ. החינוך. 3 מלשח (קבוצה 1).</t>
  </si>
  <si>
    <t>לעדכן לוז איכלוס. לבדוק שלביות בהתאם.מימון מ. החינוך 3.6 מלשח. לא נדרש תקציב 2021. התקבל "קדם תכנון".זמין לתקצוב. אין בניה עד קבלת הרשאה.</t>
  </si>
  <si>
    <t>אין בניה עד קבלת הרשאה. לעדכן תקציב תכנון בלבד ב - 2022.</t>
  </si>
  <si>
    <t>עודכן 165 אלשח תקציב 2021</t>
  </si>
  <si>
    <t>לקראת היתר. לבדוק עם בן.</t>
  </si>
  <si>
    <t>אין בניה עד קבלת הרשאה. לעדכן תקציב תכנון בלבד ב - 2022. (קבוצה 3).</t>
  </si>
  <si>
    <r>
      <t xml:space="preserve">לקבל עדכון סטטוס - מאיה /בן. </t>
    </r>
    <r>
      <rPr>
        <b/>
        <sz val="11"/>
        <color rgb="FFFF0000"/>
        <rFont val="David"/>
        <family val="2"/>
      </rPr>
      <t>הצורך 9/2023. צפוי היתר בעוד מס' חודשים.לדיון ב - 2/2022.</t>
    </r>
  </si>
  <si>
    <t>תכנון בלבד. לעדכן לוז איכלוס. מסמך בן : מימון מ. החינוך. לא זמין לתקצוב</t>
  </si>
  <si>
    <t>לתכנון בלבד. (קבוצה 3) מימון מ. החינוך 32.3 מלשח.</t>
  </si>
  <si>
    <t>מסמך בן .מימון מ. החינוך ב - 2022. לעדכן ולו"ז איכלוס. לא זמין לתקצוב.</t>
  </si>
  <si>
    <t>תכנון וביצוע ניקוז ברחוב סוקולוב בשיתוף עם תאגיד המים. במסגרת תוכ. אב לניקוז.</t>
  </si>
  <si>
    <t>עודכן תקציב 2022 לפי מצטבר כולל תקציב 2021.</t>
  </si>
  <si>
    <t>הנדסה : במסגרת תוכנית האב של הניקוז ותאום עם תוכנית תאגיד המים. 
מנכ"ל : יהיה במסגרת תיעדוף פרויקטים בהתאם לדחיפות.</t>
  </si>
  <si>
    <t xml:space="preserve">
מנכ"ל : יהיה במסגרת תיעדוף פרויקטים בהתאם לדחיפות.</t>
  </si>
  <si>
    <t>תכנון וביצוע ניקוז ברחוב רבנו תם בשיתוף עם תאגיד המים. במסגרת תוכ. אב לניקוז.</t>
  </si>
  <si>
    <t>כנ"ל.</t>
  </si>
  <si>
    <t>תכנון וביצוע ניקוז ברחוב הרב גורן בשיתוף עם תאגיד המים. במסגרת תוכ. אב לניקוז.</t>
  </si>
  <si>
    <t>תכנון וביצוע ניקוז ברחוב רוחמה ושבאי ישראל בשיתוף עם תאגיד המים. במסגרת תוכ. אב לניקוז.</t>
  </si>
  <si>
    <r>
      <t xml:space="preserve">תאור פרוייקט : שגוי. צ.ל. נווה עמל. </t>
    </r>
    <r>
      <rPr>
        <b/>
        <sz val="11"/>
        <color rgb="FFFF0000"/>
        <rFont val="David"/>
        <family val="2"/>
      </rPr>
      <t xml:space="preserve">עודכן.
</t>
    </r>
    <r>
      <rPr>
        <sz val="11"/>
        <rFont val="David"/>
        <family val="2"/>
        <charset val="177"/>
      </rPr>
      <t>אביבה : בשלבי  תכנון.</t>
    </r>
  </si>
  <si>
    <t>תכנון בלבד. לעדכן תאור ולוז איכלוס. מסמך בן : מימון מ. החינוך. לא זמין לתקצוב.</t>
  </si>
  <si>
    <t>מ. החינוך : קבוצה (3). לא זמין לתקצוב.</t>
  </si>
  <si>
    <t xml:space="preserve">בדיקת היתכנות להקמת בי"ס יסודי 18 כיתות. </t>
  </si>
  <si>
    <t>מסמך בן : אין הכרה בצורך.לא יקבל תקצוב מ. החינוך.</t>
  </si>
  <si>
    <t xml:space="preserve"> אין הכרה בצורך.(קבוצה 5). לא יקבל תקצוב מ. החינוך.</t>
  </si>
  <si>
    <t>מ. החינוך : (קבוצה 4) אין הכרה בצורך. לא יתקבל תקצוב 9.7 מלשח.</t>
  </si>
  <si>
    <r>
      <t xml:space="preserve">אולם ספורט בי"ס יוחנני </t>
    </r>
    <r>
      <rPr>
        <b/>
        <sz val="11"/>
        <rFont val="David"/>
        <family val="2"/>
      </rPr>
      <t>(*) עדכון ובניית כיתות וגנ"י</t>
    </r>
  </si>
  <si>
    <t xml:space="preserve">הריסת א. ספורט קיים, בנית חדש ובניית 6  כיתות לימוד ובניית 3 גנ"י במקום גן קיים אלה. </t>
  </si>
  <si>
    <t>לעדכן שינויי יעוד. מימון מ. הספורט תנוס. מסמך בן: אין הכרה בצורך. לעדכן פרק תבר.</t>
  </si>
  <si>
    <t>בהמשך בקשה מימון מ. הספורט תנוס. מסמך בן: אין הכרה בצורך. לעדכן פרק תבר.</t>
  </si>
  <si>
    <t xml:space="preserve"> מ. החינוך אין הכרה בצורך.(קבוצה 5). </t>
  </si>
  <si>
    <t>מ. החינוך : (קבוצה 4) אין הכרה בצורך. 5.8 מלשח.</t>
  </si>
  <si>
    <t xml:space="preserve">בדיקת היתכנות 6 כיתות  בי"ס יסודי . הרחבה ל - 18 כיתות.  </t>
  </si>
  <si>
    <t>מסמך בן: הועברה בקשה. מסמכי קרקע.</t>
  </si>
  <si>
    <t>מנכ"ל: בשלב זה לא מבוצע. לא לתקצב.
עמי : האם כל יתרת התקציב נדרשת?</t>
  </si>
  <si>
    <t>לקבל סכום תקציב בגין עבודות שבוצעו.</t>
  </si>
  <si>
    <t>מנכ"ל: בשלב זה לא מבוצע. לא לתקצב. להשלים : עדכון יתרת התקציב עבור מה שבוצע ולסגור תב"ר. (קבוצה 4). אין הכרה בצורך.</t>
  </si>
  <si>
    <r>
      <rPr>
        <sz val="11"/>
        <rFont val="David"/>
        <family val="2"/>
      </rPr>
      <t xml:space="preserve">תכנון וביצוע של תוספת 6 כיתות ומעבדות בתיכון היובל. </t>
    </r>
    <r>
      <rPr>
        <b/>
        <sz val="11"/>
        <rFont val="David"/>
        <family val="2"/>
      </rPr>
      <t/>
    </r>
  </si>
  <si>
    <t>לקבל אומדן  ושלביות.מסמך בן : לא זמין לתקצוב.</t>
  </si>
  <si>
    <t>לא זמין לתקצוב.לתקצב 2022 תכנון בלבד. לדיון ביצוע ב - 2/2022 .</t>
  </si>
  <si>
    <t>לביצוע.
לדיון נוסף  ב - 2/2022.</t>
  </si>
  <si>
    <t xml:space="preserve"> לגזור משמעות לוז איכלוס מול תחילת ביצוע . לא זמין לתקצוב. (קבוצה 3) לדיון :עיכוב ביצוע / דיון נוסף 2/2022 לא ידוע גובה המימון.</t>
  </si>
  <si>
    <r>
      <rPr>
        <sz val="11"/>
        <rFont val="David"/>
        <family val="2"/>
      </rPr>
      <t xml:space="preserve">תכנון חט"ב חדשה 24 כיתות באלתרמן. </t>
    </r>
    <r>
      <rPr>
        <b/>
        <sz val="11"/>
        <rFont val="David"/>
        <family val="2"/>
      </rPr>
      <t/>
    </r>
  </si>
  <si>
    <t>לעדכן תאור ולוז לאיכלוס. תכנון. לא זמין לתקצוב. מס' כיתות ?</t>
  </si>
  <si>
    <r>
      <t xml:space="preserve">מנכ"ל: לקבל אומדן לכל הפרויקט. 
לעדכן תקציב 2022 ל - 3,000 אלפי ₪. </t>
    </r>
    <r>
      <rPr>
        <b/>
        <sz val="11"/>
        <color rgb="FFFF0000"/>
        <rFont val="David"/>
        <family val="2"/>
      </rPr>
      <t>עודכן.</t>
    </r>
  </si>
  <si>
    <t>מנכ"ל: לקבל אומדן לכל הפרויקט. 
לתכנון בלבד. (קבוצה 3) מימון מ. החינוך 22.7 מלשח.</t>
  </si>
  <si>
    <t>לבדוק עם הרשאה תקציבית .בן</t>
  </si>
  <si>
    <t>בקשת הארכת תוקף מ. הדתות.</t>
  </si>
  <si>
    <t>לקבל אומדן ושלביות. מסמך בן : לא זמין לתקצוב. מ. החינוך 3.6 מלשח.</t>
  </si>
  <si>
    <t xml:space="preserve">
לדיון נוסף  ב - 2/2022.</t>
  </si>
  <si>
    <t>החלטת הנהלה</t>
  </si>
  <si>
    <t>החלטת הנהלה. ראה הנדסה בקשה תב"ר חדש.</t>
  </si>
  <si>
    <t>הנדסה : אומדן של 2,700 אלפי ₪ כולל פיתוח  השצ"פ.
מנכ"ל: לביצוע. לקבל אומדן מעודכן ולתקצב ב - 2022.</t>
  </si>
  <si>
    <r>
      <t xml:space="preserve">לשלוח את האומדן לעמי. </t>
    </r>
    <r>
      <rPr>
        <b/>
        <sz val="11"/>
        <color rgb="FFFF0000"/>
        <rFont val="David"/>
        <family val="2"/>
      </rPr>
      <t>נשלח</t>
    </r>
    <r>
      <rPr>
        <sz val="11"/>
        <rFont val="David"/>
        <family val="2"/>
        <charset val="177"/>
      </rPr>
      <t>.</t>
    </r>
  </si>
  <si>
    <t>לקבל עדכון על שצ"פים.</t>
  </si>
  <si>
    <t>שצ"פים  מימון רמ"י.</t>
  </si>
  <si>
    <t>יתרת התקציב =מימון רמי. ככל שנקבל תקבול לבצע שינוי מימון.</t>
  </si>
  <si>
    <t>עודכן תקציב 2021. לעדכן תקציב 2022.לבדוק עם שרית מימון רמ"י ב - 2022.</t>
  </si>
  <si>
    <t>תקציב 2022 בחלקו מימון רמ"י השלמה ל - 70 מלשח.</t>
  </si>
  <si>
    <t>עודכן מקור מימון תקציב 2022.</t>
  </si>
  <si>
    <t>טרם מבוצע. ממתין לשיווק אזה"ת ע"י רמ"י.</t>
  </si>
  <si>
    <t>עודכן תקציב 2021 : לא כולל מ. החינוך.מסמך בן: תקצוב בדיעבד.</t>
  </si>
  <si>
    <t>חסר תקציב מ. החינוך 1.5 מלשח ב - 2021.</t>
  </si>
  <si>
    <t>עודכן תקציב 2021 : לא כולל מ. החינוך 18.9 מלשח.מסמך בן: בדיעבד. 2023 : סכום המימון של ההרשאה התקציבית.</t>
  </si>
  <si>
    <t>תקציב 2023=מימון מ. החינוך שחסר 18.9 מלשח.</t>
  </si>
  <si>
    <t>מימון מ. החינוך חסר. (קבוצה 1, 2) בדיעבד.</t>
  </si>
  <si>
    <t>מימון מ. החינוך בדיעבד . (קבוצה 1)</t>
  </si>
  <si>
    <t>כנ"ל. 3.8 מלשח</t>
  </si>
  <si>
    <t>עודכן תקציב 2021 : לא כולל מ. החינוך 15.5 מלשח.מסמך בן: בדיעבד+ 50 מלשח צפוי בדיעבד 2022. לעדכן תאור.</t>
  </si>
  <si>
    <t>מימון מ. החינוך חסר - 65.5 מלשח. בדיעבד.</t>
  </si>
  <si>
    <t>לבדוק חן סופי ולסגור. מסמך בן : 2.2 מלשח מ. החינוך "אבוד".</t>
  </si>
  <si>
    <t>מימון מ. החינוך חסר. (קבוצה 1) בדיעבד. חן סופיים. לסגירה.</t>
  </si>
  <si>
    <t>עמי: לבדיקת ביצוע שצ"פים מימון רמ"י.</t>
  </si>
  <si>
    <t>לקבל אומדן שצ"פים ולתקצב מול רמ"י.</t>
  </si>
  <si>
    <t>עודכן תקציב 2021 : לא כולל מ. החינוך.מסמך בן: זמין לתקצוב/בדיעבד. 2023 : סכום המימון של ההרשאה התקציבית. לקבל עדכון תקציב נוסף 2022.</t>
  </si>
  <si>
    <t>כנ"ל תבר 1909. 2.2 מלשח</t>
  </si>
  <si>
    <t>מימון מ. החינוך חסר. (קבוצה  2) בדיעבד.</t>
  </si>
  <si>
    <t>יתרת תקציב ללא שימוש. לדיון הנהלה.</t>
  </si>
  <si>
    <t>עמי : לבדיקה. קשור לקרית השחקים.. להקטין תקציב</t>
  </si>
  <si>
    <t>להקטין תקציב.</t>
  </si>
  <si>
    <r>
      <t xml:space="preserve">מנכ"ל: לעדכן יתרת תקציב  ל - 100 אלפי ₪. </t>
    </r>
    <r>
      <rPr>
        <b/>
        <sz val="11"/>
        <color rgb="FFFF0000"/>
        <rFont val="David"/>
        <family val="2"/>
      </rPr>
      <t>עודכן.</t>
    </r>
  </si>
  <si>
    <t>לעדכן תאור ולוז איכלוס.מסמך בן: מסמכי קרקע.תכנון נעצר. ייבנה בשלבים</t>
  </si>
  <si>
    <t>לעדכן תאור עדכון ייעוד 24 כיתות.</t>
  </si>
  <si>
    <r>
      <t xml:space="preserve">מנכ"ל: לבדיקה של מאיה סטטוס תכנון. </t>
    </r>
    <r>
      <rPr>
        <b/>
        <sz val="11"/>
        <color rgb="FFFF0000"/>
        <rFont val="David"/>
        <family val="2"/>
      </rPr>
      <t>תכנון ראשוני. הוכר הצורך לא לשנת תקציב נוכחית.</t>
    </r>
  </si>
  <si>
    <t>תכנון ראשוני. הוכר הצורך לא לשנת תקציב נוכחית. 19.9 מלשח מ. החינוך (קבוצה 4).</t>
  </si>
  <si>
    <t>תקציב 2021 מימון מ. החינוך חסר. 2,288 אלשח. ( ראה שנת  2023). מסמך בן: תקצוב בדיעבד</t>
  </si>
  <si>
    <t>גנ"י אחד העם</t>
  </si>
  <si>
    <t>לקבל אומדן. מסמך בן :מימון מ. החינוך.לא תחל בניה ללא הרשאה.</t>
  </si>
  <si>
    <t>לעדכן תקציב תכנון בלבד 2022.</t>
  </si>
  <si>
    <t>מנכ"ל : לעדכן תקציב 2022 לתכנון בלבד.</t>
  </si>
  <si>
    <r>
      <t xml:space="preserve"> להשלים : עדכון תקציב 2022 לתכנון בלבד. </t>
    </r>
    <r>
      <rPr>
        <sz val="11"/>
        <rFont val="David"/>
        <family val="2"/>
      </rPr>
      <t>מ. החינוך (קבוצה 2).</t>
    </r>
  </si>
  <si>
    <t>גנ"י חנה רובינא</t>
  </si>
  <si>
    <t>עודכן 25.8.21</t>
  </si>
  <si>
    <t xml:space="preserve">נדרש 6 גנ"י. לקבלל אומדן תכנון ראשוני. מסמך בן :  אין הכרה בצורך. </t>
  </si>
  <si>
    <t>מנכ"ל : לעדכן תקציב 2022 לתכנון בלבד. לדיון נוסף ב - 2/2022.</t>
  </si>
  <si>
    <t>גנ"י יהודה הנשיא</t>
  </si>
  <si>
    <t>לקבל אומדן. לבדוק מול  מסמך בן. לקבל מס' גנ"י ולוז איכלוס.</t>
  </si>
  <si>
    <t>מנכ"ל: לקבל הסבר.</t>
  </si>
  <si>
    <t>לבדוק מול בן ואירנה.</t>
  </si>
  <si>
    <r>
      <t xml:space="preserve">במקום גנ"י בסמטת סמדר. </t>
    </r>
    <r>
      <rPr>
        <b/>
        <sz val="11"/>
        <rFont val="David"/>
        <family val="2"/>
      </rPr>
      <t>להשלים : עדכון תקציב 2022 לתכנון בלבד. לא ברור הסכום בהשוואה לגנ"י אחד העם.</t>
    </r>
    <r>
      <rPr>
        <sz val="11"/>
        <rFont val="David"/>
        <family val="2"/>
        <charset val="177"/>
      </rPr>
      <t xml:space="preserve"> מ. החינוך (קבוצה 4).</t>
    </r>
  </si>
  <si>
    <t>גנ"י ומעונות יום רח הזמר העברי מתחם המסילה</t>
  </si>
  <si>
    <t xml:space="preserve"> לקבלל אומדן תכנון ראשוני.  לבדוק מול  מסמך בן (גנ"י הרצליה הילס).</t>
  </si>
  <si>
    <r>
      <t>מנכ"ל: לעדכן תקציב 2022 ל - 500 אלפי ₪ לתכנון.</t>
    </r>
    <r>
      <rPr>
        <b/>
        <sz val="11"/>
        <color rgb="FFFF0000"/>
        <rFont val="David"/>
        <family val="2"/>
      </rPr>
      <t xml:space="preserve"> עודכן.</t>
    </r>
  </si>
  <si>
    <t>לתכנון בלבד. (מ. החינוך קבוצה 4).</t>
  </si>
  <si>
    <t>מתחם ספורט משותף במתחם אלתרמן</t>
  </si>
  <si>
    <r>
      <t xml:space="preserve">לקבל אומדן. </t>
    </r>
    <r>
      <rPr>
        <b/>
        <strike/>
        <sz val="11"/>
        <rFont val="David"/>
        <family val="2"/>
      </rPr>
      <t>לבדוק בתנוס</t>
    </r>
  </si>
  <si>
    <t>עודכן התאור . עדכון בן.ב - 2022 לתכנון בלבד.</t>
  </si>
  <si>
    <r>
      <t xml:space="preserve">מנכ"ל: לעדכן תקציב 2022 ל - 200 אלפי ₪ לתכנון. </t>
    </r>
    <r>
      <rPr>
        <b/>
        <sz val="11"/>
        <color rgb="FFFF0000"/>
        <rFont val="David"/>
        <family val="2"/>
      </rPr>
      <t>עודכן.</t>
    </r>
  </si>
  <si>
    <t>מועדון קרמבו ים</t>
  </si>
  <si>
    <r>
      <t xml:space="preserve">הח.לפיתוח : אומדן 2 מליון ₪. מנכ"ל: לתקצב את הסכום ב - 2022. </t>
    </r>
    <r>
      <rPr>
        <b/>
        <sz val="11"/>
        <color rgb="FFFF0000"/>
        <rFont val="David"/>
        <family val="2"/>
      </rPr>
      <t>עודכן</t>
    </r>
    <r>
      <rPr>
        <sz val="11"/>
        <rFont val="David"/>
        <family val="2"/>
        <charset val="177"/>
      </rPr>
      <t>.
לקבל אומדן.</t>
    </r>
  </si>
  <si>
    <t xml:space="preserve">לקבל אומדן. </t>
  </si>
  <si>
    <t>להשלים : תאור ואומדן.</t>
  </si>
  <si>
    <r>
      <t xml:space="preserve">מנכ"ל : לעדכן שם  - "בן גוריון". לעדכן תקציב 2022 500 אלפי ₪ לתכנון בלבד. </t>
    </r>
    <r>
      <rPr>
        <b/>
        <sz val="11"/>
        <color rgb="FFFF0000"/>
        <rFont val="David"/>
        <family val="2"/>
      </rPr>
      <t>עודכן.</t>
    </r>
    <r>
      <rPr>
        <sz val="11"/>
        <rFont val="David"/>
        <family val="2"/>
        <charset val="177"/>
      </rPr>
      <t xml:space="preserve">
לקבל אומדן.</t>
    </r>
  </si>
  <si>
    <t>פרוייקט חינוכי של גנ"י שהוסמכו להיות "גנים ירוקים" .שילוב למידה בטבע ובחורשות מס' ימים בשבוע. עבודות התאמת החורשות לשהיית ילדים : ריהוט גן- ספסלים, אשפתונים ושולחנות פיקניק, ברזיות , פחי מיחזור , תשתית השקייה, נטיעת עצים נוספים וצמחייה לימודית. הסבת חצרות גנ"י (חינוך). מסגרת תקציב.</t>
  </si>
  <si>
    <t>שאיפה (הח. לפיתוח): חורשות : 270 אלשח+350 אלשח הסבת חצרות גנ"י (חינוך). בהתאם לעדכן שם התבר</t>
  </si>
  <si>
    <t>הערות דיון אולגה 25.8.21</t>
  </si>
  <si>
    <t>עודכן תקציב נוסף 2021. ייבדק בשנית לקראת דיון מנכל.</t>
  </si>
  <si>
    <t>צפי לגידול כיתות  8 על יסודי, 8 יסודי 2 ח"מ.</t>
  </si>
  <si>
    <t>לפי 8 גנ"י .לבדיקה מול בן-וטלי מס' גנ"י. לעדכן תאור בהתאם.</t>
  </si>
  <si>
    <t>לא יתקבל מימון מ. החינוך. מסמך בן. לבדוק שינוי מימון וסגירה.</t>
  </si>
  <si>
    <t>לקבל החלטה לגבי הגרעון המימוני בקש"ע הרשאה 4.8 אלפי ₪ . הרשאה בדיעבד. מקביל לתבר הבניה בתבל.</t>
  </si>
  <si>
    <t>ראה מסמך מ. החינוך הנגשות : אולגה/אבי : לבדיקה ועדכון.</t>
  </si>
  <si>
    <t>הוקטן תקציב ב - 2022 200 אלשח. לסגירה.</t>
  </si>
  <si>
    <r>
      <t xml:space="preserve">המשך הצטיידות ומיחשוב בי"ס החדש  יצחק נבון כולל בגין </t>
    </r>
    <r>
      <rPr>
        <sz val="11"/>
        <rFont val="David"/>
        <family val="2"/>
      </rPr>
      <t xml:space="preserve">תוספת 6 כיתות . </t>
    </r>
  </si>
  <si>
    <t>עודכן תקציב מעבר לת. ע. 2021.</t>
  </si>
  <si>
    <t>לקראת סגירה.</t>
  </si>
  <si>
    <t>מימון מ. החינוך התקבל. לסגירה.</t>
  </si>
  <si>
    <r>
      <t xml:space="preserve">לא נדרש תקציב 2021. הועבר ל - 2022. </t>
    </r>
    <r>
      <rPr>
        <b/>
        <sz val="11"/>
        <rFont val="David"/>
        <family val="2"/>
      </rPr>
      <t>עודכן ללא בן גוריון ועפ"י ההרשאות הקיימות.</t>
    </r>
  </si>
  <si>
    <r>
      <t xml:space="preserve">לא נדרש תקציב 2021. הועבר ל - 2022. </t>
    </r>
    <r>
      <rPr>
        <sz val="11"/>
        <rFont val="David"/>
        <family val="2"/>
      </rPr>
      <t>עודכן ללא בן גוריון ועפ"י ההרשאות הקיימות.</t>
    </r>
  </si>
  <si>
    <t>לסגור. לדיון הנהלה</t>
  </si>
  <si>
    <t>עודכן ל - 210 אלשח. לקבל אומדן.</t>
  </si>
  <si>
    <t>להשלים: אומדן 210 אלשח.</t>
  </si>
  <si>
    <t>גן שקמים לא בוצע. לבצע הסבה מ. החינוך. היתר בוצע. אבי : לדיווח.</t>
  </si>
  <si>
    <t>לפי 72 אלפי ₪ לגן. מימון חסר של מ. החינוך.</t>
  </si>
  <si>
    <t>עודכן האומדן. עודכן תקציב נוסף ב - 2021 וע. כספים 22.8.21</t>
  </si>
  <si>
    <t>הצטיידות ריהוט ומיחשוב מבנה  בי"ס דמוקרטי בפארק.</t>
  </si>
  <si>
    <t>עודכן תקציב נוסף ב - 2021 וע. כספים 22.8.21. עודכן תקציב 2022.</t>
  </si>
  <si>
    <t>הצטיידות .מימון חלקי מ. הרווחה.</t>
  </si>
  <si>
    <t xml:space="preserve">תוקצב. לקבל עדכון מדוע טרם בוצע. </t>
  </si>
  <si>
    <t>תוקצב. לקבל עדכון מדוע טרם בוצע.</t>
  </si>
  <si>
    <t>שיפוץ פינות חי נוף ים</t>
  </si>
  <si>
    <t>שיפוץ ובינוי כולל עיצוב והצטיידות  פינת חי בבי"ס נוף ים.</t>
  </si>
  <si>
    <t>הצטיידות בי"ס יסודי מגרש 406</t>
  </si>
  <si>
    <t>לקבל עדכון תקציב, אומדן. לדיון הנהלה : בשלבים בהתאם לסיום ולאיכלוס במהלך 2022.</t>
  </si>
  <si>
    <t>הצטיידות בי"ס יסודי מגרש 408</t>
  </si>
  <si>
    <t>סדרי עדיפויות</t>
  </si>
  <si>
    <t>המשך חידוש ציפוי מגרשי הספורט: זאב - מגרש תחתון, בר אילן, היובל, ברנר ויוחנני. לפי סדרי עדיפויות.</t>
  </si>
  <si>
    <t>גדר בגובה 4 מ' סביב מגרשי אימונים במתחם האצטדיון מול משרדי תבל . גובה הגדר עפ"י דרישת ההתאחדות.</t>
  </si>
  <si>
    <t>הקמה ושיפוץ רצפות פרקט: חידוש רצפה באולם תיכון חדש , חידוש רצפה אולם בנווה ישראל וחידוש רצפה באולם היובל.</t>
  </si>
  <si>
    <t xml:space="preserve">הצטיידות אולמות ספורט הנגיד, מגרש 406,408 </t>
  </si>
  <si>
    <t>הצטיידות אולמות ספורט  בבי"ס הנגיד, מגרש 406 ו - 408 במתחם גליל ים.</t>
  </si>
  <si>
    <t>בריכה באפולוניה - הצטיידות</t>
  </si>
  <si>
    <t>ארבע מאוורי תקרה גדולים לבריכה וציוד כושר עבור חדר כושר</t>
  </si>
  <si>
    <t>מתקן נינג'ה</t>
  </si>
  <si>
    <t>הערות לדיון</t>
  </si>
  <si>
    <t xml:space="preserve">הכנת תב"ע . מימון רמ"י. </t>
  </si>
  <si>
    <t>הערות מדיון 15.8.21</t>
  </si>
  <si>
    <t>עדכון ליטל לאחר דיון 15.8.21</t>
  </si>
  <si>
    <t xml:space="preserve">הערות להשלמה 30.8.21 </t>
  </si>
  <si>
    <t>הערות לדיון הנהלה 14.9.21</t>
  </si>
  <si>
    <t xml:space="preserve">יש להשלים פירוט/אומדן. האם עודכנה תוכנית העבודה? לקבל עדכון על תכנון עתידי שנת 2023 ואילך כולל אילו שכונות/אזורים </t>
  </si>
  <si>
    <t>ציר דרומי עד רמת השרון  4.4 מלש"ח  , ציר אבא אבן עד רחוב  נעמי שמר 1.9 מלש"ח  יוסף נבו מנחם בגין =2.560 מלש"ח.  נעמי שמר - סמד'ר טיילת 2.265 מלש"ח .רחובות באזור התעשיה עד לנדאו 3.68  רחובות בשכונות מרכז ומזרח 3מלש"ח .   סהכ 17.7</t>
  </si>
  <si>
    <t>נא לציין סדרי עדיפויות ב - 2022.</t>
  </si>
  <si>
    <t>לקבל טבלה מרוכזת של 2 התב"רים 1871 1982 ולהעביר לטלי/בועז.ניתן להעביר חלק מהסכום ל - 2023.</t>
  </si>
  <si>
    <r>
      <rPr>
        <sz val="11"/>
        <rFont val="David"/>
        <family val="2"/>
      </rPr>
      <t>עפ"י תוכנית מפורטת עם סד"ע . מתואם עם מינהל התפעול</t>
    </r>
    <r>
      <rPr>
        <b/>
        <sz val="11"/>
        <rFont val="David"/>
        <family val="2"/>
      </rPr>
      <t xml:space="preserve">. </t>
    </r>
  </si>
  <si>
    <t xml:space="preserve">עודכן 2022 : 2 מלשח הקטנה. יש להשלים פירוט/אומדן. כולל בצ"מ.  האם עודכנה תוכנית העבודה? לקבל עדכון על תכנון עתידי שנת 2023 ואילך כולל אילו שכונות/אזורים . </t>
  </si>
  <si>
    <t xml:space="preserve">עודכן 2022 : 2 מלשח הקטנה.  צמתים מרכז העיר עד רמת השרון 500 אש"ח , צמתים מערביים כולל אזור התעשיה בציר אבא אבן עד רחוב לנדאו. פארק שלב ב' 225 אש"ח, אבא אבן נעמי שמר 445 אש"ח , יוסף נבו 150 אש"ח ,צמתים במרכז העיר אנליטיקות מוסח 1500 אש"ח . בצ"מ 500 אש"ח . </t>
  </si>
  <si>
    <t>סכום הבצ"מ גבוה.  הפרוט מטה לגבי הפארק אינו ברור.נא לציין סדרי עדיפויות ב - 2022.</t>
  </si>
  <si>
    <r>
      <t xml:space="preserve">הקמת אתר עירוני , פורטל </t>
    </r>
    <r>
      <rPr>
        <b/>
        <sz val="11"/>
        <rFont val="David"/>
        <family val="2"/>
      </rPr>
      <t>ומע. לניהול פניות (*) עדכון שם</t>
    </r>
  </si>
  <si>
    <t>שינוי שם:  הקמת  אתר עירוני , פורטל ומערכת לניהול פניות CRM. לקבל עדכון תקציב ככל שיידרש לאחר פתיחת הצעות המכרז הצפוי ב - 16.8.21.</t>
  </si>
  <si>
    <r>
      <t>שינוי שם:  הקמת  אתר עירוני , פורטל ומערכת לניהול פניות CRM. לקבל עדכון תקציב ככל שיידרש לאחר פתיחת הצעות המכרז הצפוי ב - 16.8.21.</t>
    </r>
    <r>
      <rPr>
        <b/>
        <sz val="11"/>
        <rFont val="David"/>
        <family val="2"/>
      </rPr>
      <t xml:space="preserve"> עדכון הגדלה של 200 אש"ח.  </t>
    </r>
  </si>
  <si>
    <t>ניתן להעביר חלק מהסכום ל - 2023 200 אלפי ₪.</t>
  </si>
  <si>
    <t>יש לעדכן כי מדובר ב-50 אש"ח עבור ציוד חדש הקשור למערכת הליבה ו- 50 אש"ח עבור שדרוגים</t>
  </si>
  <si>
    <t>מדובר ב-50 אש"ח עבור ציוד חדש הקשור למערכת הליבה ו- 50 אש"ח עבור שדרוגים</t>
  </si>
  <si>
    <t>יש לעדכן את המיזמים</t>
  </si>
  <si>
    <t xml:space="preserve">המיזמים יעודכנו לאחר בחירת היזמים בעת המחזור הקרוב של האקסלרטור. </t>
  </si>
  <si>
    <t>יש להשלים פירוט/אומדן</t>
  </si>
  <si>
    <t xml:space="preserve">שדרוג תשתיות אינטרנט במוסח חדשים ביהס בפארק ביהס דמוקרטי וגני ילדים חדשים . </t>
  </si>
  <si>
    <r>
      <t xml:space="preserve">כיצד נקבע הסכום 100 אלשח? </t>
    </r>
    <r>
      <rPr>
        <b/>
        <sz val="11"/>
        <rFont val="David"/>
        <family val="2"/>
      </rPr>
      <t>התקבל הסבר (יתרה לביצוע מהצעה שהתקבלה).</t>
    </r>
  </si>
  <si>
    <t xml:space="preserve">סקר מבנים מפורט עם שטח </t>
  </si>
  <si>
    <t>לא תואם את ההצעה שצורפה.</t>
  </si>
  <si>
    <t>עודכן מקור המימון . המימון מפעל הפיס.</t>
  </si>
  <si>
    <t>לבדיקה עם יעקב נורי.</t>
  </si>
  <si>
    <t>לדיון בהנהלה.</t>
  </si>
  <si>
    <t xml:space="preserve">עבודות הנגשה של מרחב ציבורי ומבני ציבור כנדרש עפ"י החוק עפ"י תוכנית רב שנתית. </t>
  </si>
  <si>
    <t>לבדיקה עם קרן האם הוסדר בחוק הארכה ל-4 שנים.2021: 3 מלשח.</t>
  </si>
  <si>
    <t>תקציב 2022 כמו 2021.</t>
  </si>
  <si>
    <t>להשאיר 240 אלשח.</t>
  </si>
  <si>
    <t>מינהל התפעול</t>
  </si>
  <si>
    <t>שנת  2022</t>
  </si>
  <si>
    <t>שנת 2022</t>
  </si>
  <si>
    <t>העברה מתקציב רגיל 2021</t>
  </si>
  <si>
    <t>לו"ז איכלוס 9/2023. צפוי היתר בעוד מס' חודשים.זמין לתקצוב קבוצה (2). מוצע לדיון חוזר 2/2022  התקבל 165 אלשח קדם מימון מ. החינוך.</t>
  </si>
  <si>
    <r>
      <t xml:space="preserve">לא זמין לתקצוב. (קבוצה 3) לקראת היתר. </t>
    </r>
    <r>
      <rPr>
        <b/>
        <sz val="11"/>
        <rFont val="David"/>
        <family val="2"/>
      </rPr>
      <t>לעכב ביצוע</t>
    </r>
    <r>
      <rPr>
        <sz val="11"/>
        <rFont val="David"/>
        <family val="2"/>
        <charset val="177"/>
      </rPr>
      <t>. לדיון נוסף 2/2022.</t>
    </r>
  </si>
  <si>
    <t>עבודות פיתוח, גינון  חשמל ותאורה מבנה הכבאית במיקום חדש בפארק הרצליה.</t>
  </si>
  <si>
    <t>אשתקד 4.5 מלשח. לא נוצל. שלביות?</t>
  </si>
  <si>
    <t>עבור הכבאית הראשונה.</t>
  </si>
  <si>
    <r>
      <t xml:space="preserve">לא לסגור. לקבל עדכון התקציב הנדרש ב - 2022. </t>
    </r>
    <r>
      <rPr>
        <b/>
        <sz val="11"/>
        <color rgb="FFFF0000"/>
        <rFont val="David"/>
        <family val="2"/>
      </rPr>
      <t>עודכן</t>
    </r>
  </si>
  <si>
    <t>ביצוע עבודות מדידות, העסקת יועצים ומתכננים. תקציב מסגרת.</t>
  </si>
  <si>
    <t>צורף מסמך .</t>
  </si>
  <si>
    <t>דיון סמנכל.</t>
  </si>
  <si>
    <t xml:space="preserve"> לגזור משמעות לוז איכלוס מול תחילת ביצוע . לא זמין לתקצוב. (קבוצה 3) לדיון :עיכוב ביצוע / דיון נוסף 2/2022.</t>
  </si>
  <si>
    <t xml:space="preserve">בתאום עם הנדסה. </t>
  </si>
  <si>
    <r>
      <t xml:space="preserve"> להשלים : עדכון תקציב 2022 לתכנון בלבד. לא ברור הסכום בהשוואה לגנ"י אחד העם. </t>
    </r>
    <r>
      <rPr>
        <sz val="11"/>
        <rFont val="David"/>
        <family val="2"/>
      </rPr>
      <t>מ. החינוך (קבוצה 4).</t>
    </r>
  </si>
  <si>
    <t>מנכ"ל : לקבל פירוט מעודכן לסכום הביצוע הנדרש ב - 2022. לדיון ראה"ע.</t>
  </si>
  <si>
    <t>להשלים : תאור. גיוס יועצים בדיקת התכנות קונסטרוקטיבית. נדרש היתר.</t>
  </si>
  <si>
    <t>פער</t>
  </si>
  <si>
    <t>ינואר</t>
  </si>
  <si>
    <t>פברואר</t>
  </si>
  <si>
    <t>מאי</t>
  </si>
  <si>
    <t>יוני</t>
  </si>
  <si>
    <t>יולי</t>
  </si>
  <si>
    <t>אוגוסט</t>
  </si>
  <si>
    <t>ספטמבר</t>
  </si>
  <si>
    <r>
      <t xml:space="preserve">פיתוח פארק הבאסה </t>
    </r>
    <r>
      <rPr>
        <b/>
        <sz val="11"/>
        <rFont val="David"/>
        <family val="2"/>
      </rPr>
      <t>(*) נסגר 2020</t>
    </r>
  </si>
  <si>
    <r>
      <t xml:space="preserve">פארק הבאסה שלב ב' </t>
    </r>
    <r>
      <rPr>
        <b/>
        <sz val="11"/>
        <rFont val="David"/>
        <family val="2"/>
      </rPr>
      <t>(*) נסגר 2020</t>
    </r>
  </si>
  <si>
    <t>תכנון מתחם צומת כדורי לפינוי ובינוי.התוכנית בשלב של הנעת התכנון לשלבים סטטוטוריים.מימון מ. הבינוי.</t>
  </si>
  <si>
    <t>ליווי ותכנון יועץ רמזורים לעדכון מערכת בקרת רמזורים ברחבי העיר עקב צמתים ורמזורים חדשים.</t>
  </si>
  <si>
    <r>
      <t xml:space="preserve">תוכנית לצורך מידע מה וכמה ניתן לבנות  בהתאם לתשתיות הקיימות במרכז ותוכנית לבחינת הנדרש לאוכלוסיה בשכונות עפ"י תחזיות גידול האוכלוסיה. </t>
    </r>
    <r>
      <rPr>
        <sz val="11"/>
        <rFont val="David"/>
        <family val="2"/>
      </rPr>
      <t xml:space="preserve">ראה תב"ר 1756. </t>
    </r>
  </si>
  <si>
    <t xml:space="preserve">בדיקת התכנות והכנת תב"עות של מתחמים מפוצלים בין מס' בעלים באיזהת"ש החשובים מבחינה ציבורית. </t>
  </si>
  <si>
    <t xml:space="preserve">העסקת צוות יועצים לתכנון התב"ע  לדיור בר השגה רח' בן ציון. </t>
  </si>
  <si>
    <t xml:space="preserve">הליך התנעה לתכנון מתחם לפינוי בינוי מול התחנה. </t>
  </si>
  <si>
    <r>
      <t xml:space="preserve">מגרש סימולציה לאופניים </t>
    </r>
    <r>
      <rPr>
        <b/>
        <sz val="11"/>
        <rFont val="David"/>
        <family val="2"/>
      </rPr>
      <t>(*) נסגר 2021</t>
    </r>
  </si>
  <si>
    <t xml:space="preserve">עבודות השלמה סופיות . ח-ן סופיים. </t>
  </si>
  <si>
    <t xml:space="preserve">עלויות לצורך מתן מענה לדיון במשרד הפנים עקב אישורה של תוכנית תמ"ל מס' 1068. </t>
  </si>
  <si>
    <t xml:space="preserve">הסדרת שבילי גישה רגלית וכניסת כלי רכב לחניות,שביל פינוי אשפה,פיתוח כולל גינון ותאורה.ב-2021 מתוכנן מרכז "מייקרים" בשיתוף אדריכלית השימור. </t>
  </si>
  <si>
    <t>פינוי בינוי גורדון. מימון מ. הבינוי.</t>
  </si>
  <si>
    <t xml:space="preserve">תכנון וביצוע ניקוז ברחוב סוקולוב בשיתוף עם תאגיד המים. </t>
  </si>
  <si>
    <t>תכנון וביצוע ניקוז ברחוב רבנו תם בשיתוף עם תאגיד המים.</t>
  </si>
  <si>
    <t>תכנון וביצוע ניקוז ברחוב הרב גורן בשיתוף עם תאגיד המים.</t>
  </si>
  <si>
    <t>תכנון וביצוע ניקוז ברחוב רוחמה ושבאי ישראל בשיתוף עם תאגיד המים.</t>
  </si>
  <si>
    <t>פיתוח רחוב חדש המזרחי ביותר בנחלת עדה. בשנת 2021 : תכנון</t>
  </si>
  <si>
    <t>לא נדרש</t>
  </si>
  <si>
    <t>ת.ע. 2022</t>
  </si>
  <si>
    <t xml:space="preserve">השלמת רח' משכית,  השלמת שצ"פים והשלמת תכנון רח' שנקר. </t>
  </si>
  <si>
    <t>תאגיד</t>
  </si>
  <si>
    <t>לבדיקה חוזרת</t>
  </si>
  <si>
    <t xml:space="preserve">השלמת ביצוע דרום, ביצוע והשלמת תכנון פארק צפון. </t>
  </si>
  <si>
    <t xml:space="preserve">בת.ע. 2022 כולל יולי </t>
  </si>
  <si>
    <t>בנין העיריה החדש.  שידרוג קומה 3 ו 4 מינהל הנדסה.</t>
  </si>
  <si>
    <r>
      <t xml:space="preserve">מרכז פיס לתרבות מוסיקה קהילה </t>
    </r>
    <r>
      <rPr>
        <b/>
        <sz val="11"/>
        <rFont val="David"/>
        <family val="2"/>
      </rPr>
      <t>(*) נסגר 2021</t>
    </r>
  </si>
  <si>
    <t xml:space="preserve">הקמת מבנה תרבות כולל חדרי מחול וקונסבטוריון . ממתין לתקבול סופי מ.הפיס. </t>
  </si>
  <si>
    <t>ביצוע פיתוח ותשתית במתחם "מרינה לי". התחלת ביצוע שלב ב'.</t>
  </si>
  <si>
    <t>השלמת תכנון עד להיתר לחניון אוטובוסים.</t>
  </si>
  <si>
    <t>בת.ע. 2022 כולל יולי /אוגוסט</t>
  </si>
  <si>
    <t xml:space="preserve"> הקמת מבנה טניס חדש, קירוי 2 מגרשי טניס ופיתוח סביבתי לכל המתתחם.</t>
  </si>
  <si>
    <t>הסדרת ניקוז בצומת הרחובות. מימון מ. התחבורה. ח-ן סופיים.</t>
  </si>
  <si>
    <r>
      <rPr>
        <sz val="11"/>
        <rFont val="David"/>
        <family val="2"/>
      </rPr>
      <t>פיתוח הגשר מעל כביש 20 איזור גליל ים</t>
    </r>
    <r>
      <rPr>
        <b/>
        <sz val="11"/>
        <rFont val="David"/>
        <family val="2"/>
      </rPr>
      <t xml:space="preserve">.  </t>
    </r>
    <r>
      <rPr>
        <sz val="11"/>
        <rFont val="David"/>
        <family val="2"/>
      </rPr>
      <t/>
    </r>
  </si>
  <si>
    <t>מ. הגנת הסביבה</t>
  </si>
  <si>
    <r>
      <rPr>
        <strike/>
        <sz val="11"/>
        <rFont val="David"/>
        <family val="2"/>
      </rPr>
      <t xml:space="preserve">תכנון </t>
    </r>
    <r>
      <rPr>
        <b/>
        <sz val="11"/>
        <rFont val="David"/>
        <family val="2"/>
      </rPr>
      <t>הקמת</t>
    </r>
    <r>
      <rPr>
        <sz val="11"/>
        <rFont val="David"/>
        <family val="2"/>
      </rPr>
      <t xml:space="preserve"> </t>
    </r>
    <r>
      <rPr>
        <sz val="11"/>
        <rFont val="David"/>
        <family val="2"/>
        <charset val="177"/>
      </rPr>
      <t xml:space="preserve">חניון מרינה לי </t>
    </r>
    <r>
      <rPr>
        <b/>
        <sz val="11"/>
        <rFont val="David"/>
        <family val="2"/>
      </rPr>
      <t xml:space="preserve">(*) עדכון שם </t>
    </r>
  </si>
  <si>
    <t>בת.ע. 2022 כולל אוגוסט</t>
  </si>
  <si>
    <r>
      <t>עבודות בניה ופיתוח מרכז מדעיים וקהילה באלתרמן.</t>
    </r>
    <r>
      <rPr>
        <sz val="11"/>
        <color rgb="FFFF0000"/>
        <rFont val="David"/>
        <family val="2"/>
      </rPr>
      <t xml:space="preserve"> </t>
    </r>
    <r>
      <rPr>
        <sz val="11"/>
        <rFont val="David"/>
        <family val="2"/>
      </rPr>
      <t>מבנה 5 קומות ופיתוח.</t>
    </r>
  </si>
  <si>
    <t>מסגרת עבודות של החלפת עמודי מחסום באיזור התעשיה. ח-ן סופיים.</t>
  </si>
  <si>
    <r>
      <t xml:space="preserve">בניית גנ"י בנווה עמל. חלקות בבעלות רמ"י. </t>
    </r>
    <r>
      <rPr>
        <sz val="11"/>
        <rFont val="David"/>
        <family val="2"/>
      </rPr>
      <t xml:space="preserve">נדחה עד הכרת מ. החינוך </t>
    </r>
    <r>
      <rPr>
        <sz val="11"/>
        <rFont val="David"/>
        <family val="2"/>
        <charset val="177"/>
      </rPr>
      <t>והסכם חכירה רמ"י.</t>
    </r>
  </si>
  <si>
    <r>
      <t>בניית 6 כיתות גנ"י במתחם ויצמן.</t>
    </r>
    <r>
      <rPr>
        <sz val="11"/>
        <rFont val="David"/>
        <family val="2"/>
      </rPr>
      <t xml:space="preserve"> לו"ז לאיכלוס 9/2021.</t>
    </r>
    <r>
      <rPr>
        <b/>
        <sz val="11"/>
        <rFont val="David"/>
        <family val="2"/>
      </rPr>
      <t xml:space="preserve"> </t>
    </r>
  </si>
  <si>
    <t xml:space="preserve">תוספת מבנה של 24 כיתות   ואולם ספורט חדש בבי"ס ויצמן. ב - 2021: תכנון. </t>
  </si>
  <si>
    <t>בת.ע. 2022 כולל יולי</t>
  </si>
  <si>
    <r>
      <t>תכנון שיפוץ/הריסה ובניה מחדש של בי"ס. הריסה של 18 כיתות,4 כיתות גן ח"מ ובניה של 24 כיתות,5 כיתות גן ח"מ.</t>
    </r>
    <r>
      <rPr>
        <sz val="11"/>
        <rFont val="David"/>
        <family val="2"/>
        <charset val="177"/>
      </rPr>
      <t xml:space="preserve"> </t>
    </r>
    <r>
      <rPr>
        <b/>
        <sz val="11"/>
        <rFont val="David"/>
        <family val="2"/>
      </rPr>
      <t xml:space="preserve"> </t>
    </r>
  </si>
  <si>
    <t>מ. הפיס</t>
  </si>
  <si>
    <t xml:space="preserve">הגדלת קו הניקוז ברח' דוד המלך בקטע קרן היסוד - מדינת היהודים . </t>
  </si>
  <si>
    <t>מ. הפנים</t>
  </si>
  <si>
    <t xml:space="preserve">הקמת מתקן חניה עילי באחד מחניוני אזהת"ש. </t>
  </si>
  <si>
    <t xml:space="preserve">בדיקת התכנות לבניית גנ"י ב - 3 מתחמים שונים  מתחם אחד העם, הסתדרות, נוף ים .בהתאם לצרכים העירוניים מעת לעת. </t>
  </si>
  <si>
    <t>הריסת מבני ספח והקמת מבנה חדש.תכנון ראשוני בי"ס בן צבי. הרחבה ל - 24 כיתות.</t>
  </si>
  <si>
    <t>בדיקה חוזרת מול עמי.</t>
  </si>
  <si>
    <t>מ. החינוך</t>
  </si>
  <si>
    <r>
      <t>תכנון וביצוע הקמת 7 כיתות גן במתחם השמעוני.</t>
    </r>
    <r>
      <rPr>
        <b/>
        <sz val="11"/>
        <color rgb="FFFF0000"/>
        <rFont val="David"/>
        <family val="2"/>
      </rPr>
      <t xml:space="preserve"> </t>
    </r>
    <r>
      <rPr>
        <sz val="11"/>
        <rFont val="David"/>
        <family val="2"/>
      </rPr>
      <t>מימון מ. החינוך. לו"ז איכלוס 9/2021.</t>
    </r>
    <r>
      <rPr>
        <sz val="11"/>
        <color rgb="FFFF0000"/>
        <rFont val="David"/>
        <family val="2"/>
      </rPr>
      <t xml:space="preserve"> </t>
    </r>
  </si>
  <si>
    <t>לא נדרש חלקי מ. החינוך</t>
  </si>
  <si>
    <t xml:space="preserve">הריסת מבנים קיימים ובניה מתחם חדש:בי"ס יסודי 24 כיתות, 4 כיתות ח"מ, אולם ספורט, מגרש ספורט מוצלל, 2 כיתות גנ"י. </t>
  </si>
  <si>
    <t xml:space="preserve">בדיקת היתכנות להקמת בי"ס. </t>
  </si>
  <si>
    <t xml:space="preserve">בניית אולם ספורט חדש במקום הקיים בבי"ס יוחנני. </t>
  </si>
  <si>
    <t xml:space="preserve">בדיקת היתכנות להרחבה ל - 18 כיתות.  </t>
  </si>
  <si>
    <r>
      <rPr>
        <sz val="11"/>
        <rFont val="David"/>
        <family val="2"/>
      </rPr>
      <t xml:space="preserve">תכנון וביצוע של תוספת כיתות ומעבדות בתיכון היובל. </t>
    </r>
    <r>
      <rPr>
        <b/>
        <sz val="11"/>
        <rFont val="David"/>
        <family val="2"/>
      </rPr>
      <t/>
    </r>
  </si>
  <si>
    <r>
      <rPr>
        <sz val="11"/>
        <rFont val="David"/>
        <family val="2"/>
      </rPr>
      <t xml:space="preserve">תכנון חט"ב חדשה באלתרמן. </t>
    </r>
    <r>
      <rPr>
        <b/>
        <sz val="11"/>
        <rFont val="David"/>
        <family val="2"/>
      </rPr>
      <t/>
    </r>
  </si>
  <si>
    <r>
      <rPr>
        <sz val="11"/>
        <rFont val="David"/>
        <family val="2"/>
      </rPr>
      <t>תכנון תוספת 6 כיתות בי"ס ברנר.</t>
    </r>
    <r>
      <rPr>
        <b/>
        <sz val="11"/>
        <color rgb="FFFF0000"/>
        <rFont val="David"/>
        <family val="2"/>
      </rPr>
      <t xml:space="preserve"> </t>
    </r>
  </si>
  <si>
    <t>תכנון 2 כיתות גן.</t>
  </si>
  <si>
    <t>נסגר</t>
  </si>
  <si>
    <t>רמ"י.</t>
  </si>
  <si>
    <t>בת.ע. 2022 כולל יולי ואוגסט</t>
  </si>
  <si>
    <r>
      <t xml:space="preserve">בניית בי"ס יסודי 18 כיתות, 5 כיתות גן, מועדון תנועת נוער, אולם ספורט בינוני , מגרש ספורט משולב, חניון תתקרקעי 2 מפלסים. </t>
    </r>
    <r>
      <rPr>
        <sz val="11"/>
        <rFont val="David"/>
        <family val="2"/>
      </rPr>
      <t>לו"ז לאיכלוס 9.2021/2022. מימון מ. החינוך בי"ס,גנ"י.</t>
    </r>
  </si>
  <si>
    <r>
      <t xml:space="preserve">בניית בי"ס יסודי 18 כיתות לו"ז לאיכלוס 9/2022,  אולם ספורט בינוני , מגרש ספורט , חניון תתקרקעי 2 מפלסים. </t>
    </r>
    <r>
      <rPr>
        <sz val="11"/>
        <rFont val="David"/>
        <family val="2"/>
      </rPr>
      <t>מימון מ. החינוך בי"ס.</t>
    </r>
  </si>
  <si>
    <t xml:space="preserve">סל לייעוץ ותכנון הנדסי. </t>
  </si>
  <si>
    <t xml:space="preserve">סל להחלפה ושדרוג מזגנים במוסדות חינוך. התב"ר לסגירה. ראה תב"ר 1415. </t>
  </si>
  <si>
    <t>הצללות קבועות מעל מגרשי ספורט  עפ"י תוכנית רב שנתית. 5 הצללות ב - 2021: היובל,זאב,וולפסון,בן צבי,יבור.</t>
  </si>
  <si>
    <r>
      <t xml:space="preserve">ריהוט גנ"י </t>
    </r>
    <r>
      <rPr>
        <b/>
        <sz val="11"/>
        <rFont val="David"/>
        <family val="2"/>
      </rPr>
      <t>(*) נסגר 2021</t>
    </r>
  </si>
  <si>
    <t>סל לשדרוג ריהוט בגני ילדים.התב"ר לסגירה.</t>
  </si>
  <si>
    <r>
      <t xml:space="preserve">החלפת תאורת לדים 10 אולמות ספורט עפ"י רשימה. </t>
    </r>
    <r>
      <rPr>
        <sz val="11"/>
        <rFont val="David"/>
        <family val="2"/>
      </rPr>
      <t xml:space="preserve">יוגש קול קורא התייעלות מימון מ. הכלכלה והתעשיה. </t>
    </r>
  </si>
  <si>
    <r>
      <t>נגישות ליקויי שמיעה (מ.החינוך)</t>
    </r>
    <r>
      <rPr>
        <b/>
        <sz val="11"/>
        <rFont val="David"/>
        <family val="2"/>
      </rPr>
      <t xml:space="preserve"> (*) נסגר 2020</t>
    </r>
  </si>
  <si>
    <r>
      <t>פיר מעלית ומעלית בנין המועצה הדתית</t>
    </r>
    <r>
      <rPr>
        <b/>
        <sz val="11"/>
        <rFont val="David"/>
        <family val="2"/>
        <charset val="177"/>
      </rPr>
      <t xml:space="preserve"> </t>
    </r>
  </si>
  <si>
    <r>
      <t xml:space="preserve">בנית פיר מעלית חיצוני בעקבות ביקורת של יועץ נגישות וקושי הנדסי לבנות את הפיר בתוך המבנה. ממומן מ. הדתות. </t>
    </r>
    <r>
      <rPr>
        <sz val="11"/>
        <rFont val="David"/>
        <family val="2"/>
      </rPr>
      <t>ההיתר בשלבים מתקדמים.</t>
    </r>
  </si>
  <si>
    <t>סל עבודות שיפוצים שונות במוס"ח לרבות שיפוצים יסודיים והתאמת מבנים גנ"י.ראה תב"ר 2177.</t>
  </si>
  <si>
    <r>
      <t xml:space="preserve">שיפוץ יסודי מעון בן סרוק כולל הצטיידות </t>
    </r>
    <r>
      <rPr>
        <b/>
        <sz val="11"/>
        <rFont val="David"/>
        <family val="2"/>
      </rPr>
      <t>(*) נסגר 2021</t>
    </r>
  </si>
  <si>
    <r>
      <t xml:space="preserve">שיפוצים מוס.רווחה </t>
    </r>
    <r>
      <rPr>
        <b/>
        <sz val="11"/>
        <rFont val="David"/>
        <family val="2"/>
      </rPr>
      <t>(*) נסגר 2021</t>
    </r>
  </si>
  <si>
    <r>
      <t xml:space="preserve">שיפוץ אולם ספורט נווה ישראל </t>
    </r>
    <r>
      <rPr>
        <b/>
        <sz val="11"/>
        <rFont val="David"/>
        <family val="2"/>
      </rPr>
      <t>(*) נסגר 2020</t>
    </r>
  </si>
  <si>
    <t>עבודות שיפוץ האולם כולל הצטיידות. לקראת סיום.</t>
  </si>
  <si>
    <t>כיתות לימוד ומבני שרותים כולל פיתוח חלופי למבנים באיצטדיון העירוני.</t>
  </si>
  <si>
    <r>
      <t xml:space="preserve">סל עבודות במוס"ח לרבות שיפוצים יסודיים , התאמת מבנים ושדרוג גנ"י על פי רשימה שתאושר ע"י הנהלת העיר. </t>
    </r>
    <r>
      <rPr>
        <sz val="11"/>
        <rFont val="David"/>
        <family val="2"/>
      </rPr>
      <t>בדיקה הערכות של בניית תוכנית אב רב שנתית שיפוצים מוס"ח.</t>
    </r>
  </si>
  <si>
    <r>
      <t xml:space="preserve">בניית 3 כיתות (קרוואנים), מעבדות,תכנון תוספת כיתות. </t>
    </r>
    <r>
      <rPr>
        <b/>
        <sz val="11"/>
        <rFont val="David"/>
        <family val="2"/>
      </rPr>
      <t/>
    </r>
  </si>
  <si>
    <t>טיפול דחוף בתקרת בטון במבנה מסוכן בסוקולוב 32. לא נדרש. התב"ר לסגירה.</t>
  </si>
  <si>
    <t>בי"ס דמוקרטי- התאמת מבנה בחט"ב סמדר</t>
  </si>
  <si>
    <t>עבודות שיפוצים וחזיתות מבנה ביה"ס בשטח של כ - 2,650 מ"ר, עבודות פיתוח ותשתיות מים וביוב. הקמת אולם הספורט החדש בביצוע החב. לפיתוח.</t>
  </si>
  <si>
    <r>
      <t xml:space="preserve">הנגשת כיתות ליקויי שמיעה (מ.החינוך) </t>
    </r>
    <r>
      <rPr>
        <b/>
        <sz val="11"/>
        <rFont val="David"/>
        <family val="2"/>
      </rPr>
      <t>(*) נסגר 2021</t>
    </r>
  </si>
  <si>
    <r>
      <t>הצטיידות  גנים חדשים כולל  ח"מ במקביל לבניה לאיכלוס 9/2021 בין היתר 12 גנ"י ח"ר ו - 2 ח"מ: שמעוני, אבן עזרא, תמר ותאנה. פתיחת גנים במבנים קיימים .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מימון מ. החינוך.</t>
    </r>
  </si>
  <si>
    <t>המשך הצטיידות אופק אחרי השיפוץ. לקראת סיום.</t>
  </si>
  <si>
    <r>
      <t xml:space="preserve">הצטיידות חדשה בי"ס יוחנני </t>
    </r>
    <r>
      <rPr>
        <b/>
        <sz val="11"/>
        <rFont val="David"/>
        <family val="2"/>
      </rPr>
      <t>(*) נסגר 2020</t>
    </r>
  </si>
  <si>
    <r>
      <t xml:space="preserve">המשך הצטיידות ומיחשוב בי"ס החדש  יצחק נבון כולל בגין </t>
    </r>
    <r>
      <rPr>
        <sz val="11"/>
        <rFont val="David"/>
        <family val="2"/>
      </rPr>
      <t>תוספת 6 כיתות . מימון מ. הפיס.</t>
    </r>
  </si>
  <si>
    <t xml:space="preserve">פרויקט החלפת ריהוט המותאם למאה ה - 21  בכל ביה"ס. תוכנית רב שנתית. </t>
  </si>
  <si>
    <t>הצטיידות גנ"י ילדים גליל ים (מגרשים 303,302,404)</t>
  </si>
  <si>
    <r>
      <t>הצטיידות 20 גנ"י ח"ר וח"מ  במגרשים 303,302,404. במקביל לבנית גנ"י בביצוע של החב. לפיתוח</t>
    </r>
    <r>
      <rPr>
        <sz val="11"/>
        <rFont val="David"/>
        <family val="2"/>
      </rPr>
      <t>. מימון מ. החינוך.</t>
    </r>
  </si>
  <si>
    <t>הצטיידות ריהוט ומיחשוב מבנה  בי"ס דמוקרטי בחט"ב סמדר.</t>
  </si>
  <si>
    <t xml:space="preserve">גדר בגובה 4 מ' סביב מגרשי אימונים במתחם האצטדיון מול משרדי תבל . </t>
  </si>
  <si>
    <t>הצטיידות כלי שייט עבור המרכז לחינוך וספורט ימי כולל החינוך המיוחד. ייסגר לאחר קבלת תקבול  מ. התרבות והספורט.</t>
  </si>
  <si>
    <t>המשך חידוש ציפוי מגרשי הספורט לפי התוכנית השנתית. בן גוריון, האשל, סמדר, 6 מגרשי טניס נווה עמל.</t>
  </si>
  <si>
    <t>הקמה ושיפוץ רצפות פרקט: חידוש רצפה באולם תיכון חדש , חידוש רצפה אולם בנווה ישראל וחידוש רצפה בחדר מחול בלב טוב.</t>
  </si>
  <si>
    <r>
      <t xml:space="preserve">מקרן דיגיטלי לסינמטק </t>
    </r>
    <r>
      <rPr>
        <b/>
        <sz val="11"/>
        <rFont val="David"/>
        <family val="2"/>
      </rPr>
      <t>(*) נסגר 2021</t>
    </r>
  </si>
  <si>
    <t>מערכות הקרנה דיגיטליות, באמצעות מקרןdcp, במטרה לאפשר הקרנת סרטים בשיטה חדשנית שתגרום להרחבת היצע התכנים לקהל. התב"ר לסגירה.</t>
  </si>
  <si>
    <r>
      <t xml:space="preserve">מתקני משחק ,ריהוט גן ומשטחי גומי </t>
    </r>
    <r>
      <rPr>
        <b/>
        <sz val="11"/>
        <rFont val="David"/>
        <family val="2"/>
      </rPr>
      <t>(*) נסגר 2021</t>
    </r>
  </si>
  <si>
    <r>
      <t xml:space="preserve">שדרוג תשתיות משטחי גומי גינות </t>
    </r>
    <r>
      <rPr>
        <b/>
        <sz val="11"/>
        <rFont val="David"/>
        <family val="2"/>
      </rPr>
      <t>(*) נסגר 2021</t>
    </r>
  </si>
  <si>
    <t>הסרת גגות אסבסט ממבנים בעיר וסיוע לתושבים לאיסוף אסבסט בהיקפים קטנים. יהיה במסגרת תב"ר 1435.</t>
  </si>
  <si>
    <t>העבודות הסתיימו. ח-ן סופיים.</t>
  </si>
  <si>
    <r>
      <t xml:space="preserve">בי"ס אלון פיתוח חצר אחורית </t>
    </r>
    <r>
      <rPr>
        <b/>
        <sz val="11"/>
        <rFont val="David"/>
        <family val="2"/>
      </rPr>
      <t>(*) נסגר 2020</t>
    </r>
  </si>
  <si>
    <t>עבודות פיתוח ושדרוג החצר האחורית במתחם בי"ס אלון כולל הצללה. העבודות הסתיימו. ח-ן סופיים.</t>
  </si>
  <si>
    <t>ביצוע שצ"פ רחוב המסילה כולל גידור, הסדרת המרכז המסחרי אל-על נורדאו, עבודות גינון נוספות. העבודות הסתיימו. ח-ן סופיים.</t>
  </si>
  <si>
    <t xml:space="preserve">עבודות שדרוג ושיקום ערוגות הגינון  לצידי הרחוב והכיכרות המרכזיות. מרחוב וינגייט ועד רח' הקונגרס שטח של כ- 2.6 דונם. </t>
  </si>
  <si>
    <t>הקטנת תקציב. ייסגר עם קבלת תקבול  מ. להגנת הסביבה.</t>
  </si>
  <si>
    <r>
      <t>משקפות למצילים 2017</t>
    </r>
    <r>
      <rPr>
        <b/>
        <sz val="11"/>
        <rFont val="David"/>
        <family val="2"/>
      </rPr>
      <t xml:space="preserve"> (*) נסגר 2021</t>
    </r>
  </si>
  <si>
    <r>
      <t xml:space="preserve">מיול לפיקוח והצלה 2018 </t>
    </r>
    <r>
      <rPr>
        <b/>
        <sz val="11"/>
        <rFont val="David"/>
        <family val="2"/>
      </rPr>
      <t>(*) נסגר 2021</t>
    </r>
  </si>
  <si>
    <r>
      <t xml:space="preserve">אופנוע ים כולל זיווד 2018 </t>
    </r>
    <r>
      <rPr>
        <b/>
        <sz val="11"/>
        <rFont val="David"/>
        <family val="2"/>
      </rPr>
      <t>(*) נסגר 2021</t>
    </r>
  </si>
  <si>
    <t xml:space="preserve">מימון מ. הפנים. </t>
  </si>
  <si>
    <t>תוספות שינויים ושיפורים שדרוג מערכות הליבה החברה לאוטומציה וציוד חומרה. בהתאם לבקשות מעת לעת.</t>
  </si>
  <si>
    <r>
      <t>עבודות הנגשה של מרחב ציבורי ומבני ציבור כנדרש עפ"י החוק עפ"י תוכנית רב שנתית. 2021-מימון מ. החינוך רעות.</t>
    </r>
    <r>
      <rPr>
        <sz val="11"/>
        <rFont val="David"/>
        <family val="2"/>
      </rPr>
      <t xml:space="preserve"> </t>
    </r>
  </si>
  <si>
    <t>תוספת תקציב שאושרה במהלך השנה</t>
  </si>
  <si>
    <t>אחוז ביצוע כולל</t>
  </si>
  <si>
    <t>סה"כ תקציב שמומש/ימומש עד 31.12.21</t>
  </si>
  <si>
    <r>
      <t xml:space="preserve">מקורות מימון - </t>
    </r>
    <r>
      <rPr>
        <b/>
        <sz val="10"/>
        <rFont val="David"/>
        <family val="2"/>
      </rPr>
      <t>סה"כ</t>
    </r>
    <r>
      <rPr>
        <b/>
        <sz val="10"/>
        <rFont val="David"/>
        <family val="2"/>
        <charset val="177"/>
      </rPr>
      <t xml:space="preserve"> מימוש תקציב עד 31.12.21</t>
    </r>
  </si>
  <si>
    <t>תקציב בלתי רגיל לשנת 2022 בהשקעה של</t>
  </si>
  <si>
    <t xml:space="preserve">לביצוע פרויקטים בשנת 2022 בסכום של  </t>
  </si>
  <si>
    <t>התקציב הבלתי רגיל לשנת 2021</t>
  </si>
  <si>
    <t xml:space="preserve">הצעת התקציב הבלתי רגיל לשנת 2021  אושרה במועצת העיר בחודש דצמבר 2020 . </t>
  </si>
  <si>
    <r>
      <t xml:space="preserve">הצעת התקציב הבלתי רגיל לשנת 2021 הסתכמה בסכום של  </t>
    </r>
    <r>
      <rPr>
        <b/>
        <sz val="12"/>
        <color theme="1"/>
        <rFont val="David"/>
        <family val="2"/>
        <charset val="177"/>
      </rPr>
      <t>455,886 אלפי ₪ .</t>
    </r>
  </si>
  <si>
    <t>ביצוע כולל צפי עד 31.12.2021</t>
  </si>
  <si>
    <t>הצעת התקציב הבלתי רגיל לשנת 2022</t>
  </si>
  <si>
    <t xml:space="preserve">הפרויקטים הבולטים לשנת 2022 הינם :   </t>
  </si>
  <si>
    <t>ביצוע עד 31.12.2020</t>
  </si>
  <si>
    <t>אומדן לביצוע  2021 מעודכן</t>
  </si>
  <si>
    <t>יתרת תקציב פנויה 31.12.20</t>
  </si>
  <si>
    <t>תקציב מעודכן  2021</t>
  </si>
  <si>
    <t>תקציב שאושר לביצוע בתוכנית הפיתוח 2021</t>
  </si>
  <si>
    <t>תקציב  נדרש מעבר לתוכנית הפיתוח 2021</t>
  </si>
  <si>
    <t xml:space="preserve">מימוש 2/2021 
 </t>
  </si>
  <si>
    <t xml:space="preserve">מימוש 3/2021 
 </t>
  </si>
  <si>
    <t xml:space="preserve">מימוש 6/2021 
 </t>
  </si>
  <si>
    <t xml:space="preserve">מימוש 7/2021 
 </t>
  </si>
  <si>
    <t xml:space="preserve">מימוש 8/2021 
 </t>
  </si>
  <si>
    <t xml:space="preserve">מימוש 10/2021 
 </t>
  </si>
  <si>
    <t xml:space="preserve">מימוש 11/2021 
 </t>
  </si>
  <si>
    <t>3/1.3.21</t>
  </si>
  <si>
    <t>40/16.3.21</t>
  </si>
  <si>
    <t>הקטנת תקציב.</t>
  </si>
  <si>
    <t>תוספת תקציב. פיצויים לבעלי קרקע בשביל האופניים המחבר הרצליה ת"א.</t>
  </si>
  <si>
    <t>7/20.6.21</t>
  </si>
  <si>
    <t>44/13.7.21</t>
  </si>
  <si>
    <t>החלפת קו ניקוז רחוב שלווה</t>
  </si>
  <si>
    <t>חדש. החלפת קו ניקוז ברח' שלווה. אומדן ראשוני.</t>
  </si>
  <si>
    <t>החלפת קו ניקוז רחוב בזל</t>
  </si>
  <si>
    <t>חדש. החלפת קו ניקוז ברח' בזל. אומדן ראשוני.</t>
  </si>
  <si>
    <t>5/30.5.21</t>
  </si>
  <si>
    <t>43/15.6.21</t>
  </si>
  <si>
    <t xml:space="preserve">הסדרת צומת ברנר בר כוכבא בן גוריון </t>
  </si>
  <si>
    <t>הקטנת תקציב  וסגירת תב"ר. תקבול סופי מ. התחבורה.</t>
  </si>
  <si>
    <t>הקדמת תקציב מ - 2022. הסדרת הסמטה המקשרת בין רח' קפלן לוינגייט. תכנון.</t>
  </si>
  <si>
    <t>דחיית תקציב ל - 2022.</t>
  </si>
  <si>
    <t>9/22.8.21</t>
  </si>
  <si>
    <t>48/12.10.21</t>
  </si>
  <si>
    <t>דחיית תקציב ל - 2022. קרן ייעודית . התקבלה התחייבות רמ"י הסכם ה"גג".</t>
  </si>
  <si>
    <t>תוספת. מימון רמ"י התקבלה התחייבות רמ"י הסכם הגג".</t>
  </si>
  <si>
    <t>11/24.10.21</t>
  </si>
  <si>
    <t>עבודות פינוי ומיחזור פסולת הר' 1903</t>
  </si>
  <si>
    <t>תוספת.  תשלום לאזורים בגין כספי חלף שהתקבל מרמ"י. במסגרת התחשבנות בגין פינוי הפסולת עפ"י ההסכם.</t>
  </si>
  <si>
    <t>תכנון  מתחם אפולוניה</t>
  </si>
  <si>
    <t>שינוי מימון. מימון רמ"י. סגירת תב"ר.</t>
  </si>
  <si>
    <t>2/31.1.21</t>
  </si>
  <si>
    <t>39/16.2.21</t>
  </si>
  <si>
    <t>נגישות אקוסטית 2020 מ.החינוך</t>
  </si>
  <si>
    <t>חדש. נגישות אקוסטית . מ.החינוך.</t>
  </si>
  <si>
    <t>עבודות תאורה ותשתית  האשל, שבטי מנשה,יהודה הלוי, שמואל נגיד, אבן גבירול</t>
  </si>
  <si>
    <t>חדש. עבודות תשתית ותאורה בעקבות עבודות ת"ח של הטמנת הרשת העילית.</t>
  </si>
  <si>
    <t>תוספת. סל עבודות עבודות עפ"י רשימה.</t>
  </si>
  <si>
    <t>תוספת.שדרוג שרותים בית קינן כולל תשתיות.</t>
  </si>
  <si>
    <t>תיקון ליקויים סקר כיבוי אש מוס"ח ועיריה</t>
  </si>
  <si>
    <t>תוספת. עבודות לטיפול ליקוי כיבוי אש במוזיאון.</t>
  </si>
  <si>
    <t>תוספת.סל עבודות.</t>
  </si>
  <si>
    <t>תוכנית אב רב שנתית שיפוצים מוס"ח 2021 ואילך</t>
  </si>
  <si>
    <t xml:space="preserve">תוספת. סל עבודות שיפוצים ושדרוגים מוסדות חינוך היערות לקראת שנת הלימודים. </t>
  </si>
  <si>
    <t>תוספת .שינוי מימון מ.החינוך: מבנים יבילים .</t>
  </si>
  <si>
    <t>שינוי מימון. מימון מ. החינוך מבנה יביל יד גיורא.</t>
  </si>
  <si>
    <t>התקנת תקרות אקוסטיות במשרדי אגף רווחה</t>
  </si>
  <si>
    <t>חדש. תקרות אקוסטיות אגף רווחה בן גוריון 14-16,קומה ב'.</t>
  </si>
  <si>
    <t>חדש. אגף רווחה. הסבת אולם למעון יום של עמותת אלווין.</t>
  </si>
  <si>
    <t>שינוי מימון. מימון מ. החינוך מבנה יביל תיכון עירוני חדש.</t>
  </si>
  <si>
    <t>שדרוג חטיבת זאב</t>
  </si>
  <si>
    <t>נגישות אקוסטית 2021 מ. החינוך</t>
  </si>
  <si>
    <t>חדש. נגישות אקוסטית 9 כיתות. מימון מ. החינוך.</t>
  </si>
  <si>
    <t>חדש. הקמת 3 מבנים יבילים  באיצטדיון כולל תשתיות ופיתוח דרכי גישה.</t>
  </si>
  <si>
    <t>8/25.7.21</t>
  </si>
  <si>
    <t>47/17.8.21</t>
  </si>
  <si>
    <t>חדש. נגישות אקוסטית: אלון, ראשונים ,גן כרמים. מימון מ. החינוך.</t>
  </si>
  <si>
    <t>חדש. קירות תמך כולל הוצאת היתרים במיקומים כנדרש עקב בעיות בטיחות.</t>
  </si>
  <si>
    <t>הגנת מצוקי חופי הים</t>
  </si>
  <si>
    <t>חדש. הגנת מצוקי חופי הים - עבודות עפר, בטיחות וגידור.</t>
  </si>
  <si>
    <t>נווה עמל - עבודות פיתוח מתיחת פנים</t>
  </si>
  <si>
    <t>חדש. עבודות:עמודי תאורה, ריבוד כבישים, החלפת מדרכות, פינות מיחזור.</t>
  </si>
  <si>
    <t>הקטנת תקציב. לקראת סיום. מבנים יבילים.</t>
  </si>
  <si>
    <t>מערכת מבוססת מצלמות לאכיפת חניה ונת"צים</t>
  </si>
  <si>
    <t>חדש. הקמת מערכת לאכיפת חניה ונת"צים באמצעות מצלמות. ב - 2022 צפוי להתקבל מימון מ. התחבורה.</t>
  </si>
  <si>
    <t>חדש. עבודות התאמת מטבחים במוסדות הרווחה עפ"י רשימה.</t>
  </si>
  <si>
    <t>1/3.1.21</t>
  </si>
  <si>
    <t>חדש. מימון מ. הרווחה.</t>
  </si>
  <si>
    <t>חדש. שיפוץ והצטיידות תיכון הנדסאים. מ. החינוך.</t>
  </si>
  <si>
    <t>הנגשת כיתות ליקויי שמיעה (מ.החינוך)</t>
  </si>
  <si>
    <t>שינוי מימון וסגירת תב"ר. תקבול סופי מ. החינוך.</t>
  </si>
  <si>
    <t>שינוי מימון. טרם התקבלה הרשאה מ. החינוך.</t>
  </si>
  <si>
    <t>עדכון ייעוד התב"ר. הצטיידות והשלמת עבודות במבנה.</t>
  </si>
  <si>
    <t>תוספת. החלפת פרקט באולם ספורט לב טוב.</t>
  </si>
  <si>
    <t>תוספת חידוש ציפוי מגרשי טניס נווה עמל.</t>
  </si>
  <si>
    <t>הקדמת תקציב מ - 2022. עבודות במתחם המשקל העירוני להסדרת נושא הבטיחות.</t>
  </si>
  <si>
    <t>מיול וזיווד חופים 2020 מ. הפנים</t>
  </si>
  <si>
    <t>חדש. מיול חופים  מ. הפנים.</t>
  </si>
  <si>
    <t>תוספת. שינוי מימון קול קורא מ. החינוך.</t>
  </si>
  <si>
    <t>אגף נכסים</t>
  </si>
  <si>
    <t>פינוי דייר מוגן אברג'יל מ.מסחרי נווה עמל גוש 6558 חל 879</t>
  </si>
  <si>
    <t>חדש. תשלום לדייר מוגן במסגרת הסדר עם הדיר מחוץ לכתלי ביהמ"ש.</t>
  </si>
  <si>
    <t>סה"כ אגף נכסים</t>
  </si>
  <si>
    <t>ועדה 1 / 3.1.21</t>
  </si>
  <si>
    <t>ועדה 2 / 31.1.21</t>
  </si>
  <si>
    <t>ועדה 3 / 1.3.21</t>
  </si>
  <si>
    <t>ועדה 5 / 30.5.21</t>
  </si>
  <si>
    <t>ועדה 7 / 20.6.21</t>
  </si>
  <si>
    <t>ועדה 8 / 25.7.21</t>
  </si>
  <si>
    <t>ועדה 9 / 22.8.21</t>
  </si>
  <si>
    <t>ועדה 10 / 19.9.21</t>
  </si>
  <si>
    <t>ועדה 10 / 24.10.21</t>
  </si>
  <si>
    <t>ראה תב"ר 2034</t>
  </si>
  <si>
    <t>מקורות מימון סה"כ מימוש תקציב עד 31.12.21</t>
  </si>
  <si>
    <t xml:space="preserve">מסגרת תוכנית פיתוח </t>
  </si>
  <si>
    <t>תקציב מעבר למסגרת תוכנית הפיתוח   כולל צפי עד 31.12.2021</t>
  </si>
  <si>
    <t>סיכום דיון ראה"ע 17.10.21</t>
  </si>
  <si>
    <t>ראה"ע: לתת קדימות לנושא ניקוז בכל רחבי העיר.</t>
  </si>
  <si>
    <t>מנכ"ל: להתחיל ביצוע ב - 2021.</t>
  </si>
  <si>
    <t>ראה"ע: לקדם את התנעת הפרויקט.</t>
  </si>
  <si>
    <t>ראה"ע: לעדכן בשם : רחוב ולעדכן את תאור הפרויקט : ב - 2022 תכנון.</t>
  </si>
  <si>
    <t>ראה"ע: ללעדכן בתאור : תכנון וביצוע.</t>
  </si>
  <si>
    <t>אביבה: אומדן גבוה יותר מכיכר רגילה עקב בעיית תשתית .ב - 2002:תכנון בלבד.</t>
  </si>
  <si>
    <t>טל: שטח של כ - 1.1 דונם.</t>
  </si>
  <si>
    <t>מאושר.</t>
  </si>
  <si>
    <r>
      <t xml:space="preserve">לעדכן תקציב ל - 600 אלפי ₪. </t>
    </r>
    <r>
      <rPr>
        <sz val="11"/>
        <color rgb="FFFF0000"/>
        <rFont val="David"/>
        <family val="2"/>
      </rPr>
      <t>עודכן מ - 800 אלפי ₪.</t>
    </r>
  </si>
  <si>
    <t>רחוב אזר ההסתדרות</t>
  </si>
  <si>
    <t>פיתוח הרחוב. ב - 2022: תכנון.</t>
  </si>
  <si>
    <t>תכנון וביצוע של עבודות שדרוג פנימי של המובל בנעמי שמר להגדלת כושר ההולכה.</t>
  </si>
  <si>
    <r>
      <t xml:space="preserve">לעדכן תקציב ל - 500 אלפי ₪. </t>
    </r>
    <r>
      <rPr>
        <sz val="11"/>
        <color rgb="FFFF0000"/>
        <rFont val="David"/>
        <family val="2"/>
      </rPr>
      <t>עודכן מ - 1,500 אלפי ₪.</t>
    </r>
  </si>
  <si>
    <t>ראה"ע : מבקש להציג את התוכנית בישיבה נפרדת.</t>
  </si>
  <si>
    <t>ראה"ע : לקבל אמדן עדכני ולדיון נוסף בהתחשב בתב"ר חדש "מתחם ספורט במתחם אלתרמן".</t>
  </si>
  <si>
    <t>להשלים: לקבל מסמך מעודכן סטטוס (היבטים סטטוטוריים ומצב תכנון) של כל החניונים במערב העיר.</t>
  </si>
  <si>
    <t>מאושר. לעכב יציאה למכרז עד הוראת מנכ"ל בהתאם לדיון תקצוב מ. החינוך 2/2022.</t>
  </si>
  <si>
    <t>לעדכן תאור : ב - 2022 תכנון.</t>
  </si>
  <si>
    <t>להשלים : התקציב הנדרש ב - 2022. בדיקה וטיפול בהארכת תוקף ההרשאה מ. הגנת הסביבה.</t>
  </si>
  <si>
    <t>ראה"ע : לדיון חוזר. טיפול החברה לפיתוח בשיתוף אגף נכסים בפולשים. היתר בהכנה.</t>
  </si>
  <si>
    <t>לדיון נוסף.
ראה"ע : הצגת הפרוייקט ואומדן מעודכן.</t>
  </si>
  <si>
    <t>ראה"ע : לדיון נוסף. עיכוב ביצוע בהתאם לדיון תקצוב מ. החינוך 2/2022.</t>
  </si>
  <si>
    <r>
      <t xml:space="preserve">האומדן עפ"י בקשת המימון מקרן מקרן שלם  (1 מלשח) וב' לאומי (2.2 מלשח) - 11.4 מלשח.
</t>
    </r>
    <r>
      <rPr>
        <sz val="11"/>
        <color rgb="FFFF0000"/>
        <rFont val="David"/>
        <family val="2"/>
      </rPr>
      <t>להקטין אומדן.</t>
    </r>
  </si>
  <si>
    <t>ראה"ע : התקציב עבור עבודות של שדרוג ריהוט רחוב ולא קרצוף וריבוד.</t>
  </si>
  <si>
    <t>לעדכן תאור : כולל הריסה.</t>
  </si>
  <si>
    <t>ראה"ע : מאושר. עיכוב ביצוע בהתאם לדיון תקצוב מ. החינוך 2/2022.</t>
  </si>
  <si>
    <t xml:space="preserve">
מנכ"ל: לביצוע. לקבל אומדן מעודכן ולתקצב ב - 2022.</t>
  </si>
  <si>
    <t>לעדכן תאור : תכנון.</t>
  </si>
  <si>
    <r>
      <t xml:space="preserve">לעדכן תקציב ל - 5,000 אלפי ₪.
</t>
    </r>
    <r>
      <rPr>
        <sz val="11"/>
        <color rgb="FFFF0000"/>
        <rFont val="David"/>
        <family val="2"/>
      </rPr>
      <t>עודכן מ - 10,000 אלפי ₪.</t>
    </r>
  </si>
  <si>
    <r>
      <t xml:space="preserve">לעדכן תקציב ל - 300 אלפי ₪  עבור גינת כלבים. </t>
    </r>
    <r>
      <rPr>
        <sz val="11"/>
        <color rgb="FFFF0000"/>
        <rFont val="David"/>
        <family val="2"/>
      </rPr>
      <t>עודכן.</t>
    </r>
  </si>
  <si>
    <t>טיפול בשב"צ+גינת כלבים. ב - 2022: גינת כלבים.</t>
  </si>
  <si>
    <r>
      <t xml:space="preserve">לעדכן תקציב ל - 15,000 אלפי ₪  . </t>
    </r>
    <r>
      <rPr>
        <sz val="11"/>
        <color rgb="FFFF0000"/>
        <rFont val="David"/>
        <family val="2"/>
      </rPr>
      <t>עודכן מ - 23,800 אלפי ₪</t>
    </r>
    <r>
      <rPr>
        <sz val="11"/>
        <rFont val="David"/>
        <family val="2"/>
      </rPr>
      <t xml:space="preserve">. </t>
    </r>
  </si>
  <si>
    <r>
      <t xml:space="preserve">לעדכן תקציב ל - 1,000 אלפי ₪ לתכנון בלבד. הביצוע מותנה באישור רמ"י. </t>
    </r>
    <r>
      <rPr>
        <sz val="11"/>
        <color rgb="FFFF0000"/>
        <rFont val="David"/>
        <family val="2"/>
      </rPr>
      <t>עודכן מ - 14,000 אלפי ₪.</t>
    </r>
    <r>
      <rPr>
        <sz val="11"/>
        <rFont val="David"/>
        <family val="2"/>
      </rPr>
      <t xml:space="preserve">
</t>
    </r>
  </si>
  <si>
    <r>
      <t xml:space="preserve">לא מאושר. </t>
    </r>
    <r>
      <rPr>
        <sz val="11"/>
        <color rgb="FFFF0000"/>
        <rFont val="David"/>
        <family val="2"/>
      </rPr>
      <t>עודכן מ - 500 אלפי ₪.</t>
    </r>
  </si>
  <si>
    <r>
      <rPr>
        <sz val="11"/>
        <rFont val="David"/>
        <family val="2"/>
      </rPr>
      <t>פיתוח הגשר מעל כביש 20 איזור גליל ים</t>
    </r>
    <r>
      <rPr>
        <b/>
        <sz val="11"/>
        <rFont val="David"/>
        <family val="2"/>
      </rPr>
      <t xml:space="preserve">. </t>
    </r>
    <r>
      <rPr>
        <sz val="11"/>
        <rFont val="David"/>
        <family val="2"/>
      </rPr>
      <t xml:space="preserve"> ב - 2022 : תכנון. בשלבי בחירת מנהל פרויקט.</t>
    </r>
  </si>
  <si>
    <r>
      <t xml:space="preserve">לא מאושר. </t>
    </r>
    <r>
      <rPr>
        <sz val="11"/>
        <color rgb="FFFF0000"/>
        <rFont val="David"/>
        <family val="2"/>
      </rPr>
      <t>עודכן מ - 7,110 אלפי ₪.</t>
    </r>
  </si>
  <si>
    <r>
      <t xml:space="preserve">לדחות ל - 2023. </t>
    </r>
    <r>
      <rPr>
        <sz val="11"/>
        <color rgb="FFFF0000"/>
        <rFont val="David"/>
        <family val="2"/>
      </rPr>
      <t>עודכן.</t>
    </r>
  </si>
  <si>
    <t>תכנון ראשוני של פיתוח מתחם "בזק" בו ייבנה בניין משרדים שבין היתר יאוכלס אגף הרווחה. הפרויקט כולל הריסת מבנה בזק.</t>
  </si>
  <si>
    <r>
      <t xml:space="preserve">לעדכן תאור  8 כיתות ואולם ספורט. ראה"ע : לתקצב לתכנון בלבד. עיכוב ביצוע בהתאם לדיון תקצוב מ. החינוך 2/2022.
 תנוס : לבדוק בקשת מימון ממשרד הספורט. </t>
    </r>
    <r>
      <rPr>
        <sz val="11"/>
        <color rgb="FFFF0000"/>
        <rFont val="David"/>
        <family val="2"/>
      </rPr>
      <t xml:space="preserve">עודכן מ - 30,000 אלפי ₪. </t>
    </r>
  </si>
  <si>
    <t>לעדכן תאור : השלמת ביצוע של בית הקפה.  לו"ז איכלוס סוף 2022.</t>
  </si>
  <si>
    <r>
      <t xml:space="preserve">ראה"ע : אומדן גבוה. לעדכן תקציב לתכנון בלבד 500 אלפי ₪. להקפיא ביצוע עד בדיקת אומדן ואישור מנכ"ל. </t>
    </r>
    <r>
      <rPr>
        <sz val="11"/>
        <color rgb="FFFF0000"/>
        <rFont val="David"/>
        <family val="2"/>
      </rPr>
      <t>עודכן מ - 7,000 אלפי ₪.</t>
    </r>
  </si>
  <si>
    <t>תכנון קמפוס גני ילדים בחנה רובינא.</t>
  </si>
  <si>
    <r>
      <t xml:space="preserve">ראה"ע : אומדן גבוה. לעדכן תקציב לתכנון בלבד 500 אלפי ₪. לעדכן תאור - תכנון קמפוס גנ"י. </t>
    </r>
    <r>
      <rPr>
        <sz val="11"/>
        <color rgb="FFFF0000"/>
        <rFont val="David"/>
        <family val="2"/>
      </rPr>
      <t>עודכן מ - 8,500 אלפי ₪.</t>
    </r>
  </si>
  <si>
    <t>תכנון 3 גנ"י ביהודה הנשיא.</t>
  </si>
  <si>
    <r>
      <t xml:space="preserve">ראה"ע : אומדן גבוה. לעדכן תקציב לתכנון בלבד 500 אלפי ₪. לעדכן תאור - תכנון גנ"י. </t>
    </r>
    <r>
      <rPr>
        <sz val="11"/>
        <color rgb="FFFF0000"/>
        <rFont val="David"/>
        <family val="2"/>
      </rPr>
      <t>עודכן מ - 7,000 אלפי ₪.</t>
    </r>
  </si>
  <si>
    <t>תכנון 4 גנ"י ומעונות יום במתחם המסילה.</t>
  </si>
  <si>
    <t>מתחם ספורט משותף: אולם ומגרש ספורט לתיכון היובל, אולם ספורט לבי״ס נבון ואולם התעמלות מכשירים. ב - 2022: תכנון.</t>
  </si>
  <si>
    <r>
      <t xml:space="preserve">ראה"ע : לעדכן תקציב ל - 700 אלפי ₪. מרכז טכנולוג אקולוגי. להשלים תאור : בן. </t>
    </r>
    <r>
      <rPr>
        <sz val="11"/>
        <color rgb="FFFF0000"/>
        <rFont val="David"/>
        <family val="2"/>
      </rPr>
      <t>עודכן מ - 500 אלפי ₪.</t>
    </r>
  </si>
  <si>
    <t>-</t>
  </si>
  <si>
    <r>
      <t xml:space="preserve">ראה"ע : לקבל הסבר לאומדן. לעדכן תקציב 2022 ל - 10,000 אלפי ₪. עיכוב ביצוע בהתאם לדיון תקצוב מ. החינוך 2/2022. </t>
    </r>
    <r>
      <rPr>
        <sz val="11"/>
        <color rgb="FFFF0000"/>
        <rFont val="David"/>
        <family val="2"/>
      </rPr>
      <t>עודכן מ - 15,334 אלפי ₪.</t>
    </r>
  </si>
  <si>
    <r>
      <t xml:space="preserve">חניון זבולון צפון ודרום.
לא מאושר. לדיון נוסף כולל קבלת מסמך חניונים.ראה לעיל. </t>
    </r>
    <r>
      <rPr>
        <sz val="11"/>
        <color rgb="FFFF0000"/>
        <rFont val="David"/>
        <family val="2"/>
      </rPr>
      <t>עודכן מ - 5,000 אלפי ₪.</t>
    </r>
  </si>
  <si>
    <t>תקציב בדיון</t>
  </si>
  <si>
    <t>בדיון</t>
  </si>
  <si>
    <t>הפחתות</t>
  </si>
  <si>
    <t>מעודכן</t>
  </si>
  <si>
    <t>שינויי תקציב</t>
  </si>
  <si>
    <t>גריעת תברים חדשים</t>
  </si>
  <si>
    <t>תוכנית הצטיידות למיחשוב כל מוס"ח .החלפת מחשבים ראוטרים וציוד מיחשוב. מימון מפעל הפיס.</t>
  </si>
  <si>
    <t>הפחתות - המלצה</t>
  </si>
  <si>
    <t>עבודות שונות בפארק כולל חידוש דק, שיפוץ שרותים מרכזיים , חידוש מסלול גומי, קרצוף וריבוד מסלולים.</t>
  </si>
  <si>
    <t>לפי 8 גנ"י .להשלים : אולגה תאום מול טלי/בן.</t>
  </si>
  <si>
    <t>לדיון ראה"ע.3.4 מלשח מימון מ. התחבורה.</t>
  </si>
  <si>
    <r>
      <t xml:space="preserve">מ. החינוך (קבוצה 3). </t>
    </r>
    <r>
      <rPr>
        <sz val="11"/>
        <color rgb="FFFF0000"/>
        <rFont val="David"/>
        <family val="2"/>
      </rPr>
      <t>לא ידוע סכום</t>
    </r>
    <r>
      <rPr>
        <sz val="11"/>
        <rFont val="David"/>
        <family val="2"/>
      </rPr>
      <t>.לדיון עיכוב ביצוע. מימון מ. הפיס ב - 2022.</t>
    </r>
  </si>
  <si>
    <t>מימון "אחרים".</t>
  </si>
  <si>
    <t>מימון מ. הגנת הסביבה.</t>
  </si>
  <si>
    <t>אומדן לביצוע 2022 מעודכן סיכום דיון ראה"ע ומנכ"ל</t>
  </si>
  <si>
    <t>להשאיר את היתרה</t>
  </si>
  <si>
    <t>תכנון תב"ע מתחם הנופש "אקספורט"</t>
  </si>
  <si>
    <t>אומדן לביצוע 2022 מעודכן - סיכום דיון ראה"ע ומנכ"ל 19.10.21</t>
  </si>
  <si>
    <t>סכום השינוי</t>
  </si>
  <si>
    <t>תכנון וביצוע הקמת מתקני כושר ופיתוח בשטח הגבול בין גינת הכלבים וחיבור לגן הציבורי בשטח של 1.3 דונם.</t>
  </si>
  <si>
    <t xml:space="preserve">עבודות במרחב הציבורי בשטחים ציבוריים בשכונות השונות ברחבי העיר כולל ריהוט רחוב ופינוי אסבסט עפ"י תוכנית עבודה שתאושר ע"י הנהלת העיר. </t>
  </si>
  <si>
    <t>הפחתות - המלצה 18.10.21</t>
  </si>
  <si>
    <t>הפחתות - המלצה 20.10.21</t>
  </si>
  <si>
    <t>פרוייקט התאמת חורשות וחצרות גנ"י פרויקט EACH</t>
  </si>
  <si>
    <t>הפחתות - המלצה 24.10.21</t>
  </si>
  <si>
    <t>תקציב 2021 7.1 מלשח מימון הלוואות נדחה ל - 2022. הפרויקט עובר לביצוע החברה לפיתוח. עבר ממינהל התפעול. ראה הערות דיון שם.</t>
  </si>
  <si>
    <t>הקמת מערכות סולאריות על גגות אולמות ספורט ומתנ"סים 14 במספר עפ"י רשימה. מימון הלוואות במסגרת מיזם  מאושר מפעל הפייס. עבר ממינהל התפעול.</t>
  </si>
  <si>
    <t xml:space="preserve">הקמת מרכז תרבות עם קונספט אקלימי חדשני בו יהיו גם פעילויות חינוכית, פיתוח עסקי, חברתי ותיירותי בתחום. </t>
  </si>
  <si>
    <t>מוזיאון הרצליה - הרחבה ושיפוץ</t>
  </si>
  <si>
    <t>תוספת קומה כ - 300 מ"ר , עבודות שיפוץ ופיתוח רחבת המוזיאון.</t>
  </si>
  <si>
    <t>מרכז תרבות בנושא האקלים ברחוב בן גוריון</t>
  </si>
  <si>
    <t>ביכנ"ס  הרצליה הירוקה</t>
  </si>
  <si>
    <t>תכנון ביכנ"ס גוש 6536 חלקה 964 הרצליה הירוקה.</t>
  </si>
  <si>
    <t xml:space="preserve">מימון מ. החינוך. הקטנת תקציב . מרחב למידה הנדיב לא לביצוע. </t>
  </si>
  <si>
    <t>שינוי מימון מ. החינוך עד וככל שלא תתקבל ההרשאה התקציבית מ. החינוך.</t>
  </si>
  <si>
    <t>שינוי מימון מ. החינוך עד וככל שלא תתקבל ההרשאה התקציבית מ. החינוך .</t>
  </si>
  <si>
    <t>התקציב הבלתי רגיל לשנת 2021 - ביצוע</t>
  </si>
  <si>
    <t>תקציב בלתי רגיל שאושר מעבר לתוכנית הפיתוח השנתית המעודכנת  במהלך 2021</t>
  </si>
  <si>
    <t>מימוש תקציב בלתי רגיל במסגרת תוכנית הפיתוח השנתית המעודכנת 2021</t>
  </si>
  <si>
    <t>תוכנית פיתוח שנתית 2021 : ריכוז לפי מינהל/אגפים/יחידות</t>
  </si>
  <si>
    <r>
      <t xml:space="preserve">תוכנית אסטרטגית באזהת"ש </t>
    </r>
    <r>
      <rPr>
        <b/>
        <sz val="11"/>
        <rFont val="David"/>
        <family val="2"/>
      </rPr>
      <t xml:space="preserve">(*) נסגר 2021 </t>
    </r>
  </si>
  <si>
    <r>
      <t xml:space="preserve">תכנון דיור בן ציון מיכאלי </t>
    </r>
    <r>
      <rPr>
        <b/>
        <sz val="11"/>
        <rFont val="David"/>
        <family val="2"/>
      </rPr>
      <t>(*) נסגר 2021</t>
    </r>
  </si>
  <si>
    <r>
      <t xml:space="preserve">תכנון </t>
    </r>
    <r>
      <rPr>
        <sz val="11"/>
        <rFont val="David"/>
        <family val="2"/>
        <charset val="177"/>
      </rPr>
      <t xml:space="preserve">שינוי גבולות העיר </t>
    </r>
    <r>
      <rPr>
        <b/>
        <sz val="11"/>
        <rFont val="David"/>
        <family val="2"/>
      </rPr>
      <t>(*) נסגר 2021</t>
    </r>
  </si>
  <si>
    <r>
      <t xml:space="preserve">תכנון אסטרטגי ציר מעפילים </t>
    </r>
    <r>
      <rPr>
        <b/>
        <sz val="11"/>
        <rFont val="David"/>
        <family val="2"/>
      </rPr>
      <t>(*) נסגר 2021</t>
    </r>
  </si>
  <si>
    <r>
      <t xml:space="preserve">פינוי בינוי גורדון </t>
    </r>
    <r>
      <rPr>
        <b/>
        <sz val="11"/>
        <rFont val="David"/>
        <family val="2"/>
      </rPr>
      <t>(*) נסגר 2021</t>
    </r>
  </si>
  <si>
    <r>
      <t xml:space="preserve">עבודות ניקוז רחוב סוקולוב </t>
    </r>
    <r>
      <rPr>
        <b/>
        <sz val="11"/>
        <rFont val="David"/>
        <family val="2"/>
      </rPr>
      <t>(*) עבר לח. לפיתוח</t>
    </r>
  </si>
  <si>
    <r>
      <t xml:space="preserve">עבודות ניקוז  רחוב רבינו תם </t>
    </r>
    <r>
      <rPr>
        <b/>
        <sz val="11"/>
        <rFont val="David"/>
        <family val="2"/>
      </rPr>
      <t xml:space="preserve">(*) עבר לח. לפיתוח </t>
    </r>
  </si>
  <si>
    <r>
      <t xml:space="preserve">עבודות ניקוז   רחוב הרב גורן </t>
    </r>
    <r>
      <rPr>
        <b/>
        <sz val="11"/>
        <rFont val="David"/>
        <family val="2"/>
      </rPr>
      <t xml:space="preserve">(*) עבר לח. לפיתוח </t>
    </r>
  </si>
  <si>
    <r>
      <t xml:space="preserve">עבודות ניקוז   רחוב רוחמה ושבטי ישראל </t>
    </r>
    <r>
      <rPr>
        <b/>
        <sz val="11"/>
        <rFont val="David"/>
        <family val="2"/>
      </rPr>
      <t>(*) עבר לח. לפיתוח</t>
    </r>
  </si>
  <si>
    <r>
      <t xml:space="preserve">פיתוח דרך מזרחית מקבילה לקיבוץ גלויות </t>
    </r>
    <r>
      <rPr>
        <b/>
        <sz val="11"/>
        <rFont val="David"/>
        <family val="2"/>
      </rPr>
      <t>(*) עבר לח. לפיתוח</t>
    </r>
  </si>
  <si>
    <r>
      <t xml:space="preserve">פתוח מתחם הר' 1972 תחנה מרכזית </t>
    </r>
    <r>
      <rPr>
        <b/>
        <sz val="11"/>
        <rFont val="David"/>
        <family val="2"/>
      </rPr>
      <t>(*) עבר לח. לפיתוח</t>
    </r>
  </si>
  <si>
    <r>
      <t xml:space="preserve">פינוי בינוי צומת כדורי </t>
    </r>
    <r>
      <rPr>
        <b/>
        <sz val="11"/>
        <rFont val="David"/>
        <family val="2"/>
      </rPr>
      <t>(*) עבר לח. לפיתוח</t>
    </r>
  </si>
  <si>
    <r>
      <t xml:space="preserve">פיתוח מתחם אולפני הרצליה </t>
    </r>
    <r>
      <rPr>
        <b/>
        <sz val="11"/>
        <rFont val="David"/>
        <family val="2"/>
      </rPr>
      <t>(*) עבר לח. לפיתוח</t>
    </r>
    <r>
      <rPr>
        <sz val="11"/>
        <rFont val="David"/>
        <family val="2"/>
      </rPr>
      <t xml:space="preserve"> </t>
    </r>
  </si>
  <si>
    <t>תוכנית פיתוח שנתית 2021 : מימוש - החברה לפיתוח הרצליה</t>
  </si>
  <si>
    <t xml:space="preserve"> מרכז מדעים וקהילה </t>
  </si>
  <si>
    <r>
      <t>בחינת התכנות</t>
    </r>
    <r>
      <rPr>
        <sz val="11"/>
        <rFont val="David"/>
        <family val="2"/>
        <charset val="177"/>
      </rPr>
      <t xml:space="preserve"> לגנ"י חדשים </t>
    </r>
    <r>
      <rPr>
        <sz val="11"/>
        <rFont val="David"/>
        <family val="2"/>
      </rPr>
      <t xml:space="preserve">במתחמים שונים. </t>
    </r>
  </si>
  <si>
    <r>
      <t xml:space="preserve">סמטת ניסנוב </t>
    </r>
    <r>
      <rPr>
        <b/>
        <sz val="11"/>
        <rFont val="David"/>
        <family val="2"/>
      </rPr>
      <t>(*) עבר לח. לפיתוח</t>
    </r>
  </si>
  <si>
    <r>
      <t xml:space="preserve">תכנון רכבת עילית איזור תעשיה </t>
    </r>
    <r>
      <rPr>
        <b/>
        <sz val="11"/>
        <rFont val="David"/>
        <family val="2"/>
      </rPr>
      <t>(*) נסגר 2021</t>
    </r>
  </si>
  <si>
    <r>
      <t xml:space="preserve">החלפת עמודי מחסום איזור תעשיה </t>
    </r>
    <r>
      <rPr>
        <b/>
        <sz val="11"/>
        <rFont val="David"/>
        <family val="2"/>
      </rPr>
      <t>(*) נסגר 2021</t>
    </r>
  </si>
  <si>
    <r>
      <t xml:space="preserve">החלפת קו ניקוז בדוד המלך </t>
    </r>
    <r>
      <rPr>
        <b/>
        <sz val="11"/>
        <rFont val="David"/>
        <family val="2"/>
      </rPr>
      <t>(*) נסגר 2021</t>
    </r>
  </si>
  <si>
    <r>
      <t xml:space="preserve">מתקן חניה עילי  </t>
    </r>
    <r>
      <rPr>
        <sz val="11"/>
        <rFont val="David"/>
        <family val="2"/>
      </rPr>
      <t xml:space="preserve">בחניון באיזהת"ש </t>
    </r>
    <r>
      <rPr>
        <b/>
        <sz val="11"/>
        <rFont val="David"/>
        <family val="2"/>
      </rPr>
      <t>(*) נסגר 2021</t>
    </r>
  </si>
  <si>
    <r>
      <t xml:space="preserve">גנ"י (2) בסמטת סמדר </t>
    </r>
    <r>
      <rPr>
        <b/>
        <sz val="11"/>
        <rFont val="David"/>
        <family val="2"/>
      </rPr>
      <t>(*) נסגר 2021</t>
    </r>
  </si>
  <si>
    <r>
      <t xml:space="preserve">תכנון מבנה מעונות הסטודנטים </t>
    </r>
    <r>
      <rPr>
        <b/>
        <sz val="11"/>
        <rFont val="David"/>
        <family val="2"/>
      </rPr>
      <t>(*) נסגר 2021</t>
    </r>
  </si>
  <si>
    <r>
      <t xml:space="preserve">גן ילדים מתחם זרובבל </t>
    </r>
    <r>
      <rPr>
        <b/>
        <sz val="11"/>
        <rFont val="David"/>
        <family val="2"/>
      </rPr>
      <t>(*) נסגר 2021</t>
    </r>
  </si>
  <si>
    <r>
      <t xml:space="preserve">גן רשל, גנ"י בבי"ס אילנות </t>
    </r>
    <r>
      <rPr>
        <b/>
        <sz val="11"/>
        <rFont val="David"/>
        <family val="2"/>
      </rPr>
      <t>(*) נסגר 2021</t>
    </r>
  </si>
  <si>
    <r>
      <t xml:space="preserve">פיתוח מתחם מבנה משכן אומנים </t>
    </r>
    <r>
      <rPr>
        <b/>
        <sz val="11"/>
        <rFont val="David"/>
        <family val="2"/>
      </rPr>
      <t>(*) נסגר 2021</t>
    </r>
  </si>
  <si>
    <r>
      <t xml:space="preserve">הכשרת החוף הנפרד </t>
    </r>
    <r>
      <rPr>
        <b/>
        <sz val="11"/>
        <rFont val="David"/>
        <family val="2"/>
      </rPr>
      <t>(*) נסגר 2021</t>
    </r>
  </si>
  <si>
    <t>מקורות מימון - סה"כ מימוש תקציב עד 31.12.21</t>
  </si>
  <si>
    <r>
      <t xml:space="preserve">מיזוג אוויר במוס"ח </t>
    </r>
    <r>
      <rPr>
        <b/>
        <sz val="11"/>
        <rFont val="David"/>
        <family val="2"/>
      </rPr>
      <t>(*) נסגר 2021</t>
    </r>
  </si>
  <si>
    <r>
      <t xml:space="preserve">החלפת תאורה באולמות ספורט </t>
    </r>
    <r>
      <rPr>
        <b/>
        <sz val="11"/>
        <rFont val="David"/>
        <family val="2"/>
      </rPr>
      <t>(*) נסגר 2022</t>
    </r>
  </si>
  <si>
    <r>
      <t xml:space="preserve">פית' מדרגות קיר תומך פנחס רוזן </t>
    </r>
    <r>
      <rPr>
        <b/>
        <sz val="11"/>
        <rFont val="David"/>
        <family val="2"/>
      </rPr>
      <t>(*) נסגר 2021</t>
    </r>
  </si>
  <si>
    <r>
      <t xml:space="preserve">שיפוצים ובטיחות אש מוזיאון </t>
    </r>
    <r>
      <rPr>
        <b/>
        <sz val="11"/>
        <rFont val="David"/>
        <family val="2"/>
      </rPr>
      <t>(*) נסגר 2021</t>
    </r>
  </si>
  <si>
    <r>
      <t xml:space="preserve">שיפוץ אולם אירועים, מרפסת,מדרגות  מועצה דתית </t>
    </r>
    <r>
      <rPr>
        <b/>
        <sz val="11"/>
        <rFont val="David"/>
        <family val="2"/>
      </rPr>
      <t>(*) נסגר 2021</t>
    </r>
  </si>
  <si>
    <r>
      <t xml:space="preserve">שיפוץ ושדרוג תיכון אחיה </t>
    </r>
    <r>
      <rPr>
        <b/>
        <sz val="11"/>
        <rFont val="David"/>
        <family val="2"/>
      </rPr>
      <t>(*) נסגר 2021</t>
    </r>
  </si>
  <si>
    <r>
      <t>עב.הק מבני כיתות  חלופי איצטדיון</t>
    </r>
    <r>
      <rPr>
        <b/>
        <sz val="11"/>
        <rFont val="David"/>
        <family val="2"/>
      </rPr>
      <t xml:space="preserve"> (*) נסגר 2021</t>
    </r>
  </si>
  <si>
    <r>
      <t xml:space="preserve">טיפול דחוף תקרת בטון מבנה סוקולוב 32 </t>
    </r>
    <r>
      <rPr>
        <b/>
        <sz val="11"/>
        <rFont val="David"/>
        <family val="2"/>
      </rPr>
      <t>(*) נסגר 2021</t>
    </r>
  </si>
  <si>
    <t>תוכנית פיתוח שנתית 2021 : מימוש - אגף ת.ב.ל</t>
  </si>
  <si>
    <r>
      <t xml:space="preserve">התקנה שדרוג מזגנים </t>
    </r>
    <r>
      <rPr>
        <sz val="11"/>
        <rFont val="David"/>
        <family val="2"/>
      </rPr>
      <t xml:space="preserve">במוס"ח  </t>
    </r>
    <r>
      <rPr>
        <strike/>
        <sz val="11"/>
        <rFont val="David"/>
        <family val="2"/>
        <charset val="177"/>
      </rPr>
      <t/>
    </r>
  </si>
  <si>
    <r>
      <t xml:space="preserve">תוכ. אב רב שנתית שיפוצים מוס"ח 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2021  ואילך.</t>
    </r>
  </si>
  <si>
    <t>תוכנית פיתוח שנתית 2021 : מימוש - אגף בטחון, פיקוח  וסדר ציבורי</t>
  </si>
  <si>
    <t>תוכנית פיתוח שנתית 2021 : מימוש - אגף חינוך</t>
  </si>
  <si>
    <r>
      <t xml:space="preserve">הצטיידות גנ"י ילדים גליל ים (מגרש 401) </t>
    </r>
    <r>
      <rPr>
        <b/>
        <sz val="11"/>
        <rFont val="David"/>
        <family val="2"/>
      </rPr>
      <t>(*) נסגר 2021</t>
    </r>
  </si>
  <si>
    <t>תוכנית פיתוח שנתית 2021 : מימוש - אגף ת.נ.ו.ס</t>
  </si>
  <si>
    <t>תוכנית פיתוח שנתית 2021 : מימוש - מינהל הנדסה</t>
  </si>
  <si>
    <r>
      <t xml:space="preserve">סירות מתקנים מועדון ימי </t>
    </r>
    <r>
      <rPr>
        <b/>
        <sz val="11"/>
        <rFont val="David"/>
        <family val="2"/>
      </rPr>
      <t>(*) נסגר 2021</t>
    </r>
  </si>
  <si>
    <r>
      <t xml:space="preserve">הצטידות חדשה בי"ס אופק </t>
    </r>
    <r>
      <rPr>
        <b/>
        <sz val="11"/>
        <rFont val="David"/>
        <family val="2"/>
      </rPr>
      <t>(*) נסגר 2021</t>
    </r>
  </si>
  <si>
    <t>תוכנית פיתוח שנתית 2021 : מימוש - אגף ש.א.י.פ.ה</t>
  </si>
  <si>
    <r>
      <t xml:space="preserve">הכנת תוכנית אב לקיימות בעיריית הרצליה </t>
    </r>
    <r>
      <rPr>
        <b/>
        <sz val="11"/>
        <rFont val="David"/>
        <family val="2"/>
      </rPr>
      <t>(*) נסגר 2021</t>
    </r>
  </si>
  <si>
    <r>
      <t xml:space="preserve">שדרוג גן שלווה </t>
    </r>
    <r>
      <rPr>
        <b/>
        <sz val="11"/>
        <rFont val="David"/>
        <family val="2"/>
      </rPr>
      <t>(*) נסגר 2021</t>
    </r>
  </si>
  <si>
    <r>
      <t xml:space="preserve">הרצליה ב' שצ" פ המסילה, מ.מסחרי </t>
    </r>
    <r>
      <rPr>
        <b/>
        <sz val="11"/>
        <rFont val="David"/>
        <family val="2"/>
      </rPr>
      <t>(*) נסגר 2021</t>
    </r>
  </si>
  <si>
    <r>
      <t xml:space="preserve">ארלוזרוב - דרך ירושלים </t>
    </r>
    <r>
      <rPr>
        <b/>
        <sz val="11"/>
        <rFont val="David"/>
        <family val="2"/>
      </rPr>
      <t xml:space="preserve"> (*) נסגר 2021</t>
    </r>
  </si>
  <si>
    <t>תוכנית פיתוח שנתית 2021 : מימוש - רשות החופים</t>
  </si>
  <si>
    <t>תוכנית פיתוח שנתית 2021 : מימוש - החברה לפיתוח התיירות הרצליה</t>
  </si>
  <si>
    <t xml:space="preserve">תקציב </t>
  </si>
  <si>
    <t>תוכנית פיתוח שנתית 2021 : מימוש - אגף תקשוב ומערכות מידע</t>
  </si>
  <si>
    <t>תוכנית פיתוח שנתית 2021 : מימוש - אגף  נכסים וביטוח</t>
  </si>
  <si>
    <r>
      <t>פיצויי הפקעה גוש 6525 חל' 130,131</t>
    </r>
    <r>
      <rPr>
        <b/>
        <sz val="11"/>
        <rFont val="David"/>
        <family val="2"/>
      </rPr>
      <t xml:space="preserve"> (*) נסגר 2021</t>
    </r>
  </si>
  <si>
    <r>
      <t xml:space="preserve">שיפוץ ב"מ ספריה+חניון גוש 6532 -346 </t>
    </r>
    <r>
      <rPr>
        <b/>
        <sz val="11"/>
        <rFont val="David"/>
        <family val="2"/>
      </rPr>
      <t>(*) נסגר 2021</t>
    </r>
  </si>
  <si>
    <r>
      <t xml:space="preserve">פיצויי הפקעה הרשקוביץ שושנה 6524/58,68 </t>
    </r>
    <r>
      <rPr>
        <b/>
        <sz val="11"/>
        <rFont val="David"/>
        <family val="2"/>
      </rPr>
      <t>(*) נסגר 2021</t>
    </r>
  </si>
  <si>
    <r>
      <t xml:space="preserve">פיצויי הפקעה הר'1929 6424/52 </t>
    </r>
    <r>
      <rPr>
        <b/>
        <sz val="11"/>
        <rFont val="David"/>
        <family val="2"/>
      </rPr>
      <t>(*) נסגר 2021</t>
    </r>
  </si>
  <si>
    <t>תוכנית פיתוח שנתית 2021 : מימוש - מינהל כללי</t>
  </si>
  <si>
    <t>תקצוב תב"רים שאושרו במועצה מעבר לתוכנית הפיתוח השנתית 2021</t>
  </si>
  <si>
    <t>שנת 2021(*)</t>
  </si>
  <si>
    <t>מויין מחדש. בשנת 2022 מינהל התפעול כולל את האגפים :</t>
  </si>
  <si>
    <t xml:space="preserve">בניית ממ"דים בבתים </t>
  </si>
  <si>
    <t>הריסה ובניה  חדשה של מועדון צופי ים.</t>
  </si>
  <si>
    <t>הפחתות - המלצה 27.10.21</t>
  </si>
  <si>
    <t>הקמת מעון יום במתנ"ס נווה ישראל.תוספת קומה והקמת 4 כיתות מעון , פיתוח והצטיידות. ב - 2022 בדיקת היתכנות ותכנון.</t>
  </si>
  <si>
    <t>הצבת מבנים יבילים , מבני שרותים, הצללות ופיתוח שבט צופים ליד אולפנה צביה.</t>
  </si>
  <si>
    <t>תרבות וספורט (82)</t>
  </si>
  <si>
    <r>
      <t xml:space="preserve">הוספת 6 כיתות כולל מיקלוט במתחם בי"ס נבון. </t>
    </r>
    <r>
      <rPr>
        <sz val="11"/>
        <rFont val="David"/>
        <family val="2"/>
      </rPr>
      <t>ח-ן סופיים.</t>
    </r>
  </si>
  <si>
    <t xml:space="preserve">פיתוח שצ"פ בגבעת הפרחים כולל הנגשה. ח-ן סופיים. </t>
  </si>
  <si>
    <t>עבודות פיתוח כולל קו ניקוז רחוב שער הים. ח-ן סופיים.</t>
  </si>
  <si>
    <r>
      <t>השלמת תכנון עד להיתר לחניון אוטובוסים.</t>
    </r>
    <r>
      <rPr>
        <sz val="11"/>
        <rFont val="David"/>
        <family val="2"/>
      </rPr>
      <t xml:space="preserve"> ח-ן סופיים. יתרת מימון מ. התחבורה.</t>
    </r>
  </si>
  <si>
    <r>
      <t xml:space="preserve">תכנון מתחם צומת כדורי לפינוי ובינוי.התוכנית בשלב של הנעת התכנון לשלבים סטטוטוריים. </t>
    </r>
    <r>
      <rPr>
        <sz val="11"/>
        <rFont val="David"/>
        <family val="2"/>
      </rPr>
      <t>מימון מ. הבינוי.</t>
    </r>
  </si>
  <si>
    <t>פיתוח תשתיות. ח-ן סופיים.</t>
  </si>
  <si>
    <t>המשך עבודות פיתוח במתחם הרחובות הנוריות, אנצו סירני , דב גרונר , שלמה בן יוסף , חביבה רייך. ח-ן סופיים.</t>
  </si>
  <si>
    <t>השלמת עבודות גינון ותיקונים במתחם. ח-ן סופיים.</t>
  </si>
  <si>
    <t>סה"כ פרק 764</t>
  </si>
  <si>
    <t>סה"כ מינהל תפעול</t>
  </si>
  <si>
    <t>סה"כ פרק 81 אגף החינוך</t>
  </si>
  <si>
    <t>סה"כ פרק 73 החברה לתיירות</t>
  </si>
  <si>
    <t>סה"כ פרק 93 אגף נכסים וביטוח</t>
  </si>
  <si>
    <t>תקציב נוסף נדרש במסגרת תוכנית עבודה2021</t>
  </si>
  <si>
    <t>תקציב נוסף נדרש מעבר לתוכנית עבודה2021</t>
  </si>
  <si>
    <t>הקמת מחלקת אכיפה אלקטרונית, מרכז שליטה -מינהל התפעול</t>
  </si>
  <si>
    <t>עבודות שיפוץ הקונסבטוריון כ - 1,000 מ"ר ב - 2 קומות בשכונת יד התשעה כולל תקרות אקוסטיות, תאורה, ריצוף, שדרוג השרותים , מערכות חשמל, מיזוג אוויר. מ. הפיס.</t>
  </si>
  <si>
    <t>עבודות שיפוץ במועדון הנוער יוסף נבו 18 הכוללות : תקרות, רצפות, שרותים, שיפוץ בית הקפה, מערכות סאונד, הצטיידויות. מ. הפיס.</t>
  </si>
  <si>
    <t>ראה תבר בניה בחברה לפיתוח הרצליה. מ. הפיס.</t>
  </si>
  <si>
    <t>ליווי של יועצים ,מתכננים , אגרונום למגוון תוכניות ארציות (תמ"א,תמ"ל).</t>
  </si>
  <si>
    <t xml:space="preserve">עבודות הרחבת והכשרת חלקות נוספות מס' 3 , 5, בבית העלמין החדש. </t>
  </si>
  <si>
    <r>
      <t xml:space="preserve">תכנון מתחם אפולוניה </t>
    </r>
    <r>
      <rPr>
        <b/>
        <sz val="11"/>
        <rFont val="David"/>
        <family val="2"/>
      </rPr>
      <t>(*) נסגר 2021</t>
    </r>
  </si>
  <si>
    <t xml:space="preserve"> הקמת מבנה טניס חדש, שיפוץ מבני מתנ"ס קיים קירוי 2 מגרשי טניס ופיתוח סביבתי למתחם .</t>
  </si>
  <si>
    <t>התקנת קירוי קשיח במגרשי ספורט .</t>
  </si>
  <si>
    <r>
      <t>בניית 6 כיתות גנ"י במתחם ויצמן.מימון מ. החינוך</t>
    </r>
    <r>
      <rPr>
        <sz val="11"/>
        <rFont val="David"/>
        <family val="2"/>
      </rPr>
      <t>.</t>
    </r>
    <r>
      <rPr>
        <b/>
        <sz val="11"/>
        <rFont val="David"/>
        <family val="2"/>
      </rPr>
      <t xml:space="preserve"> </t>
    </r>
  </si>
  <si>
    <r>
      <t>עבודות בניה ופיתוח מרכז מדעיים וקהילה באלתרמן.</t>
    </r>
    <r>
      <rPr>
        <sz val="11"/>
        <rFont val="David"/>
        <family val="2"/>
      </rPr>
      <t xml:space="preserve"> מבנה 5 קומות ופיתוח. מימון מ.החינוך.</t>
    </r>
  </si>
  <si>
    <t>הקמת קמפוס מדעים:בי"ס להנדסאים ותיכון חדש. מימון מ. החינוך.</t>
  </si>
  <si>
    <t xml:space="preserve">השלמת ביצוע דרום, ביצוע והשלמת תכנון פארק רבין צפון. מימון מ. הפיס. </t>
  </si>
  <si>
    <t xml:space="preserve">גיבוש תוכנית פעולות לעבודות הגנה על מצוקי חופי הים . 2022: המשך תכנון. מימון מ. הפנים. </t>
  </si>
  <si>
    <r>
      <t xml:space="preserve">תכנון וביצוע הקמת 4 כיתות גן במתחם זרובבל. </t>
    </r>
    <r>
      <rPr>
        <sz val="11"/>
        <rFont val="David"/>
        <family val="2"/>
      </rPr>
      <t>מימון מ. החינוך.</t>
    </r>
  </si>
  <si>
    <t>תכנון לתוספת 6 כיתות בי"ס שז"ר. מימון מ. החינוך.</t>
  </si>
  <si>
    <t>פיתוח רחוב חדש המזרחי ביותר בנווה עמל.  תכנון.</t>
  </si>
  <si>
    <t>תכנון וביצוע תוספת 8 כיתות בי"ס ברנר ובניית אולם ספורט. ב - 2022 : תכנוון .</t>
  </si>
  <si>
    <t xml:space="preserve">תכנון וביצוע 2 גנ"י. </t>
  </si>
  <si>
    <t xml:space="preserve">בניית 10 כיתות גן . </t>
  </si>
  <si>
    <t xml:space="preserve"> כיתות גן (7) . </t>
  </si>
  <si>
    <r>
      <t xml:space="preserve">פרויקטים קטנים </t>
    </r>
    <r>
      <rPr>
        <strike/>
        <sz val="11"/>
        <rFont val="David"/>
        <family val="2"/>
      </rPr>
      <t>רזרבה אגפית</t>
    </r>
    <r>
      <rPr>
        <sz val="11"/>
        <rFont val="David"/>
        <family val="2"/>
        <charset val="177"/>
      </rPr>
      <t xml:space="preserve"> </t>
    </r>
    <r>
      <rPr>
        <b/>
        <sz val="11"/>
        <rFont val="David"/>
        <family val="2"/>
      </rPr>
      <t xml:space="preserve">(*) מינהל התפעול </t>
    </r>
    <r>
      <rPr>
        <strike/>
        <sz val="11"/>
        <rFont val="David"/>
        <family val="2"/>
      </rPr>
      <t>מינהלית</t>
    </r>
  </si>
  <si>
    <t xml:space="preserve">התקנת גופי תאורה בטכנולוגיה מתקדמת במגרשי ספורט. </t>
  </si>
  <si>
    <t xml:space="preserve">רכישת מיכלי אצירה מפלסטיק ומתכת לפסולת ומיחזור. </t>
  </si>
  <si>
    <t>התקנת מעלית . מימון חלקי של משרד החינוך.</t>
  </si>
  <si>
    <r>
      <t xml:space="preserve">בנית פיר מעלית חיצוני בעקבות ביקורת של יועץ נגישות וקושי הנדסי לבנות את הפיר בתוך המבנה. מימון מ. הדתות. </t>
    </r>
    <r>
      <rPr>
        <sz val="11"/>
        <rFont val="David"/>
        <family val="2"/>
      </rPr>
      <t>ההיתר בשלבים מתקדמים. כולל שיפוץ המרפסת והמדרגות.</t>
    </r>
  </si>
  <si>
    <r>
      <t xml:space="preserve">בניית בית ספר ברח' משה-12 כתות. מימון מ. החינוך. </t>
    </r>
    <r>
      <rPr>
        <sz val="11"/>
        <rFont val="David"/>
        <family val="2"/>
      </rPr>
      <t/>
    </r>
  </si>
  <si>
    <t>הקמת פינות מיחזור ברחבי העיר (פינות המרכזות מיכלי אצירה לסוגים שונים של פסולת כגון: בקבוקים, זכוכית, נייר, אריזות ועוד). שדרוג מיכלי מיחזור לפי דגם אחיד .</t>
  </si>
  <si>
    <t>החלפת רכבים קיימים ורכישת תוספת רכבים עפ"י רשימה שתאושר ע"י הנהלת העיר.</t>
  </si>
  <si>
    <t xml:space="preserve">עבודות שדרוג ושיקום לאורך כל רחוב וינגייט. </t>
  </si>
  <si>
    <t>עבודות שדרוג ושיקום שטחי הגינון  לצידי הרחוב במקטעים שטרם שודרגו.  (כניסה מרמת השרון).</t>
  </si>
  <si>
    <t>התקנת תאורה בתחנות אוטובוס ברחבי העיר שהקים מ.התחבורה  וביצוע תשתיות לתחנות אוטובוס שיוצבו ע"י מ. התחבורה ב - 2022.</t>
  </si>
  <si>
    <t>סל עבודות במוס"ח לרבות שיפוצים יסודיים , התאמת מבנים ושדרוג גנ"י .</t>
  </si>
  <si>
    <t>בניית 3 כיתות (קרוואנים), מעבדות, תכנון תוספת כיתות. מימון מ. החינוך.</t>
  </si>
  <si>
    <t>עבודות תאורה תשתית האשל,שבטי מנשה,יהודה הלוי,שמואל הנגיד,אבן גבירול</t>
  </si>
  <si>
    <t>שדרוג שכונת נווה עמל כולל: כבישים, מפרצי חנייה, מדרכות, גינון, תאורה, שילוט וריהוט רחוב.</t>
  </si>
  <si>
    <t xml:space="preserve">רכישת טרקטור "קטן" מתאים לעבודות בחופים חלופה לטרקטור גדול קיים לא יעיל בשימוש. </t>
  </si>
  <si>
    <t>רכישת נפת חול לסינון וניקוי החול בחופי הרחצה לתמיכה בטיפול בארוע זיהום הים בזפת. מימון מ. הגנת הסביבה.</t>
  </si>
  <si>
    <t>תקציב מסגרת.החלפת ושדרוג ריהוט הרחוב ברחבי העיר:רחבת שער העיר, שדרות חן, חופי הים - השרון, זבולון . ושכונות נוספות בעיר.</t>
  </si>
  <si>
    <r>
      <t>הצטיידות  גנים חדשים כולל  ח"מ במקביל לבניה ופתיחת גנים במבנים קיימים .</t>
    </r>
    <r>
      <rPr>
        <b/>
        <sz val="11"/>
        <rFont val="David"/>
        <family val="2"/>
      </rPr>
      <t xml:space="preserve"> </t>
    </r>
  </si>
  <si>
    <t>פרויקט החלפת ריהוט המותאם למאה ה - 21  בכל ביה"ס. תוכנית רב שנתית.</t>
  </si>
  <si>
    <r>
      <t>שיפוץ מועדון הנוער יוסף נבו 18 הכולל איטום גגות וקירות, החלפות תקרות.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חן סופיים.</t>
    </r>
  </si>
  <si>
    <t>הקמת מתקן "נינג'ה קיוב" או בפארק או באפולוניה לרבות פיתוח המשטח.</t>
  </si>
  <si>
    <t>תכנון להסדרת ייעודיי קרקע בטיילת החוף. קידום התב"ע בחלק של שדרוג תחנת השאיבה ודרכי הגישה אליה. איחוד עם תב"ר 1519.</t>
  </si>
  <si>
    <t>הכנת תב"ע . איחוד עם תב"ר 1519.</t>
  </si>
  <si>
    <t>סל הצטיידות מיחשוב היקפי לקידום למידה דיגיטלית מרחוק בבי"ס. ציוד מיחשוב מחודש. מימון מ. החינוך.</t>
  </si>
  <si>
    <t>עב' פיתוח דחופות בלתי צפויות, מימוני ביניים, שיתעוררו במהלך השנה ויבוצעו עפ"י החלטות הנהלת העיר. שנים 2019/2020. חן סופיים.</t>
  </si>
  <si>
    <t>לשנת 2022 בסכום של 7,100 אלפי ₪.</t>
  </si>
  <si>
    <t>ריכוז אגפים</t>
  </si>
  <si>
    <t>76 , 72</t>
  </si>
  <si>
    <t>ערך הסף נכון להיום עומד על יותר מ  - 15,050 אלפי ₪.</t>
  </si>
  <si>
    <t xml:space="preserve">סך התקציב הנדרש בשנת 2022 ע"י מינהל הנדסה מסתכם ב - </t>
  </si>
  <si>
    <t>פרויקטים עיקריים בשנת 2022 :</t>
  </si>
  <si>
    <t>עבודות ניקוז ברחבי העיר</t>
  </si>
  <si>
    <t>בנוסף, תקציב מינהל הנדסה כולל פרויקטים של  תכנון עיר, תכנון תב"עות , שימור אתרים</t>
  </si>
  <si>
    <t xml:space="preserve">סך התקציב הנדרש בשנת 2022 ע"י החברה לפיתוח הרצליה  מסתכם ב - </t>
  </si>
  <si>
    <r>
      <t>תב"ר 1238 : כצלנסון פיתוח</t>
    </r>
    <r>
      <rPr>
        <b/>
        <sz val="12"/>
        <color theme="1"/>
        <rFont val="David"/>
        <family val="2"/>
      </rPr>
      <t xml:space="preserve"> - </t>
    </r>
    <r>
      <rPr>
        <sz val="12"/>
        <color theme="1"/>
        <rFont val="David"/>
        <family val="2"/>
      </rPr>
      <t xml:space="preserve">פיתוח </t>
    </r>
    <r>
      <rPr>
        <b/>
        <sz val="12"/>
        <color theme="1"/>
        <rFont val="David"/>
        <family val="2"/>
      </rPr>
      <t>פארק רבין.</t>
    </r>
  </si>
  <si>
    <r>
      <t>תב"ר 2203 : אולם ספורט בי"ס יוחנני</t>
    </r>
    <r>
      <rPr>
        <b/>
        <sz val="12"/>
        <color theme="1"/>
        <rFont val="David"/>
        <family val="2"/>
      </rPr>
      <t xml:space="preserve"> - </t>
    </r>
    <r>
      <rPr>
        <sz val="12"/>
        <color theme="1"/>
        <rFont val="David"/>
        <family val="2"/>
      </rPr>
      <t>אולם ספורט בי"ס יוחנני</t>
    </r>
    <r>
      <rPr>
        <b/>
        <sz val="12"/>
        <color theme="1"/>
        <rFont val="David"/>
        <family val="2"/>
      </rPr>
      <t xml:space="preserve"> ובניית כיתות  וגנ"י</t>
    </r>
    <r>
      <rPr>
        <sz val="12"/>
        <color theme="1"/>
        <rFont val="David"/>
        <family val="2"/>
      </rPr>
      <t>.</t>
    </r>
  </si>
  <si>
    <t>הקמת מתנ"ס רחוב המסילה</t>
  </si>
  <si>
    <t>בי"ס בן צבי</t>
  </si>
  <si>
    <t>במהלך שנת 2021 הוקם מינהל התפעול הכולל את האגפים : תבל, בטחון פיקוח וסדר ציבורי,</t>
  </si>
  <si>
    <t>שאיפה וחופים.</t>
  </si>
  <si>
    <t xml:space="preserve">סך התקציב הנדרש בשנת 2022 ע"י האגף  מסתכם ב - </t>
  </si>
  <si>
    <t xml:space="preserve">סך התקציב הנדרש בשנת 2022 ע"י המינהל  מסתכם ב - </t>
  </si>
  <si>
    <t>מספר הפרויקטים המטופל ע"י המינהל  :</t>
  </si>
  <si>
    <t>משרד נייד (רכב)  הכולל : מרכז תקשורת רב ערוצית ,תורן תקשורת טלסקופי,עמדת מחשב,קיר תדרוך,עזרים שונים , בלון תאורה להארה של זירת ארוע ,מיזוג אויר, תאורה,מרכז אנרגיה.</t>
  </si>
  <si>
    <t>שדרוג וטיפול המרחב הציבורי</t>
  </si>
  <si>
    <t xml:space="preserve">הקמת מחלקת אכיפה אלקטרונית, מרכז שליטה </t>
  </si>
  <si>
    <t>פיתוח חופי רחצה</t>
  </si>
  <si>
    <t xml:space="preserve">פרויקט שיפוצי חזיתות בתים והקמת ממד"ים במסגרת אגודת תרבות הדיור. </t>
  </si>
  <si>
    <t>ולאחר שיפוץ וחידוש ריהוט בי"ס.</t>
  </si>
  <si>
    <r>
      <t>תב"ר 1848 : פרויקטים קטנים רזרבה אגפית</t>
    </r>
    <r>
      <rPr>
        <b/>
        <sz val="12"/>
        <color theme="1"/>
        <rFont val="David"/>
        <family val="2"/>
      </rPr>
      <t xml:space="preserve"> - </t>
    </r>
    <r>
      <rPr>
        <sz val="12"/>
        <color theme="1"/>
        <rFont val="David"/>
        <family val="2"/>
      </rPr>
      <t xml:space="preserve">פרויקטים קטנים </t>
    </r>
    <r>
      <rPr>
        <b/>
        <sz val="12"/>
        <color theme="1"/>
        <rFont val="David"/>
        <family val="2"/>
      </rPr>
      <t>מינהל התפעול.</t>
    </r>
  </si>
  <si>
    <r>
      <t>תב"ר 1947 : פיר מעלית ומעלית בנין המועצה הדתית</t>
    </r>
    <r>
      <rPr>
        <b/>
        <sz val="12"/>
        <color theme="1"/>
        <rFont val="David"/>
        <family val="2"/>
      </rPr>
      <t xml:space="preserve"> - כולל שיפוץ המרפסת והמדרגות</t>
    </r>
    <r>
      <rPr>
        <sz val="12"/>
        <color theme="1"/>
        <rFont val="David"/>
        <family val="2"/>
      </rPr>
      <t>.</t>
    </r>
  </si>
  <si>
    <t>התקציב מיועד לשיפוץ מבני תרבות ונוער  , עבודות התאמה לתקן מגרשי הספורט,</t>
  </si>
  <si>
    <t>הצטיידות אולמות ספורט, הקמה ושיפוץ רצפות פרקט באולמות הספורט, מתקני ספורט.</t>
  </si>
  <si>
    <t xml:space="preserve">סך התקציב הנדרש בשנת 2022 ע"י החברה לפיתוח התיירות מסתכם ב - </t>
  </si>
  <si>
    <t>החברה תמשיך בשנת 2022 בתכנון תב"ע חזית חוף הים.</t>
  </si>
  <si>
    <t>הקמת אתר עירוני ופורטל ומערכת לניהול פניות.</t>
  </si>
  <si>
    <t xml:space="preserve">סך התקציב הנדרש בשנת 2022 במינהל הכללי  מסתכם ב - </t>
  </si>
  <si>
    <t>היקפי פרויקט מעל 15,050,000 ₪</t>
  </si>
  <si>
    <t>כצלנסון-פיתוח   פארק רבין (*) עדכון שם</t>
  </si>
  <si>
    <t xml:space="preserve">הקמת חניון מרינה לי </t>
  </si>
  <si>
    <t xml:space="preserve">הקמת מתנ"ס רחוב המסילה </t>
  </si>
  <si>
    <t xml:space="preserve">הקמת אולם ספורט הנגיד </t>
  </si>
  <si>
    <t>גנ"י נווה עמל ציפורן מוריה (*) עדכון וחמניה</t>
  </si>
  <si>
    <t xml:space="preserve">בי"ס ואולם ספורט ויצמן  </t>
  </si>
  <si>
    <t xml:space="preserve">בחינת התכנות לגנ"י חדשים במתחמים שונים. </t>
  </si>
  <si>
    <t xml:space="preserve">שצ"פים במתחם הר 1960 </t>
  </si>
  <si>
    <t>אולם ספורט בי"ס יוחנני (*) עדכון ובניית כיתות וגנ"י</t>
  </si>
  <si>
    <t>פרויקטים שהיקפם עולה על 15,050 אלפי ₪ בביצוע החברה לפיתוח הרצליה.</t>
  </si>
  <si>
    <t>פרויקט : רחוב זוהר טל</t>
  </si>
  <si>
    <t xml:space="preserve">בנוסף, תקציב מינהל התפעול כולל פרויקטים של סקר עצים מסוכנים ,שילוט ברחבי העיר ,  </t>
  </si>
  <si>
    <t>הקמת סככות המתנה לאוטובוסים , שדרוג מקלטים ציבוריים.</t>
  </si>
  <si>
    <t>הקמת קירות תמך עקב בעיות בטיחות במרחב הציבורי</t>
  </si>
  <si>
    <t>עבודות עפר,בטיחות וגידור לטיפול במצוקים בחופי הים</t>
  </si>
  <si>
    <t>התקציב הבלתי רגיל לשנת 2021 – ביצוע</t>
  </si>
  <si>
    <t xml:space="preserve">ביצוע תקציב הבלתי רגיל לשנת 2021    </t>
  </si>
  <si>
    <t xml:space="preserve">להלן נתוני ביצוע באלפי ₪ של התקציב הבלתי רגיל לשנת 2021 : </t>
  </si>
  <si>
    <t>עבודות של כבישים ותשתיות איזור תעשיה מערבי.</t>
  </si>
  <si>
    <t>תכנון וביצוע מערך שבילי אופניים ברחבי העיר.</t>
  </si>
  <si>
    <t>עבודות ניקוז ברחבי העיר.</t>
  </si>
  <si>
    <t>השקעה במוסדות חינוך ,מבני ציבור ועבודות פיתוח תשתיות במתחם גליל ים.</t>
  </si>
  <si>
    <t xml:space="preserve">השקעות בבניה חדשה כולל שדרוגים של מוסדות חינוך ברחבי העיר. </t>
  </si>
  <si>
    <t>מערכת לאכיפת חנייה ונתצ"ים.</t>
  </si>
  <si>
    <t>ת.ב.ל , בטחון פיקוח וסדר ציבורי, ש.א.י.פ.ה , חופים.</t>
  </si>
  <si>
    <t>שרותים עירוניים שונים (76,72)</t>
  </si>
  <si>
    <r>
      <t>בחינת התכנות</t>
    </r>
    <r>
      <rPr>
        <sz val="11"/>
        <rFont val="David"/>
        <family val="2"/>
        <charset val="177"/>
      </rPr>
      <t xml:space="preserve"> לגנ"י חדשים</t>
    </r>
    <r>
      <rPr>
        <sz val="11"/>
        <rFont val="David"/>
        <family val="2"/>
      </rPr>
      <t xml:space="preserve"> במתחמים שונים</t>
    </r>
  </si>
  <si>
    <r>
      <t>תכנון וביצוע הקמת 5 כיתות גן במתחם השמעוני.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 xml:space="preserve">מימון מ. החינוך. </t>
    </r>
  </si>
  <si>
    <r>
      <t>תב"ר 2211 : בי"ס דמוקרטי התאמת מבנה בחט"ב סמדר</t>
    </r>
    <r>
      <rPr>
        <b/>
        <sz val="12"/>
        <color theme="1"/>
        <rFont val="David"/>
        <family val="2"/>
      </rPr>
      <t xml:space="preserve"> - </t>
    </r>
    <r>
      <rPr>
        <sz val="12"/>
        <color theme="1"/>
        <rFont val="David"/>
        <family val="2"/>
      </rPr>
      <t xml:space="preserve">בי"ס דמוקרטי </t>
    </r>
    <r>
      <rPr>
        <b/>
        <sz val="12"/>
        <color theme="1"/>
        <rFont val="David"/>
        <family val="2"/>
      </rPr>
      <t>התאמת מבנה בפארק.</t>
    </r>
  </si>
  <si>
    <t>הכנת תוכנית היערכות לשינויי האקלים הכוללת יועצים.</t>
  </si>
  <si>
    <t>התאמת מבנים בפארק לבי"ס דמוקרטי.</t>
  </si>
  <si>
    <t>התקנת מערכות שו"ב מצלמות מוס"ח מבני ציבור</t>
  </si>
  <si>
    <r>
      <t xml:space="preserve">תל מיכל </t>
    </r>
    <r>
      <rPr>
        <b/>
        <sz val="11"/>
        <rFont val="David"/>
        <family val="2"/>
      </rPr>
      <t>(*) נסגר 2021</t>
    </r>
  </si>
  <si>
    <r>
      <t>תב"ר 2023 : גנ"י נווה עמל ציפורן ומוריה</t>
    </r>
    <r>
      <rPr>
        <b/>
        <sz val="12"/>
        <color theme="1"/>
        <rFont val="David"/>
        <family val="2"/>
      </rPr>
      <t xml:space="preserve"> - </t>
    </r>
    <r>
      <rPr>
        <sz val="12"/>
        <color theme="1"/>
        <rFont val="David"/>
        <family val="2"/>
      </rPr>
      <t>גנ"י נווה עמל ציפורן ו</t>
    </r>
    <r>
      <rPr>
        <b/>
        <sz val="12"/>
        <color theme="1"/>
        <rFont val="David"/>
        <family val="2"/>
      </rPr>
      <t>חמניה</t>
    </r>
    <r>
      <rPr>
        <sz val="12"/>
        <color theme="1"/>
        <rFont val="David"/>
        <family val="2"/>
      </rPr>
      <t>.</t>
    </r>
  </si>
  <si>
    <r>
      <t>תכנון שיפוץ/הריסה ובניה מחדש של בי"ס. הריסה של 18 כיתות, ובניה של 24 כיתות,6 כיתות  ח"מ.</t>
    </r>
    <r>
      <rPr>
        <sz val="11"/>
        <rFont val="David"/>
        <family val="2"/>
        <charset val="177"/>
      </rPr>
      <t xml:space="preserve"> </t>
    </r>
  </si>
  <si>
    <t xml:space="preserve">בדיקת התכנות לבניית גנ"י במתחמים שונים ברחבי העיר בהתאם לצרכים העירוניים מעת לעת. </t>
  </si>
  <si>
    <t xml:space="preserve">הריסת מבנים קיימים ובניה מתחם חדש:בי"ס יסודי 24 כיתות, 4 כיתות ח"מ, אולם ספורט, מגרש ספורט מוצלל, 4 כיתות גנ"י. </t>
  </si>
  <si>
    <r>
      <t xml:space="preserve">בניית בי"ס יסודי 18 כיתות , 5 כיתות גן , מועדון תנועת נוער, אולם ספורט בינוני , מגרש ספורט משולב, חניון תתקרקעי 2 מפלסים. </t>
    </r>
    <r>
      <rPr>
        <sz val="11"/>
        <rFont val="David"/>
        <family val="2"/>
      </rPr>
      <t xml:space="preserve"> מימון מ. החינוך בי"ס,גנ"י.</t>
    </r>
  </si>
  <si>
    <r>
      <t xml:space="preserve">בניית 3 כיתות גן , בניית החניון במימון  חברת אפריקה ישראל. </t>
    </r>
    <r>
      <rPr>
        <sz val="11"/>
        <rFont val="David"/>
        <family val="2"/>
      </rPr>
      <t xml:space="preserve">גנ"י:  מימון מ. החינוך. </t>
    </r>
  </si>
  <si>
    <r>
      <t xml:space="preserve">כיתות גן (3) נוספות מגרש 302 גליל ים. </t>
    </r>
    <r>
      <rPr>
        <sz val="11"/>
        <rFont val="David"/>
        <family val="2"/>
      </rPr>
      <t>מימון מ. החינוך.</t>
    </r>
  </si>
  <si>
    <t>תב"ר מסגרת.  גיבוש תוכנית לאיתור שטחים להקמת גינות כלבים נוספות לאור בקשות תושבי העיר והקמתן.</t>
  </si>
  <si>
    <t>מימון מ. החינוך. שינוי מימון. התב"ר לסגירה.</t>
  </si>
  <si>
    <r>
      <t>הסרת גגות אסבסט ממבנים בעיר וסיוע לתושבים לאיסוף אסבסט בהיקפים קטנים.</t>
    </r>
    <r>
      <rPr>
        <sz val="11"/>
        <rFont val="David"/>
        <family val="2"/>
      </rPr>
      <t xml:space="preserve"> ראה תב"ר 1435.</t>
    </r>
  </si>
  <si>
    <t>החלפת צ'ילרים אולמות ספורט נ. ישראל,סמדר ,נוף ים</t>
  </si>
  <si>
    <t xml:space="preserve">עבודות פיתוח השטח בין שכונת יד התשעה לקיר האקוסטי של כביש 531, כולל פיתוח השצ"פ. </t>
  </si>
  <si>
    <t>סל עבודות פיתוח גידור,שדרוג והיערכות לקראת פתיחת עונת הרחצה ובמהלכה. עפ"י תוכנית שתאושר ע"י הנהלת העיר.</t>
  </si>
  <si>
    <t>מערכת מבוססת מצלמות לאכיפת החנייה והנת"צים ברחבי העיר. מימון מ. התחבורה.</t>
  </si>
  <si>
    <t>הקמת תחנות הצלה חוף אכדיה צפון וחוף סידני עלי</t>
  </si>
  <si>
    <r>
      <t>הקמת תחנות הצלה חדשות בחוף אכדיה צפון ובחוף סדני עלי. בקשה למימון למשרד הפנים תוגש בתחילת שנת 2022.</t>
    </r>
    <r>
      <rPr>
        <b/>
        <sz val="11"/>
        <rFont val="David"/>
        <family val="2"/>
      </rPr>
      <t xml:space="preserve"> </t>
    </r>
  </si>
  <si>
    <t>שיקום האיצטדיון אתלטיקה קלה בבי"ס גורדון . השיקום כולל שיפוץ היציע והמחסן והתקנת משטח ייעודי לא"ק במסלולי הריצה והקפיצה.</t>
  </si>
  <si>
    <t>הפיכת מחסנים למשרדים של הנהלת מטה התפעול , מטה הכספים ואגף הדרכים כולל מע. מולטימדיה למשל"ט במינהל התפעול.</t>
  </si>
  <si>
    <t xml:space="preserve">בניית ממ"דים בבתים  בשיתוף האגודה לתרבות הדיור. </t>
  </si>
  <si>
    <r>
      <t>תב"ר 2217 : הצטיידות גנ"י גליל ים מגרשים 303,302,404</t>
    </r>
    <r>
      <rPr>
        <b/>
        <sz val="12"/>
        <color theme="1"/>
        <rFont val="David"/>
        <family val="2"/>
      </rPr>
      <t xml:space="preserve"> - כולל מגרשים 406, 408</t>
    </r>
    <r>
      <rPr>
        <sz val="12"/>
        <color theme="1"/>
        <rFont val="David"/>
        <family val="2"/>
      </rPr>
      <t>.</t>
    </r>
  </si>
  <si>
    <r>
      <t xml:space="preserve">הצטיידות גנ"י ילדים גליל ים </t>
    </r>
    <r>
      <rPr>
        <b/>
        <sz val="11"/>
        <rFont val="David"/>
        <family val="2"/>
      </rPr>
      <t>עדכון (*)</t>
    </r>
    <r>
      <rPr>
        <sz val="11"/>
        <rFont val="David"/>
        <family val="2"/>
        <charset val="177"/>
      </rPr>
      <t xml:space="preserve"> (מגרשים 303,302,404,</t>
    </r>
    <r>
      <rPr>
        <b/>
        <sz val="11"/>
        <rFont val="David"/>
        <family val="2"/>
      </rPr>
      <t>406,408</t>
    </r>
    <r>
      <rPr>
        <sz val="11"/>
        <rFont val="David"/>
        <family val="2"/>
        <charset val="177"/>
      </rPr>
      <t>)</t>
    </r>
  </si>
  <si>
    <t>הצטיידות  גנ"י חדשים  כולל  ח"מ במקביל לבניה .  פתיחת גנים במבנים קיימים , כולל שינוי הנובע מייחודיות גנ"י.</t>
  </si>
  <si>
    <t>תוספות שינויים ושיפורים שדרוג מערכות הליבה הח.לאוטומציה וציוד חומרה. בהתאם לבקשות מעת לעת. ב - 2022: השדרוג כולל מערכת CRM.</t>
  </si>
  <si>
    <t>ליווי "מהיר לעיר"</t>
  </si>
  <si>
    <t>רחוב החושלים - במסגרת פרויקט מערכת כבישים באיזור התעשיה המערבי</t>
  </si>
  <si>
    <r>
      <t>תב"ר 2082 : הקמת אתר עירוני , פורטל</t>
    </r>
    <r>
      <rPr>
        <b/>
        <sz val="12"/>
        <color theme="1"/>
        <rFont val="David"/>
        <family val="2"/>
      </rPr>
      <t xml:space="preserve"> - </t>
    </r>
    <r>
      <rPr>
        <sz val="12"/>
        <color theme="1"/>
        <rFont val="David"/>
        <family val="2"/>
      </rPr>
      <t xml:space="preserve">הקמת אתר עירוני, פורטל </t>
    </r>
    <r>
      <rPr>
        <b/>
        <sz val="12"/>
        <color theme="1"/>
        <rFont val="David"/>
        <family val="2"/>
      </rPr>
      <t>ומע. לניהול פניות.</t>
    </r>
  </si>
  <si>
    <r>
      <t>הסדרת צומת ברנר בר כוכבא בן גוריון</t>
    </r>
    <r>
      <rPr>
        <b/>
        <sz val="11"/>
        <rFont val="David"/>
        <family val="2"/>
      </rPr>
      <t xml:space="preserve"> (*) נסגר 2021</t>
    </r>
  </si>
  <si>
    <r>
      <t xml:space="preserve">שיקום האגם בפארק </t>
    </r>
    <r>
      <rPr>
        <b/>
        <sz val="11"/>
        <rFont val="David"/>
        <family val="2"/>
      </rPr>
      <t>(*) עבר לחב.לפיתוח</t>
    </r>
  </si>
  <si>
    <r>
      <t xml:space="preserve">גן יניב - פיתוח והקמת מתקני כושר </t>
    </r>
    <r>
      <rPr>
        <b/>
        <sz val="11"/>
        <rFont val="David"/>
        <family val="2"/>
      </rPr>
      <t>(*) עבר לחב. לפיתוח</t>
    </r>
  </si>
  <si>
    <t>תכנון ביכנ"ס במתחם גליל ים. כולל בניית ביכנ"ס זמני .</t>
  </si>
  <si>
    <t>פרויקט : ביה"ס לב טוב – שיקום חזיתות והצללות</t>
  </si>
  <si>
    <r>
      <t xml:space="preserve">בניית בי"ס יסודי (18) , 24 כיתות חט"ב ותיכון , אולם ספורט בינוני , מגרש ספורט , חניון תתקרקעי 2 מפלסים. </t>
    </r>
    <r>
      <rPr>
        <sz val="11"/>
        <rFont val="David"/>
        <family val="2"/>
      </rPr>
      <t>מימון מ. החינוך.</t>
    </r>
  </si>
  <si>
    <r>
      <t>הצטיידות 20 גנ"י ח"ר וח"מ  במגרשים 303,302,404. במקביל לבנית גנ"י בביצוע של החב. לפיתוח</t>
    </r>
    <r>
      <rPr>
        <sz val="11"/>
        <rFont val="David"/>
        <family val="2"/>
      </rPr>
      <t>. תוספת למגרשים 406 ו-408.</t>
    </r>
  </si>
  <si>
    <t>תב"ע הר' 2394  (לשעבר הר'  2159 )</t>
  </si>
  <si>
    <t>מיחשוב כלל התשתיות הקיימות במרחב הציבורי. ב - 2022 : מיפוי ואיסוף נתונים.</t>
  </si>
  <si>
    <t>תכנון והיערכות להכנת תוכנית סטטוטורית לאישור הועדה המחוזית בעתודת קרקע בין הרחובות יוסף נבו , ז'בוטינסקי ובן ציון מיכאלי.</t>
  </si>
  <si>
    <t>נגישות אקוסטית כיתות בי"ס . מימון מ.החינוך.</t>
  </si>
  <si>
    <t>5-17</t>
  </si>
  <si>
    <t>18-27</t>
  </si>
  <si>
    <t>28-50</t>
  </si>
  <si>
    <t>51-73</t>
  </si>
  <si>
    <t>74-76</t>
  </si>
  <si>
    <t>77-78</t>
  </si>
  <si>
    <t>79-80</t>
  </si>
  <si>
    <t>81-83</t>
  </si>
  <si>
    <t>84-85</t>
  </si>
  <si>
    <t>86-87</t>
  </si>
  <si>
    <t>88-132</t>
  </si>
  <si>
    <t>133-135</t>
  </si>
  <si>
    <r>
      <t xml:space="preserve">דו"ח מפורט מובא בעמודים  </t>
    </r>
    <r>
      <rPr>
        <b/>
        <sz val="12"/>
        <rFont val="David"/>
        <family val="2"/>
      </rPr>
      <t xml:space="preserve">88-132 </t>
    </r>
  </si>
  <si>
    <t xml:space="preserve">ראה פרוט נוסף בעמוד 16 </t>
  </si>
  <si>
    <t>פרוט הפרויקטים מובא בעמוד 135 - 133</t>
  </si>
  <si>
    <t>תאור הפרויקטים מובא בעמודים 39-50</t>
  </si>
  <si>
    <t>תאור הפרויקטים מובא בעמודים 62-73</t>
  </si>
  <si>
    <t>96 - 90</t>
  </si>
  <si>
    <t>105 - 97</t>
  </si>
  <si>
    <t>110 - 106</t>
  </si>
  <si>
    <t>113 - 112</t>
  </si>
  <si>
    <t>117 - 115</t>
  </si>
  <si>
    <t>119 - 118</t>
  </si>
  <si>
    <t>122 - 121</t>
  </si>
  <si>
    <t>124 - 123</t>
  </si>
  <si>
    <t>132 - 126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</si>
</sst>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_ * #,##0_ ;_ * \-#,##0_ ;_ * &quot;-&quot;??_ ;_ @_ "/>
  </numFmts>
  <fonts count="106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name val="David"/>
      <family val="2"/>
      <charset val="177"/>
    </font>
    <font>
      <b/>
      <sz val="11"/>
      <name val="David"/>
      <family val="2"/>
      <charset val="177"/>
    </font>
    <font>
      <sz val="11"/>
      <name val="David"/>
      <family val="2"/>
      <charset val="177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sz val="10"/>
      <name val="Arial"/>
      <family val="2"/>
      <scheme val="minor"/>
    </font>
    <font>
      <sz val="10"/>
      <name val="Arial"/>
      <family val="2"/>
    </font>
    <font>
      <b/>
      <u/>
      <sz val="18"/>
      <name val="David"/>
      <family val="2"/>
      <charset val="177"/>
    </font>
    <font>
      <b/>
      <u/>
      <sz val="14"/>
      <name val="David"/>
      <family val="2"/>
      <charset val="177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  <charset val="177"/>
      <scheme val="minor"/>
    </font>
    <font>
      <strike/>
      <sz val="11"/>
      <name val="David"/>
      <family val="2"/>
      <charset val="177"/>
    </font>
    <font>
      <sz val="10"/>
      <name val="Arial"/>
      <family val="2"/>
    </font>
    <font>
      <sz val="11"/>
      <name val="David"/>
      <family val="2"/>
    </font>
    <font>
      <b/>
      <sz val="11"/>
      <name val="David"/>
      <family val="2"/>
    </font>
    <font>
      <b/>
      <sz val="12"/>
      <name val="David"/>
      <family val="2"/>
    </font>
    <font>
      <sz val="12"/>
      <name val="David"/>
      <family val="2"/>
    </font>
    <font>
      <sz val="11"/>
      <color rgb="FF000000"/>
      <name val="Nachlieli CLM"/>
      <family val="2"/>
      <charset val="1"/>
    </font>
    <font>
      <b/>
      <u/>
      <sz val="16"/>
      <name val="David"/>
      <family val="2"/>
      <charset val="177"/>
    </font>
    <font>
      <b/>
      <u/>
      <sz val="16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color theme="1"/>
      <name val="Wingdings"/>
      <charset val="2"/>
    </font>
    <font>
      <strike/>
      <sz val="12"/>
      <color theme="1"/>
      <name val="Times New Roman"/>
      <family val="1"/>
    </font>
    <font>
      <sz val="14"/>
      <color theme="1"/>
      <name val="David"/>
      <family val="2"/>
      <charset val="177"/>
    </font>
    <font>
      <b/>
      <u/>
      <sz val="14"/>
      <color theme="1"/>
      <name val="David"/>
      <family val="2"/>
      <charset val="177"/>
    </font>
    <font>
      <sz val="14"/>
      <color theme="1"/>
      <name val="Arial"/>
      <family val="2"/>
      <charset val="177"/>
      <scheme val="minor"/>
    </font>
    <font>
      <u val="singleAccounting"/>
      <sz val="12"/>
      <color theme="1"/>
      <name val="David"/>
      <family val="2"/>
      <charset val="177"/>
    </font>
    <font>
      <b/>
      <u val="doubleAccounting"/>
      <sz val="12"/>
      <color theme="1"/>
      <name val="David"/>
      <family val="2"/>
      <charset val="177"/>
    </font>
    <font>
      <b/>
      <sz val="11"/>
      <color theme="1"/>
      <name val="Arial"/>
      <family val="2"/>
      <scheme val="minor"/>
    </font>
    <font>
      <b/>
      <sz val="18"/>
      <color rgb="FFFF0000"/>
      <name val="David"/>
      <family val="2"/>
      <charset val="177"/>
    </font>
    <font>
      <b/>
      <sz val="12"/>
      <color theme="1"/>
      <name val="David"/>
      <family val="2"/>
    </font>
    <font>
      <sz val="11"/>
      <color theme="1"/>
      <name val="Wingdings"/>
      <charset val="2"/>
    </font>
    <font>
      <sz val="12"/>
      <color theme="1"/>
      <name val="David"/>
      <family val="2"/>
    </font>
    <font>
      <sz val="11"/>
      <color rgb="FFFF0000"/>
      <name val="David"/>
      <family val="2"/>
    </font>
    <font>
      <strike/>
      <sz val="11"/>
      <name val="David"/>
      <family val="2"/>
    </font>
    <font>
      <b/>
      <sz val="18"/>
      <color theme="1"/>
      <name val="David"/>
      <family val="2"/>
    </font>
    <font>
      <b/>
      <u/>
      <sz val="18"/>
      <name val="David"/>
      <family val="2"/>
    </font>
    <font>
      <b/>
      <sz val="16"/>
      <color theme="1"/>
      <name val="David"/>
      <family val="2"/>
    </font>
    <font>
      <b/>
      <sz val="16"/>
      <color theme="1"/>
      <name val="Arial"/>
      <family val="2"/>
      <scheme val="minor"/>
    </font>
    <font>
      <b/>
      <u/>
      <sz val="12"/>
      <color theme="1"/>
      <name val="David"/>
      <family val="2"/>
    </font>
    <font>
      <b/>
      <u/>
      <sz val="11"/>
      <color theme="1"/>
      <name val="Arial"/>
      <family val="2"/>
      <scheme val="minor"/>
    </font>
    <font>
      <b/>
      <sz val="11"/>
      <color theme="1"/>
      <name val="Wingdings"/>
      <charset val="2"/>
    </font>
    <font>
      <strike/>
      <sz val="12"/>
      <color theme="1"/>
      <name val="David"/>
      <family val="2"/>
      <charset val="177"/>
    </font>
    <font>
      <strike/>
      <sz val="11"/>
      <color theme="1"/>
      <name val="Arial"/>
      <family val="2"/>
      <charset val="177"/>
      <scheme val="minor"/>
    </font>
    <font>
      <b/>
      <strike/>
      <sz val="11"/>
      <color theme="1"/>
      <name val="Arial"/>
      <family val="2"/>
      <scheme val="minor"/>
    </font>
    <font>
      <b/>
      <sz val="11"/>
      <color rgb="FFFF0000"/>
      <name val="David"/>
      <family val="2"/>
    </font>
    <font>
      <sz val="11"/>
      <color rgb="FF1F497D"/>
      <name val="Arial"/>
      <family val="2"/>
    </font>
    <font>
      <b/>
      <sz val="10"/>
      <name val="David"/>
      <family val="2"/>
      <charset val="177"/>
    </font>
    <font>
      <sz val="9"/>
      <name val="David"/>
      <family val="2"/>
    </font>
    <font>
      <sz val="12"/>
      <color rgb="FF1F497D"/>
      <name val="Arial"/>
      <family val="2"/>
      <scheme val="minor"/>
    </font>
    <font>
      <b/>
      <strike/>
      <sz val="11"/>
      <name val="David"/>
      <family val="2"/>
    </font>
    <font>
      <b/>
      <sz val="10"/>
      <name val="Arial"/>
      <family val="2"/>
    </font>
    <font>
      <sz val="12"/>
      <name val="Arial"/>
      <family val="2"/>
      <scheme val="minor"/>
    </font>
    <font>
      <sz val="11"/>
      <color theme="1"/>
      <name val="David"/>
      <family val="2"/>
    </font>
    <font>
      <sz val="9"/>
      <name val="Arial"/>
      <family val="2"/>
    </font>
    <font>
      <b/>
      <sz val="11"/>
      <color theme="1"/>
      <name val="David"/>
      <family val="2"/>
    </font>
    <font>
      <sz val="10"/>
      <name val="David"/>
      <family val="2"/>
    </font>
    <font>
      <b/>
      <sz val="16"/>
      <name val="David"/>
      <family val="2"/>
    </font>
    <font>
      <b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0000"/>
      <name val="Arial"/>
      <family val="2"/>
    </font>
    <font>
      <strike/>
      <sz val="10"/>
      <name val="Arial"/>
      <family val="2"/>
    </font>
    <font>
      <b/>
      <sz val="10"/>
      <name val="David"/>
      <family val="2"/>
    </font>
    <font>
      <b/>
      <strike/>
      <sz val="11"/>
      <name val="David"/>
      <family val="2"/>
      <charset val="177"/>
    </font>
    <font>
      <sz val="12"/>
      <color rgb="FFFF0000"/>
      <name val="David"/>
      <family val="2"/>
      <charset val="177"/>
    </font>
    <font>
      <b/>
      <sz val="12"/>
      <color rgb="FFFF0000"/>
      <name val="David"/>
      <family val="2"/>
      <charset val="177"/>
    </font>
    <font>
      <sz val="11"/>
      <name val="Arial"/>
      <family val="2"/>
      <charset val="177"/>
      <scheme val="minor"/>
    </font>
    <font>
      <sz val="10"/>
      <color rgb="FFFF0000"/>
      <name val="Arial"/>
      <family val="2"/>
      <charset val="177"/>
    </font>
    <font>
      <b/>
      <u/>
      <sz val="18"/>
      <color rgb="FFFF0000"/>
      <name val="David"/>
      <family val="2"/>
      <charset val="177"/>
    </font>
    <font>
      <sz val="10"/>
      <name val="Arial"/>
      <family val="2"/>
      <charset val="177"/>
    </font>
    <font>
      <sz val="14"/>
      <name val="David"/>
      <family val="2"/>
    </font>
    <font>
      <b/>
      <sz val="11"/>
      <color rgb="FFFF0000"/>
      <name val="David"/>
      <family val="2"/>
      <charset val="177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">
    <xf numFmtId="0" fontId="0" fillId="0" borderId="0"/>
    <xf numFmtId="0" fontId="30" fillId="0" borderId="0"/>
    <xf numFmtId="0" fontId="36" fillId="0" borderId="0">
      <alignment vertical="top"/>
    </xf>
    <xf numFmtId="0" fontId="30" fillId="2" borderId="1" applyNumberFormat="0" applyFont="0" applyAlignment="0" applyProtection="0"/>
    <xf numFmtId="0" fontId="37" fillId="0" borderId="0"/>
    <xf numFmtId="0" fontId="29" fillId="0" borderId="0"/>
    <xf numFmtId="0" fontId="29" fillId="0" borderId="0"/>
    <xf numFmtId="0" fontId="29" fillId="2" borderId="1" applyNumberFormat="0" applyFont="0" applyAlignment="0" applyProtection="0"/>
    <xf numFmtId="0" fontId="29" fillId="2" borderId="1" applyNumberFormat="0" applyFont="0" applyAlignment="0" applyProtection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8" fillId="0" borderId="0"/>
    <xf numFmtId="43" fontId="44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0" fontId="27" fillId="0" borderId="0"/>
    <xf numFmtId="0" fontId="3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2" fillId="0" borderId="0"/>
    <xf numFmtId="0" fontId="21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885">
    <xf numFmtId="0" fontId="0" fillId="0" borderId="0" xfId="0"/>
    <xf numFmtId="0" fontId="33" fillId="0" borderId="0" xfId="0" applyFont="1" applyFill="1" applyAlignment="1">
      <alignment wrapText="1"/>
    </xf>
    <xf numFmtId="3" fontId="32" fillId="0" borderId="2" xfId="4" applyNumberFormat="1" applyFont="1" applyBorder="1" applyAlignment="1">
      <alignment horizontal="right" vertical="center" wrapText="1"/>
    </xf>
    <xf numFmtId="0" fontId="33" fillId="0" borderId="2" xfId="4" applyFont="1" applyFill="1" applyBorder="1" applyAlignment="1">
      <alignment vertical="center" wrapText="1"/>
    </xf>
    <xf numFmtId="3" fontId="33" fillId="0" borderId="2" xfId="4" applyNumberFormat="1" applyFont="1" applyFill="1" applyBorder="1" applyAlignment="1">
      <alignment vertical="center" wrapText="1"/>
    </xf>
    <xf numFmtId="0" fontId="33" fillId="0" borderId="0" xfId="4" applyFont="1" applyFill="1" applyAlignment="1">
      <alignment vertical="center" wrapText="1"/>
    </xf>
    <xf numFmtId="0" fontId="32" fillId="0" borderId="0" xfId="4" applyFont="1" applyFill="1" applyAlignment="1">
      <alignment vertical="center" wrapText="1"/>
    </xf>
    <xf numFmtId="0" fontId="32" fillId="0" borderId="2" xfId="4" applyFont="1" applyFill="1" applyBorder="1" applyAlignment="1">
      <alignment vertical="center" wrapText="1"/>
    </xf>
    <xf numFmtId="3" fontId="32" fillId="0" borderId="2" xfId="4" applyNumberFormat="1" applyFont="1" applyFill="1" applyBorder="1" applyAlignment="1">
      <alignment vertical="center" wrapText="1"/>
    </xf>
    <xf numFmtId="3" fontId="32" fillId="0" borderId="2" xfId="4" applyNumberFormat="1" applyFont="1" applyFill="1" applyBorder="1" applyAlignment="1">
      <alignment horizontal="right" vertical="center" wrapText="1"/>
    </xf>
    <xf numFmtId="3" fontId="33" fillId="0" borderId="4" xfId="4" applyNumberFormat="1" applyFont="1" applyFill="1" applyBorder="1" applyAlignment="1">
      <alignment vertical="center" wrapText="1"/>
    </xf>
    <xf numFmtId="3" fontId="34" fillId="0" borderId="2" xfId="4" applyNumberFormat="1" applyFont="1" applyFill="1" applyBorder="1" applyAlignment="1">
      <alignment vertical="center" wrapText="1"/>
    </xf>
    <xf numFmtId="0" fontId="33" fillId="0" borderId="0" xfId="4" applyFont="1" applyFill="1"/>
    <xf numFmtId="3" fontId="33" fillId="0" borderId="0" xfId="4" applyNumberFormat="1" applyFont="1" applyFill="1" applyAlignment="1">
      <alignment horizontal="center" vertical="center"/>
    </xf>
    <xf numFmtId="3" fontId="33" fillId="0" borderId="0" xfId="4" applyNumberFormat="1" applyFont="1" applyFill="1"/>
    <xf numFmtId="3" fontId="32" fillId="0" borderId="2" xfId="0" applyNumberFormat="1" applyFont="1" applyFill="1" applyBorder="1" applyAlignment="1">
      <alignment horizontal="right" vertical="center" wrapText="1"/>
    </xf>
    <xf numFmtId="0" fontId="32" fillId="0" borderId="2" xfId="4" applyFont="1" applyFill="1" applyBorder="1" applyAlignment="1">
      <alignment horizontal="right" vertical="center" wrapText="1"/>
    </xf>
    <xf numFmtId="0" fontId="33" fillId="0" borderId="0" xfId="4" applyFont="1" applyFill="1" applyBorder="1"/>
    <xf numFmtId="0" fontId="33" fillId="0" borderId="0" xfId="4" applyFont="1" applyFill="1" applyAlignment="1">
      <alignment wrapText="1"/>
    </xf>
    <xf numFmtId="3" fontId="33" fillId="0" borderId="2" xfId="4" applyNumberFormat="1" applyFont="1" applyFill="1" applyBorder="1"/>
    <xf numFmtId="0" fontId="32" fillId="0" borderId="2" xfId="0" applyFont="1" applyFill="1" applyBorder="1" applyAlignment="1">
      <alignment horizontal="right" vertical="center" wrapText="1"/>
    </xf>
    <xf numFmtId="3" fontId="33" fillId="0" borderId="0" xfId="4" applyNumberFormat="1" applyFont="1" applyFill="1" applyBorder="1"/>
    <xf numFmtId="3" fontId="33" fillId="0" borderId="0" xfId="4" applyNumberFormat="1" applyFont="1" applyFill="1" applyBorder="1" applyAlignment="1">
      <alignment vertical="center" wrapText="1"/>
    </xf>
    <xf numFmtId="0" fontId="33" fillId="0" borderId="0" xfId="4" applyFont="1" applyFill="1" applyBorder="1" applyAlignment="1">
      <alignment vertical="center" wrapText="1"/>
    </xf>
    <xf numFmtId="0" fontId="32" fillId="0" borderId="0" xfId="4" applyFont="1" applyFill="1" applyBorder="1" applyAlignment="1">
      <alignment horizontal="right" vertical="center" wrapText="1"/>
    </xf>
    <xf numFmtId="3" fontId="34" fillId="0" borderId="0" xfId="4" applyNumberFormat="1" applyFont="1" applyFill="1" applyBorder="1" applyAlignment="1">
      <alignment vertical="center" wrapText="1"/>
    </xf>
    <xf numFmtId="0" fontId="31" fillId="0" borderId="0" xfId="4" applyFont="1" applyFill="1" applyAlignment="1"/>
    <xf numFmtId="0" fontId="31" fillId="0" borderId="0" xfId="4" applyFont="1" applyFill="1"/>
    <xf numFmtId="0" fontId="33" fillId="0" borderId="0" xfId="4" applyFont="1" applyFill="1" applyAlignment="1"/>
    <xf numFmtId="3" fontId="32" fillId="0" borderId="0" xfId="4" applyNumberFormat="1" applyFont="1" applyFill="1" applyBorder="1" applyAlignment="1">
      <alignment horizontal="right" vertical="center" wrapText="1"/>
    </xf>
    <xf numFmtId="0" fontId="45" fillId="0" borderId="2" xfId="4" applyFont="1" applyFill="1" applyBorder="1" applyAlignment="1">
      <alignment vertical="center" wrapText="1"/>
    </xf>
    <xf numFmtId="3" fontId="33" fillId="0" borderId="0" xfId="4" applyNumberFormat="1" applyFont="1" applyFill="1" applyAlignment="1">
      <alignment vertical="center" wrapText="1"/>
    </xf>
    <xf numFmtId="0" fontId="46" fillId="0" borderId="2" xfId="4" applyFont="1" applyFill="1" applyBorder="1" applyAlignment="1">
      <alignment vertical="center" wrapText="1"/>
    </xf>
    <xf numFmtId="0" fontId="33" fillId="0" borderId="0" xfId="4" applyNumberFormat="1" applyFont="1" applyFill="1" applyBorder="1"/>
    <xf numFmtId="0" fontId="35" fillId="0" borderId="2" xfId="4" applyFont="1" applyFill="1" applyBorder="1" applyAlignment="1">
      <alignment vertical="center" wrapText="1"/>
    </xf>
    <xf numFmtId="0" fontId="33" fillId="0" borderId="2" xfId="4" applyFont="1" applyFill="1" applyBorder="1"/>
    <xf numFmtId="0" fontId="35" fillId="0" borderId="0" xfId="4" applyFont="1" applyFill="1" applyBorder="1" applyAlignment="1">
      <alignment vertical="center" wrapText="1"/>
    </xf>
    <xf numFmtId="0" fontId="38" fillId="0" borderId="0" xfId="4" applyFont="1" applyFill="1" applyBorder="1"/>
    <xf numFmtId="0" fontId="38" fillId="0" borderId="0" xfId="4" applyFont="1" applyFill="1" applyBorder="1" applyAlignment="1">
      <alignment horizontal="right" vertical="center" wrapText="1"/>
    </xf>
    <xf numFmtId="0" fontId="38" fillId="0" borderId="0" xfId="4" applyFont="1" applyFill="1" applyBorder="1" applyAlignment="1">
      <alignment horizontal="right" vertical="center"/>
    </xf>
    <xf numFmtId="0" fontId="38" fillId="0" borderId="0" xfId="4" applyFont="1" applyFill="1" applyBorder="1" applyAlignment="1">
      <alignment vertical="center"/>
    </xf>
    <xf numFmtId="0" fontId="35" fillId="0" borderId="2" xfId="4" applyFont="1" applyFill="1" applyBorder="1" applyAlignment="1">
      <alignment horizontal="right" vertical="center" wrapText="1"/>
    </xf>
    <xf numFmtId="0" fontId="35" fillId="0" borderId="0" xfId="4" applyFont="1" applyFill="1" applyBorder="1"/>
    <xf numFmtId="3" fontId="34" fillId="0" borderId="2" xfId="4" applyNumberFormat="1" applyFont="1" applyFill="1" applyBorder="1" applyAlignment="1">
      <alignment vertical="center"/>
    </xf>
    <xf numFmtId="3" fontId="34" fillId="0" borderId="0" xfId="4" applyNumberFormat="1" applyFont="1" applyFill="1" applyBorder="1" applyAlignment="1">
      <alignment vertical="center"/>
    </xf>
    <xf numFmtId="0" fontId="34" fillId="0" borderId="0" xfId="4" applyFont="1" applyFill="1" applyBorder="1" applyAlignment="1">
      <alignment vertical="center"/>
    </xf>
    <xf numFmtId="0" fontId="34" fillId="0" borderId="6" xfId="4" applyFont="1" applyFill="1" applyBorder="1" applyAlignment="1">
      <alignment vertical="center"/>
    </xf>
    <xf numFmtId="0" fontId="34" fillId="0" borderId="0" xfId="4" applyFont="1" applyFill="1" applyBorder="1"/>
    <xf numFmtId="3" fontId="34" fillId="0" borderId="0" xfId="4" applyNumberFormat="1" applyFont="1" applyFill="1" applyBorder="1"/>
    <xf numFmtId="0" fontId="34" fillId="0" borderId="0" xfId="4" applyFont="1" applyFill="1" applyBorder="1" applyAlignment="1">
      <alignment horizontal="right" vertical="center" wrapText="1"/>
    </xf>
    <xf numFmtId="0" fontId="34" fillId="0" borderId="0" xfId="4" applyFont="1" applyFill="1" applyBorder="1" applyAlignment="1">
      <alignment horizontal="right" vertical="center"/>
    </xf>
    <xf numFmtId="0" fontId="34" fillId="0" borderId="7" xfId="4" applyFont="1" applyFill="1" applyBorder="1" applyAlignment="1">
      <alignment horizontal="right" vertical="center"/>
    </xf>
    <xf numFmtId="0" fontId="34" fillId="0" borderId="8" xfId="4" applyFont="1" applyFill="1" applyBorder="1" applyAlignment="1">
      <alignment horizontal="right" vertical="center"/>
    </xf>
    <xf numFmtId="0" fontId="34" fillId="0" borderId="9" xfId="4" applyFont="1" applyFill="1" applyBorder="1" applyAlignment="1">
      <alignment horizontal="right" vertical="center"/>
    </xf>
    <xf numFmtId="0" fontId="35" fillId="0" borderId="2" xfId="4" applyFont="1" applyFill="1" applyBorder="1" applyAlignment="1">
      <alignment horizontal="right" vertical="center"/>
    </xf>
    <xf numFmtId="0" fontId="34" fillId="0" borderId="5" xfId="4" applyFont="1" applyFill="1" applyBorder="1" applyAlignment="1">
      <alignment vertical="center"/>
    </xf>
    <xf numFmtId="0" fontId="35" fillId="0" borderId="6" xfId="4" applyFont="1" applyFill="1" applyBorder="1" applyAlignment="1">
      <alignment horizontal="right" vertical="center"/>
    </xf>
    <xf numFmtId="3" fontId="35" fillId="0" borderId="2" xfId="4" applyNumberFormat="1" applyFont="1" applyFill="1" applyBorder="1" applyAlignment="1">
      <alignment horizontal="right" vertical="center"/>
    </xf>
    <xf numFmtId="3" fontId="35" fillId="0" borderId="0" xfId="4" applyNumberFormat="1" applyFont="1" applyFill="1" applyBorder="1" applyAlignment="1">
      <alignment horizontal="right" vertical="center"/>
    </xf>
    <xf numFmtId="165" fontId="34" fillId="0" borderId="0" xfId="12" applyNumberFormat="1" applyFont="1" applyFill="1" applyBorder="1" applyAlignment="1">
      <alignment horizontal="right" vertical="center"/>
    </xf>
    <xf numFmtId="0" fontId="35" fillId="0" borderId="0" xfId="4" applyFont="1" applyFill="1" applyBorder="1" applyAlignment="1">
      <alignment horizontal="right" vertical="center"/>
    </xf>
    <xf numFmtId="3" fontId="34" fillId="0" borderId="0" xfId="4" applyNumberFormat="1" applyFont="1" applyFill="1" applyBorder="1" applyAlignment="1">
      <alignment horizontal="right" vertical="center"/>
    </xf>
    <xf numFmtId="0" fontId="46" fillId="0" borderId="0" xfId="4" applyFont="1" applyFill="1" applyAlignment="1">
      <alignment vertical="center" wrapText="1"/>
    </xf>
    <xf numFmtId="0" fontId="39" fillId="0" borderId="0" xfId="4" applyFont="1" applyFill="1" applyAlignment="1"/>
    <xf numFmtId="3" fontId="33" fillId="0" borderId="2" xfId="4" applyNumberFormat="1" applyFont="1" applyFill="1" applyBorder="1" applyAlignment="1">
      <alignment horizontal="right" vertical="center" wrapText="1"/>
    </xf>
    <xf numFmtId="3" fontId="46" fillId="0" borderId="2" xfId="4" applyNumberFormat="1" applyFont="1" applyFill="1" applyBorder="1" applyAlignment="1">
      <alignment vertical="center" wrapText="1"/>
    </xf>
    <xf numFmtId="0" fontId="34" fillId="0" borderId="0" xfId="16" applyFont="1"/>
    <xf numFmtId="49" fontId="34" fillId="0" borderId="0" xfId="16" applyNumberFormat="1" applyFont="1"/>
    <xf numFmtId="3" fontId="34" fillId="0" borderId="0" xfId="16" applyNumberFormat="1" applyFont="1"/>
    <xf numFmtId="0" fontId="34" fillId="0" borderId="11" xfId="16" applyFont="1" applyBorder="1"/>
    <xf numFmtId="0" fontId="34" fillId="0" borderId="12" xfId="16" applyFont="1" applyBorder="1"/>
    <xf numFmtId="0" fontId="34" fillId="0" borderId="18" xfId="16" applyFont="1" applyBorder="1"/>
    <xf numFmtId="3" fontId="34" fillId="0" borderId="2" xfId="16" applyNumberFormat="1" applyFont="1" applyBorder="1"/>
    <xf numFmtId="3" fontId="34" fillId="0" borderId="19" xfId="16" applyNumberFormat="1" applyFont="1" applyBorder="1"/>
    <xf numFmtId="0" fontId="35" fillId="0" borderId="12" xfId="16" applyFont="1" applyBorder="1"/>
    <xf numFmtId="3" fontId="34" fillId="0" borderId="18" xfId="16" applyNumberFormat="1" applyFont="1" applyBorder="1"/>
    <xf numFmtId="3" fontId="34" fillId="0" borderId="18" xfId="16" applyNumberFormat="1" applyFont="1" applyFill="1" applyBorder="1"/>
    <xf numFmtId="0" fontId="35" fillId="0" borderId="0" xfId="16" applyFont="1"/>
    <xf numFmtId="3" fontId="35" fillId="0" borderId="18" xfId="16" applyNumberFormat="1" applyFont="1" applyBorder="1"/>
    <xf numFmtId="3" fontId="35" fillId="0" borderId="2" xfId="16" applyNumberFormat="1" applyFont="1" applyBorder="1"/>
    <xf numFmtId="3" fontId="35" fillId="0" borderId="19" xfId="16" applyNumberFormat="1" applyFont="1" applyBorder="1"/>
    <xf numFmtId="3" fontId="34" fillId="0" borderId="17" xfId="16" applyNumberFormat="1" applyFont="1" applyBorder="1"/>
    <xf numFmtId="3" fontId="34" fillId="0" borderId="6" xfId="16" applyNumberFormat="1" applyFont="1" applyBorder="1"/>
    <xf numFmtId="0" fontId="35" fillId="0" borderId="13" xfId="16" applyFont="1" applyBorder="1"/>
    <xf numFmtId="3" fontId="35" fillId="0" borderId="20" xfId="16" applyNumberFormat="1" applyFont="1" applyBorder="1"/>
    <xf numFmtId="3" fontId="35" fillId="0" borderId="21" xfId="16" applyNumberFormat="1" applyFont="1" applyBorder="1"/>
    <xf numFmtId="3" fontId="35" fillId="0" borderId="22" xfId="16" applyNumberFormat="1" applyFont="1" applyBorder="1"/>
    <xf numFmtId="0" fontId="27" fillId="0" borderId="0" xfId="17"/>
    <xf numFmtId="0" fontId="51" fillId="0" borderId="0" xfId="17" applyFont="1" applyAlignment="1">
      <alignment horizontal="right" vertical="center" readingOrder="2"/>
    </xf>
    <xf numFmtId="0" fontId="52" fillId="0" borderId="0" xfId="17" applyFont="1" applyAlignment="1">
      <alignment horizontal="right" vertical="center" readingOrder="2"/>
    </xf>
    <xf numFmtId="0" fontId="53" fillId="0" borderId="0" xfId="17" applyFont="1" applyAlignment="1">
      <alignment horizontal="right" vertical="center" readingOrder="2"/>
    </xf>
    <xf numFmtId="0" fontId="54" fillId="0" borderId="0" xfId="17" applyFont="1" applyAlignment="1">
      <alignment horizontal="right" vertical="center" readingOrder="2"/>
    </xf>
    <xf numFmtId="0" fontId="55" fillId="0" borderId="0" xfId="17" applyFont="1" applyAlignment="1">
      <alignment horizontal="right" vertical="center" readingOrder="2"/>
    </xf>
    <xf numFmtId="0" fontId="52" fillId="0" borderId="0" xfId="17" applyFont="1" applyBorder="1" applyAlignment="1">
      <alignment horizontal="right" vertical="center" readingOrder="2"/>
    </xf>
    <xf numFmtId="0" fontId="56" fillId="0" borderId="0" xfId="17" applyFont="1" applyAlignment="1">
      <alignment horizontal="right" vertical="center" readingOrder="2"/>
    </xf>
    <xf numFmtId="0" fontId="52" fillId="0" borderId="0" xfId="17" quotePrefix="1" applyFont="1" applyAlignment="1">
      <alignment horizontal="right" vertical="center" readingOrder="2"/>
    </xf>
    <xf numFmtId="0" fontId="57" fillId="0" borderId="0" xfId="17" applyFont="1" applyAlignment="1">
      <alignment horizontal="right" vertical="center" readingOrder="2"/>
    </xf>
    <xf numFmtId="0" fontId="58" fillId="0" borderId="0" xfId="17" applyFont="1" applyAlignment="1">
      <alignment horizontal="right" vertical="center" readingOrder="2"/>
    </xf>
    <xf numFmtId="0" fontId="59" fillId="0" borderId="0" xfId="17" applyFont="1"/>
    <xf numFmtId="165" fontId="52" fillId="0" borderId="0" xfId="18" applyNumberFormat="1" applyFont="1" applyAlignment="1">
      <alignment horizontal="right" vertical="center" readingOrder="2"/>
    </xf>
    <xf numFmtId="165" fontId="60" fillId="0" borderId="0" xfId="18" applyNumberFormat="1" applyFont="1" applyAlignment="1">
      <alignment horizontal="right" vertical="center" readingOrder="2"/>
    </xf>
    <xf numFmtId="165" fontId="61" fillId="0" borderId="0" xfId="17" applyNumberFormat="1" applyFont="1" applyAlignment="1">
      <alignment horizontal="right" vertical="center" readingOrder="2"/>
    </xf>
    <xf numFmtId="0" fontId="54" fillId="0" borderId="2" xfId="17" applyFont="1" applyBorder="1" applyAlignment="1">
      <alignment horizontal="center" vertical="center" readingOrder="2"/>
    </xf>
    <xf numFmtId="0" fontId="54" fillId="0" borderId="2" xfId="17" applyFont="1" applyBorder="1" applyAlignment="1">
      <alignment horizontal="center" vertical="center" wrapText="1" readingOrder="2"/>
    </xf>
    <xf numFmtId="0" fontId="54" fillId="0" borderId="2" xfId="17" applyFont="1" applyBorder="1" applyAlignment="1">
      <alignment horizontal="right" vertical="center" readingOrder="2"/>
    </xf>
    <xf numFmtId="165" fontId="52" fillId="0" borderId="2" xfId="18" applyNumberFormat="1" applyFont="1" applyBorder="1" applyAlignment="1">
      <alignment horizontal="right" vertical="center" readingOrder="2"/>
    </xf>
    <xf numFmtId="0" fontId="54" fillId="0" borderId="2" xfId="17" applyFont="1" applyBorder="1" applyAlignment="1">
      <alignment horizontal="right" vertical="center" wrapText="1" readingOrder="2"/>
    </xf>
    <xf numFmtId="3" fontId="54" fillId="0" borderId="0" xfId="17" applyNumberFormat="1" applyFont="1" applyBorder="1" applyAlignment="1">
      <alignment horizontal="right" vertical="center" readingOrder="2"/>
    </xf>
    <xf numFmtId="0" fontId="54" fillId="0" borderId="31" xfId="17" applyFont="1" applyBorder="1" applyAlignment="1">
      <alignment horizontal="right" vertical="center" readingOrder="2"/>
    </xf>
    <xf numFmtId="0" fontId="62" fillId="0" borderId="32" xfId="17" applyFont="1" applyBorder="1"/>
    <xf numFmtId="0" fontId="27" fillId="0" borderId="33" xfId="17" applyBorder="1"/>
    <xf numFmtId="165" fontId="54" fillId="0" borderId="15" xfId="18" applyNumberFormat="1" applyFont="1" applyBorder="1" applyAlignment="1">
      <alignment horizontal="right" vertical="center" readingOrder="2"/>
    </xf>
    <xf numFmtId="165" fontId="54" fillId="0" borderId="16" xfId="18" applyNumberFormat="1" applyFont="1" applyBorder="1" applyAlignment="1">
      <alignment horizontal="right" vertical="center" readingOrder="2"/>
    </xf>
    <xf numFmtId="0" fontId="52" fillId="0" borderId="28" xfId="17" applyFont="1" applyBorder="1" applyAlignment="1">
      <alignment horizontal="right" vertical="center" readingOrder="2"/>
    </xf>
    <xf numFmtId="0" fontId="52" fillId="0" borderId="5" xfId="17" applyFont="1" applyBorder="1" applyAlignment="1">
      <alignment horizontal="right" vertical="center" readingOrder="2"/>
    </xf>
    <xf numFmtId="0" fontId="27" fillId="0" borderId="6" xfId="17" applyBorder="1"/>
    <xf numFmtId="3" fontId="52" fillId="0" borderId="2" xfId="17" applyNumberFormat="1" applyFont="1" applyBorder="1" applyAlignment="1">
      <alignment horizontal="right" vertical="center" readingOrder="2"/>
    </xf>
    <xf numFmtId="3" fontId="52" fillId="0" borderId="24" xfId="17" applyNumberFormat="1" applyFont="1" applyBorder="1" applyAlignment="1">
      <alignment horizontal="right" vertical="center" readingOrder="2"/>
    </xf>
    <xf numFmtId="9" fontId="27" fillId="0" borderId="0" xfId="9" applyFont="1"/>
    <xf numFmtId="0" fontId="52" fillId="0" borderId="4" xfId="17" applyFont="1" applyBorder="1" applyAlignment="1">
      <alignment horizontal="right" vertical="center" readingOrder="2"/>
    </xf>
    <xf numFmtId="0" fontId="52" fillId="0" borderId="34" xfId="17" applyFont="1" applyBorder="1" applyAlignment="1">
      <alignment horizontal="right" vertical="center" readingOrder="2"/>
    </xf>
    <xf numFmtId="0" fontId="52" fillId="0" borderId="9" xfId="17" applyFont="1" applyBorder="1" applyAlignment="1">
      <alignment horizontal="right" vertical="center" readingOrder="2"/>
    </xf>
    <xf numFmtId="0" fontId="27" fillId="0" borderId="8" xfId="17" applyBorder="1"/>
    <xf numFmtId="3" fontId="52" fillId="0" borderId="0" xfId="17" applyNumberFormat="1" applyFont="1" applyAlignment="1">
      <alignment horizontal="right" vertical="center" readingOrder="2"/>
    </xf>
    <xf numFmtId="0" fontId="54" fillId="0" borderId="35" xfId="17" applyFont="1" applyBorder="1" applyAlignment="1">
      <alignment horizontal="right" vertical="center" readingOrder="2"/>
    </xf>
    <xf numFmtId="0" fontId="52" fillId="0" borderId="36" xfId="17" applyFont="1" applyBorder="1" applyAlignment="1">
      <alignment horizontal="right" vertical="center" readingOrder="2"/>
    </xf>
    <xf numFmtId="0" fontId="27" fillId="0" borderId="37" xfId="17" applyBorder="1"/>
    <xf numFmtId="165" fontId="54" fillId="0" borderId="21" xfId="18" applyNumberFormat="1" applyFont="1" applyBorder="1" applyAlignment="1">
      <alignment vertical="center" readingOrder="2"/>
    </xf>
    <xf numFmtId="9" fontId="54" fillId="0" borderId="22" xfId="9" applyFont="1" applyBorder="1" applyAlignment="1">
      <alignment vertical="center" readingOrder="2"/>
    </xf>
    <xf numFmtId="0" fontId="54" fillId="0" borderId="0" xfId="17" applyFont="1" applyBorder="1" applyAlignment="1">
      <alignment horizontal="right" vertical="center" readingOrder="2"/>
    </xf>
    <xf numFmtId="0" fontId="27" fillId="0" borderId="0" xfId="17" applyBorder="1"/>
    <xf numFmtId="165" fontId="54" fillId="0" borderId="0" xfId="18" applyNumberFormat="1" applyFont="1" applyBorder="1" applyAlignment="1">
      <alignment horizontal="right" vertical="center" readingOrder="2"/>
    </xf>
    <xf numFmtId="165" fontId="54" fillId="0" borderId="23" xfId="18" applyNumberFormat="1" applyFont="1" applyBorder="1" applyAlignment="1">
      <alignment horizontal="right" vertical="center" readingOrder="2"/>
    </xf>
    <xf numFmtId="0" fontId="54" fillId="0" borderId="5" xfId="17" applyFont="1" applyBorder="1" applyAlignment="1">
      <alignment horizontal="right" vertical="center" readingOrder="2"/>
    </xf>
    <xf numFmtId="0" fontId="42" fillId="0" borderId="6" xfId="17" applyFont="1" applyBorder="1"/>
    <xf numFmtId="165" fontId="54" fillId="0" borderId="26" xfId="18" applyNumberFormat="1" applyFont="1" applyBorder="1" applyAlignment="1">
      <alignment horizontal="right" vertical="center" readingOrder="2"/>
    </xf>
    <xf numFmtId="9" fontId="54" fillId="0" borderId="22" xfId="9" applyFont="1" applyBorder="1" applyAlignment="1">
      <alignment horizontal="right" vertical="center" readingOrder="2"/>
    </xf>
    <xf numFmtId="0" fontId="63" fillId="0" borderId="0" xfId="17" applyFont="1" applyAlignment="1">
      <alignment horizontal="right" vertical="center" readingOrder="2"/>
    </xf>
    <xf numFmtId="0" fontId="34" fillId="0" borderId="0" xfId="16" applyFont="1" applyAlignment="1">
      <alignment horizontal="center" vertical="center"/>
    </xf>
    <xf numFmtId="3" fontId="34" fillId="0" borderId="2" xfId="16" applyNumberFormat="1" applyFont="1" applyBorder="1" applyAlignment="1">
      <alignment vertical="center"/>
    </xf>
    <xf numFmtId="3" fontId="33" fillId="0" borderId="2" xfId="16" applyNumberFormat="1" applyFont="1" applyBorder="1" applyAlignment="1">
      <alignment vertical="center" wrapText="1"/>
    </xf>
    <xf numFmtId="3" fontId="35" fillId="0" borderId="2" xfId="16" applyNumberFormat="1" applyFont="1" applyBorder="1" applyAlignment="1">
      <alignment vertical="center"/>
    </xf>
    <xf numFmtId="0" fontId="34" fillId="0" borderId="0" xfId="16" applyFont="1" applyAlignment="1">
      <alignment vertical="center"/>
    </xf>
    <xf numFmtId="0" fontId="34" fillId="0" borderId="0" xfId="16" applyFont="1" applyBorder="1" applyAlignment="1">
      <alignment vertical="center"/>
    </xf>
    <xf numFmtId="3" fontId="34" fillId="0" borderId="0" xfId="16" applyNumberFormat="1" applyFont="1" applyBorder="1" applyAlignment="1">
      <alignment vertical="center"/>
    </xf>
    <xf numFmtId="0" fontId="27" fillId="0" borderId="0" xfId="17" applyAlignment="1">
      <alignment horizontal="left"/>
    </xf>
    <xf numFmtId="0" fontId="58" fillId="0" borderId="0" xfId="17" applyFont="1" applyAlignment="1">
      <alignment horizontal="center" vertical="center" readingOrder="2"/>
    </xf>
    <xf numFmtId="0" fontId="52" fillId="0" borderId="0" xfId="17" quotePrefix="1" applyFont="1" applyAlignment="1">
      <alignment horizontal="left" vertical="center" readingOrder="2"/>
    </xf>
    <xf numFmtId="16" fontId="52" fillId="0" borderId="0" xfId="17" quotePrefix="1" applyNumberFormat="1" applyFont="1" applyAlignment="1">
      <alignment horizontal="left" vertical="center" readingOrder="2"/>
    </xf>
    <xf numFmtId="0" fontId="52" fillId="0" borderId="0" xfId="17" applyFont="1" applyAlignment="1">
      <alignment horizontal="left" vertical="center" readingOrder="2"/>
    </xf>
    <xf numFmtId="0" fontId="52" fillId="0" borderId="0" xfId="17" applyFont="1" applyAlignment="1">
      <alignment vertical="center" readingOrder="2"/>
    </xf>
    <xf numFmtId="0" fontId="32" fillId="0" borderId="2" xfId="16" applyFont="1" applyBorder="1" applyAlignment="1">
      <alignment horizontal="right" vertical="center" wrapText="1"/>
    </xf>
    <xf numFmtId="0" fontId="33" fillId="0" borderId="0" xfId="16" applyFont="1"/>
    <xf numFmtId="0" fontId="33" fillId="0" borderId="0" xfId="16" applyFont="1" applyAlignment="1"/>
    <xf numFmtId="0" fontId="33" fillId="0" borderId="0" xfId="16" applyFont="1" applyFill="1"/>
    <xf numFmtId="3" fontId="33" fillId="0" borderId="0" xfId="16" applyNumberFormat="1" applyFont="1" applyFill="1"/>
    <xf numFmtId="3" fontId="33" fillId="0" borderId="0" xfId="16" applyNumberFormat="1" applyFont="1"/>
    <xf numFmtId="3" fontId="32" fillId="0" borderId="2" xfId="16" applyNumberFormat="1" applyFont="1" applyFill="1" applyBorder="1" applyAlignment="1">
      <alignment horizontal="right" vertical="center" wrapText="1"/>
    </xf>
    <xf numFmtId="0" fontId="33" fillId="0" borderId="0" xfId="16" applyFont="1" applyAlignment="1">
      <alignment vertical="center" wrapText="1"/>
    </xf>
    <xf numFmtId="0" fontId="33" fillId="0" borderId="2" xfId="16" applyFont="1" applyBorder="1" applyAlignment="1">
      <alignment vertical="center" wrapText="1"/>
    </xf>
    <xf numFmtId="0" fontId="33" fillId="0" borderId="2" xfId="16" applyFont="1" applyFill="1" applyBorder="1" applyAlignment="1">
      <alignment vertical="center" wrapText="1"/>
    </xf>
    <xf numFmtId="3" fontId="33" fillId="0" borderId="2" xfId="16" applyNumberFormat="1" applyFont="1" applyFill="1" applyBorder="1" applyAlignment="1">
      <alignment vertical="center" wrapText="1"/>
    </xf>
    <xf numFmtId="0" fontId="32" fillId="0" borderId="0" xfId="16" applyFont="1" applyAlignment="1">
      <alignment vertical="center" wrapText="1"/>
    </xf>
    <xf numFmtId="0" fontId="32" fillId="0" borderId="2" xfId="16" applyFont="1" applyBorder="1" applyAlignment="1">
      <alignment vertical="center" wrapText="1"/>
    </xf>
    <xf numFmtId="0" fontId="33" fillId="0" borderId="0" xfId="16" applyFont="1" applyFill="1" applyAlignment="1">
      <alignment vertical="center" wrapText="1"/>
    </xf>
    <xf numFmtId="0" fontId="32" fillId="0" borderId="0" xfId="16" applyFont="1" applyFill="1" applyAlignment="1">
      <alignment vertical="center" wrapText="1"/>
    </xf>
    <xf numFmtId="0" fontId="32" fillId="0" borderId="2" xfId="16" applyFont="1" applyFill="1" applyBorder="1" applyAlignment="1">
      <alignment vertical="center" wrapText="1"/>
    </xf>
    <xf numFmtId="3" fontId="33" fillId="0" borderId="0" xfId="16" applyNumberFormat="1" applyFont="1" applyFill="1" applyBorder="1" applyAlignment="1">
      <alignment vertical="center" wrapText="1"/>
    </xf>
    <xf numFmtId="3" fontId="32" fillId="0" borderId="2" xfId="16" applyNumberFormat="1" applyFont="1" applyFill="1" applyBorder="1" applyAlignment="1">
      <alignment vertical="center" wrapText="1"/>
    </xf>
    <xf numFmtId="3" fontId="32" fillId="0" borderId="2" xfId="16" applyNumberFormat="1" applyFont="1" applyBorder="1" applyAlignment="1">
      <alignment vertical="center" wrapText="1"/>
    </xf>
    <xf numFmtId="0" fontId="33" fillId="0" borderId="0" xfId="16" applyFont="1" applyFill="1" applyAlignment="1">
      <alignment wrapText="1"/>
    </xf>
    <xf numFmtId="0" fontId="33" fillId="0" borderId="2" xfId="16" applyFont="1" applyFill="1" applyBorder="1"/>
    <xf numFmtId="0" fontId="31" fillId="0" borderId="0" xfId="16" applyFont="1"/>
    <xf numFmtId="0" fontId="32" fillId="0" borderId="0" xfId="16" applyFont="1" applyBorder="1" applyAlignment="1">
      <alignment horizontal="right" vertical="center" wrapText="1"/>
    </xf>
    <xf numFmtId="3" fontId="34" fillId="0" borderId="2" xfId="16" applyNumberFormat="1" applyFont="1" applyFill="1" applyBorder="1" applyAlignment="1">
      <alignment vertical="center"/>
    </xf>
    <xf numFmtId="0" fontId="32" fillId="0" borderId="2" xfId="16" applyFont="1" applyFill="1" applyBorder="1" applyAlignment="1">
      <alignment horizontal="right" vertical="center" wrapText="1"/>
    </xf>
    <xf numFmtId="165" fontId="52" fillId="0" borderId="19" xfId="18" applyNumberFormat="1" applyFont="1" applyBorder="1" applyAlignment="1">
      <alignment horizontal="right" vertical="center" readingOrder="2"/>
    </xf>
    <xf numFmtId="0" fontId="54" fillId="0" borderId="20" xfId="17" applyFont="1" applyBorder="1" applyAlignment="1">
      <alignment horizontal="right" vertical="center" readingOrder="2"/>
    </xf>
    <xf numFmtId="0" fontId="27" fillId="0" borderId="25" xfId="17" applyBorder="1"/>
    <xf numFmtId="9" fontId="54" fillId="0" borderId="2" xfId="9" applyFont="1" applyBorder="1" applyAlignment="1">
      <alignment horizontal="right" vertical="center" readingOrder="2"/>
    </xf>
    <xf numFmtId="0" fontId="34" fillId="0" borderId="0" xfId="16" applyFont="1" applyFill="1"/>
    <xf numFmtId="0" fontId="38" fillId="0" borderId="0" xfId="16" applyFont="1" applyFill="1" applyAlignment="1">
      <alignment horizontal="center"/>
    </xf>
    <xf numFmtId="0" fontId="31" fillId="0" borderId="0" xfId="0" applyFont="1" applyFill="1" applyAlignment="1"/>
    <xf numFmtId="3" fontId="64" fillId="0" borderId="21" xfId="17" applyNumberFormat="1" applyFont="1" applyBorder="1" applyAlignment="1">
      <alignment horizontal="right" vertical="center" readingOrder="2"/>
    </xf>
    <xf numFmtId="3" fontId="64" fillId="0" borderId="22" xfId="17" applyNumberFormat="1" applyFont="1" applyBorder="1" applyAlignment="1">
      <alignment horizontal="right" vertical="center" readingOrder="2"/>
    </xf>
    <xf numFmtId="0" fontId="54" fillId="0" borderId="39" xfId="17" applyFont="1" applyBorder="1" applyAlignment="1">
      <alignment horizontal="right" vertical="center" readingOrder="2"/>
    </xf>
    <xf numFmtId="0" fontId="62" fillId="0" borderId="31" xfId="17" applyFont="1" applyBorder="1"/>
    <xf numFmtId="0" fontId="52" fillId="0" borderId="39" xfId="17" applyFont="1" applyBorder="1" applyAlignment="1">
      <alignment horizontal="right" vertical="center" readingOrder="2"/>
    </xf>
    <xf numFmtId="3" fontId="33" fillId="0" borderId="0" xfId="13" quotePrefix="1" applyNumberFormat="1" applyFont="1" applyAlignment="1">
      <alignment horizontal="center" vertical="center"/>
    </xf>
    <xf numFmtId="0" fontId="39" fillId="0" borderId="0" xfId="16" applyFont="1" applyAlignment="1"/>
    <xf numFmtId="165" fontId="33" fillId="0" borderId="2" xfId="10" applyNumberFormat="1" applyFont="1" applyFill="1" applyBorder="1" applyAlignment="1">
      <alignment vertical="center" wrapText="1"/>
    </xf>
    <xf numFmtId="0" fontId="64" fillId="0" borderId="0" xfId="17" applyFont="1" applyFill="1" applyAlignment="1">
      <alignment horizontal="right" vertical="center" readingOrder="2"/>
    </xf>
    <xf numFmtId="165" fontId="52" fillId="0" borderId="2" xfId="18" applyNumberFormat="1" applyFont="1" applyFill="1" applyBorder="1" applyAlignment="1">
      <alignment horizontal="right" vertical="center" readingOrder="2"/>
    </xf>
    <xf numFmtId="0" fontId="64" fillId="0" borderId="0" xfId="17" applyFont="1" applyAlignment="1">
      <alignment horizontal="right" vertical="center" readingOrder="2"/>
    </xf>
    <xf numFmtId="0" fontId="37" fillId="0" borderId="0" xfId="16"/>
    <xf numFmtId="0" fontId="53" fillId="0" borderId="0" xfId="16" applyFont="1" applyAlignment="1">
      <alignment horizontal="right" vertical="center" readingOrder="2"/>
    </xf>
    <xf numFmtId="0" fontId="52" fillId="0" borderId="0" xfId="16" applyFont="1" applyAlignment="1">
      <alignment horizontal="right" vertical="center" readingOrder="2"/>
    </xf>
    <xf numFmtId="0" fontId="52" fillId="0" borderId="0" xfId="16" quotePrefix="1" applyFont="1" applyAlignment="1">
      <alignment horizontal="right" vertical="center" readingOrder="2"/>
    </xf>
    <xf numFmtId="0" fontId="64" fillId="0" borderId="0" xfId="17" quotePrefix="1" applyFont="1" applyAlignment="1">
      <alignment horizontal="right" vertical="center" readingOrder="2"/>
    </xf>
    <xf numFmtId="0" fontId="54" fillId="0" borderId="28" xfId="17" applyFont="1" applyBorder="1" applyAlignment="1">
      <alignment horizontal="right" vertical="center" readingOrder="2"/>
    </xf>
    <xf numFmtId="0" fontId="26" fillId="0" borderId="0" xfId="20" applyBorder="1"/>
    <xf numFmtId="0" fontId="51" fillId="0" borderId="0" xfId="20" applyFont="1" applyBorder="1" applyAlignment="1">
      <alignment horizontal="right" vertical="center" readingOrder="2"/>
    </xf>
    <xf numFmtId="0" fontId="52" fillId="0" borderId="0" xfId="20" applyFont="1" applyBorder="1" applyAlignment="1">
      <alignment horizontal="right" vertical="center" readingOrder="2"/>
    </xf>
    <xf numFmtId="0" fontId="54" fillId="0" borderId="0" xfId="20" applyFont="1" applyBorder="1" applyAlignment="1">
      <alignment horizontal="right" vertical="center" readingOrder="2"/>
    </xf>
    <xf numFmtId="0" fontId="62" fillId="0" borderId="0" xfId="20" applyFont="1" applyBorder="1"/>
    <xf numFmtId="165" fontId="54" fillId="0" borderId="0" xfId="21" applyNumberFormat="1" applyFont="1" applyBorder="1" applyAlignment="1">
      <alignment horizontal="right" vertical="center" readingOrder="2"/>
    </xf>
    <xf numFmtId="3" fontId="52" fillId="0" borderId="0" xfId="20" applyNumberFormat="1" applyFont="1" applyBorder="1" applyAlignment="1">
      <alignment horizontal="right" vertical="center" readingOrder="2"/>
    </xf>
    <xf numFmtId="0" fontId="42" fillId="0" borderId="0" xfId="20" applyFont="1" applyBorder="1"/>
    <xf numFmtId="165" fontId="54" fillId="0" borderId="0" xfId="21" applyNumberFormat="1" applyFont="1" applyBorder="1" applyAlignment="1">
      <alignment vertical="center" readingOrder="2"/>
    </xf>
    <xf numFmtId="0" fontId="52" fillId="0" borderId="0" xfId="20" quotePrefix="1" applyFont="1" applyBorder="1" applyAlignment="1">
      <alignment horizontal="right" vertical="center" readingOrder="2"/>
    </xf>
    <xf numFmtId="0" fontId="53" fillId="0" borderId="0" xfId="20" applyFont="1" applyBorder="1" applyAlignment="1">
      <alignment horizontal="right" vertical="center" readingOrder="2"/>
    </xf>
    <xf numFmtId="0" fontId="63" fillId="0" borderId="0" xfId="20" applyFont="1" applyBorder="1" applyAlignment="1">
      <alignment horizontal="right" vertical="center" readingOrder="2"/>
    </xf>
    <xf numFmtId="0" fontId="52" fillId="0" borderId="0" xfId="22" applyFont="1" applyAlignment="1">
      <alignment horizontal="right" vertical="center" readingOrder="2"/>
    </xf>
    <xf numFmtId="0" fontId="25" fillId="0" borderId="0" xfId="22"/>
    <xf numFmtId="0" fontId="51" fillId="0" borderId="0" xfId="22" applyFont="1" applyAlignment="1">
      <alignment horizontal="right" vertical="center" readingOrder="2"/>
    </xf>
    <xf numFmtId="0" fontId="65" fillId="0" borderId="0" xfId="22" applyFont="1"/>
    <xf numFmtId="3" fontId="54" fillId="0" borderId="30" xfId="22" applyNumberFormat="1" applyFont="1" applyBorder="1" applyAlignment="1">
      <alignment horizontal="right" vertical="center" readingOrder="2"/>
    </xf>
    <xf numFmtId="0" fontId="54" fillId="0" borderId="16" xfId="22" applyFont="1" applyBorder="1" applyAlignment="1">
      <alignment horizontal="center" vertical="center" readingOrder="2"/>
    </xf>
    <xf numFmtId="0" fontId="54" fillId="0" borderId="0" xfId="22" applyFont="1" applyBorder="1" applyAlignment="1">
      <alignment horizontal="right" vertical="center" readingOrder="2"/>
    </xf>
    <xf numFmtId="0" fontId="52" fillId="0" borderId="18" xfId="22" applyFont="1" applyBorder="1" applyAlignment="1">
      <alignment horizontal="right" vertical="center" readingOrder="2"/>
    </xf>
    <xf numFmtId="3" fontId="52" fillId="0" borderId="19" xfId="22" applyNumberFormat="1" applyFont="1" applyBorder="1" applyAlignment="1">
      <alignment horizontal="center" vertical="center" readingOrder="2"/>
    </xf>
    <xf numFmtId="0" fontId="52" fillId="0" borderId="0" xfId="22" applyFont="1" applyBorder="1" applyAlignment="1">
      <alignment horizontal="right" vertical="center" readingOrder="2"/>
    </xf>
    <xf numFmtId="0" fontId="54" fillId="0" borderId="20" xfId="22" applyFont="1" applyBorder="1" applyAlignment="1">
      <alignment horizontal="right" vertical="center" readingOrder="2"/>
    </xf>
    <xf numFmtId="0" fontId="52" fillId="0" borderId="0" xfId="22" quotePrefix="1" applyFont="1" applyAlignment="1">
      <alignment horizontal="right" vertical="center" readingOrder="2"/>
    </xf>
    <xf numFmtId="0" fontId="54" fillId="0" borderId="30" xfId="22" applyFont="1" applyBorder="1" applyAlignment="1">
      <alignment horizontal="right" vertical="center" readingOrder="2"/>
    </xf>
    <xf numFmtId="0" fontId="54" fillId="0" borderId="14" xfId="22" applyFont="1" applyBorder="1" applyAlignment="1">
      <alignment horizontal="right" vertical="center" readingOrder="2"/>
    </xf>
    <xf numFmtId="0" fontId="54" fillId="0" borderId="15" xfId="22" applyFont="1" applyBorder="1" applyAlignment="1">
      <alignment horizontal="center" vertical="center" readingOrder="2"/>
    </xf>
    <xf numFmtId="0" fontId="54" fillId="0" borderId="16" xfId="22" applyFont="1" applyBorder="1" applyAlignment="1">
      <alignment horizontal="right" vertical="center" readingOrder="2"/>
    </xf>
    <xf numFmtId="3" fontId="52" fillId="0" borderId="2" xfId="22" applyNumberFormat="1" applyFont="1" applyBorder="1" applyAlignment="1">
      <alignment horizontal="center" vertical="center" readingOrder="2"/>
    </xf>
    <xf numFmtId="9" fontId="52" fillId="0" borderId="19" xfId="9" applyFont="1" applyBorder="1" applyAlignment="1">
      <alignment horizontal="right" vertical="center" readingOrder="2"/>
    </xf>
    <xf numFmtId="3" fontId="54" fillId="0" borderId="21" xfId="22" applyNumberFormat="1" applyFont="1" applyBorder="1" applyAlignment="1">
      <alignment horizontal="center" vertical="center" readingOrder="2"/>
    </xf>
    <xf numFmtId="3" fontId="54" fillId="0" borderId="19" xfId="22" applyNumberFormat="1" applyFont="1" applyBorder="1" applyAlignment="1">
      <alignment horizontal="center" vertical="center" readingOrder="2"/>
    </xf>
    <xf numFmtId="0" fontId="52" fillId="0" borderId="43" xfId="22" applyFont="1" applyBorder="1" applyAlignment="1">
      <alignment horizontal="right" vertical="center" readingOrder="2"/>
    </xf>
    <xf numFmtId="3" fontId="52" fillId="0" borderId="44" xfId="22" applyNumberFormat="1" applyFont="1" applyBorder="1" applyAlignment="1">
      <alignment horizontal="center" vertical="center" readingOrder="2"/>
    </xf>
    <xf numFmtId="0" fontId="52" fillId="0" borderId="20" xfId="22" applyFont="1" applyBorder="1" applyAlignment="1">
      <alignment horizontal="right" vertical="center" readingOrder="2"/>
    </xf>
    <xf numFmtId="3" fontId="52" fillId="0" borderId="22" xfId="22" applyNumberFormat="1" applyFont="1" applyBorder="1" applyAlignment="1">
      <alignment horizontal="center" vertical="center" readingOrder="2"/>
    </xf>
    <xf numFmtId="164" fontId="52" fillId="0" borderId="19" xfId="9" applyNumberFormat="1" applyFont="1" applyBorder="1" applyAlignment="1">
      <alignment horizontal="right" vertical="center" readingOrder="2"/>
    </xf>
    <xf numFmtId="0" fontId="52" fillId="0" borderId="43" xfId="22" applyFont="1" applyBorder="1" applyAlignment="1">
      <alignment horizontal="right" vertical="center" wrapText="1" readingOrder="2"/>
    </xf>
    <xf numFmtId="0" fontId="53" fillId="0" borderId="0" xfId="22" applyFont="1" applyAlignment="1">
      <alignment horizontal="right" vertical="center" readingOrder="2"/>
    </xf>
    <xf numFmtId="3" fontId="54" fillId="0" borderId="0" xfId="22" applyNumberFormat="1" applyFont="1" applyBorder="1" applyAlignment="1">
      <alignment horizontal="center" vertical="center" readingOrder="2"/>
    </xf>
    <xf numFmtId="9" fontId="54" fillId="0" borderId="0" xfId="9" applyFont="1" applyBorder="1" applyAlignment="1">
      <alignment horizontal="right" vertical="center" readingOrder="2"/>
    </xf>
    <xf numFmtId="0" fontId="47" fillId="0" borderId="0" xfId="4" applyFont="1" applyFill="1" applyBorder="1" applyAlignment="1">
      <alignment horizontal="right" vertical="center"/>
    </xf>
    <xf numFmtId="0" fontId="47" fillId="0" borderId="0" xfId="4" applyFont="1" applyFill="1" applyBorder="1" applyAlignment="1">
      <alignment vertical="center"/>
    </xf>
    <xf numFmtId="3" fontId="32" fillId="0" borderId="2" xfId="4" applyNumberFormat="1" applyFont="1" applyFill="1" applyBorder="1" applyAlignment="1">
      <alignment horizontal="right" vertical="center"/>
    </xf>
    <xf numFmtId="3" fontId="52" fillId="0" borderId="0" xfId="22" applyNumberFormat="1" applyFont="1" applyBorder="1" applyAlignment="1">
      <alignment horizontal="center" vertical="center" readingOrder="2"/>
    </xf>
    <xf numFmtId="9" fontId="52" fillId="0" borderId="0" xfId="9" applyFont="1" applyBorder="1" applyAlignment="1">
      <alignment horizontal="right" vertical="center" readingOrder="2"/>
    </xf>
    <xf numFmtId="0" fontId="50" fillId="0" borderId="0" xfId="16" applyFont="1" applyAlignment="1"/>
    <xf numFmtId="0" fontId="39" fillId="0" borderId="0" xfId="4" applyFont="1" applyFill="1" applyBorder="1" applyAlignment="1">
      <alignment vertical="center"/>
    </xf>
    <xf numFmtId="164" fontId="27" fillId="0" borderId="0" xfId="9" applyNumberFormat="1" applyFont="1"/>
    <xf numFmtId="164" fontId="54" fillId="0" borderId="22" xfId="9" applyNumberFormat="1" applyFont="1" applyBorder="1" applyAlignment="1">
      <alignment horizontal="right" vertical="center" readingOrder="2"/>
    </xf>
    <xf numFmtId="0" fontId="54" fillId="0" borderId="16" xfId="22" applyFont="1" applyBorder="1" applyAlignment="1">
      <alignment vertical="center" readingOrder="2"/>
    </xf>
    <xf numFmtId="164" fontId="52" fillId="0" borderId="19" xfId="9" applyNumberFormat="1" applyFont="1" applyBorder="1" applyAlignment="1">
      <alignment vertical="center" readingOrder="2"/>
    </xf>
    <xf numFmtId="0" fontId="31" fillId="0" borderId="0" xfId="4" applyFont="1" applyFill="1" applyAlignment="1">
      <alignment wrapText="1"/>
    </xf>
    <xf numFmtId="0" fontId="33" fillId="0" borderId="2" xfId="4" applyFont="1" applyFill="1" applyBorder="1" applyAlignment="1">
      <alignment vertical="center"/>
    </xf>
    <xf numFmtId="3" fontId="43" fillId="0" borderId="2" xfId="4" applyNumberFormat="1" applyFont="1" applyFill="1" applyBorder="1" applyAlignment="1">
      <alignment vertical="center" wrapText="1"/>
    </xf>
    <xf numFmtId="0" fontId="33" fillId="0" borderId="2" xfId="4" applyFont="1" applyFill="1" applyBorder="1" applyAlignment="1">
      <alignment horizontal="right" vertical="center" wrapText="1"/>
    </xf>
    <xf numFmtId="3" fontId="45" fillId="0" borderId="2" xfId="4" applyNumberFormat="1" applyFont="1" applyFill="1" applyBorder="1" applyAlignment="1">
      <alignment horizontal="right" vertical="center" wrapText="1"/>
    </xf>
    <xf numFmtId="0" fontId="39" fillId="0" borderId="0" xfId="16" applyFont="1" applyFill="1" applyAlignment="1"/>
    <xf numFmtId="0" fontId="31" fillId="0" borderId="0" xfId="16" applyFont="1" applyFill="1" applyAlignment="1"/>
    <xf numFmtId="0" fontId="31" fillId="0" borderId="0" xfId="16" applyFont="1" applyFill="1"/>
    <xf numFmtId="0" fontId="31" fillId="0" borderId="0" xfId="16" applyFont="1" applyFill="1" applyAlignment="1">
      <alignment wrapText="1"/>
    </xf>
    <xf numFmtId="0" fontId="33" fillId="0" borderId="0" xfId="16" applyFont="1" applyFill="1" applyAlignment="1"/>
    <xf numFmtId="0" fontId="33" fillId="0" borderId="0" xfId="16" applyFont="1" applyFill="1" applyAlignment="1">
      <alignment vertical="center"/>
    </xf>
    <xf numFmtId="3" fontId="32" fillId="0" borderId="0" xfId="16" applyNumberFormat="1" applyFont="1" applyFill="1" applyBorder="1" applyAlignment="1">
      <alignment horizontal="right" vertical="center" wrapText="1"/>
    </xf>
    <xf numFmtId="3" fontId="33" fillId="3" borderId="2" xfId="16" applyNumberFormat="1" applyFont="1" applyFill="1" applyBorder="1" applyAlignment="1">
      <alignment vertical="center" wrapText="1"/>
    </xf>
    <xf numFmtId="0" fontId="45" fillId="0" borderId="2" xfId="16" applyFont="1" applyFill="1" applyBorder="1" applyAlignment="1">
      <alignment horizontal="right" vertical="center" wrapText="1"/>
    </xf>
    <xf numFmtId="0" fontId="46" fillId="0" borderId="2" xfId="16" applyFont="1" applyFill="1" applyBorder="1" applyAlignment="1">
      <alignment vertical="center" wrapText="1"/>
    </xf>
    <xf numFmtId="0" fontId="33" fillId="0" borderId="2" xfId="16" applyFont="1" applyFill="1" applyBorder="1" applyAlignment="1">
      <alignment vertical="center"/>
    </xf>
    <xf numFmtId="3" fontId="33" fillId="0" borderId="2" xfId="16" applyNumberFormat="1" applyFont="1" applyFill="1" applyBorder="1" applyAlignment="1">
      <alignment horizontal="right" vertical="center" wrapText="1"/>
    </xf>
    <xf numFmtId="0" fontId="33" fillId="0" borderId="0" xfId="16" applyFont="1" applyFill="1" applyBorder="1" applyAlignment="1">
      <alignment vertical="center" wrapText="1"/>
    </xf>
    <xf numFmtId="0" fontId="32" fillId="0" borderId="2" xfId="16" applyFont="1" applyFill="1" applyBorder="1" applyAlignment="1">
      <alignment vertical="center"/>
    </xf>
    <xf numFmtId="0" fontId="32" fillId="0" borderId="0" xfId="16" applyFont="1" applyFill="1"/>
    <xf numFmtId="0" fontId="45" fillId="0" borderId="2" xfId="16" applyFont="1" applyFill="1" applyBorder="1" applyAlignment="1">
      <alignment vertical="center" wrapText="1"/>
    </xf>
    <xf numFmtId="0" fontId="33" fillId="0" borderId="0" xfId="16" applyFont="1" applyFill="1" applyBorder="1"/>
    <xf numFmtId="3" fontId="33" fillId="0" borderId="0" xfId="16" applyNumberFormat="1" applyFont="1" applyFill="1" applyBorder="1"/>
    <xf numFmtId="3" fontId="32" fillId="0" borderId="0" xfId="16" applyNumberFormat="1" applyFont="1" applyFill="1" applyBorder="1"/>
    <xf numFmtId="0" fontId="32" fillId="0" borderId="0" xfId="16" applyFont="1" applyFill="1" applyBorder="1" applyAlignment="1">
      <alignment horizontal="right" vertical="center" wrapText="1"/>
    </xf>
    <xf numFmtId="0" fontId="33" fillId="0" borderId="2" xfId="16" applyFont="1" applyFill="1" applyBorder="1" applyAlignment="1">
      <alignment wrapText="1"/>
    </xf>
    <xf numFmtId="165" fontId="33" fillId="0" borderId="2" xfId="10" applyNumberFormat="1" applyFont="1" applyFill="1" applyBorder="1" applyAlignment="1">
      <alignment horizontal="right" vertical="center" wrapText="1"/>
    </xf>
    <xf numFmtId="3" fontId="33" fillId="0" borderId="0" xfId="16" applyNumberFormat="1" applyFont="1" applyAlignment="1">
      <alignment vertical="center" wrapText="1"/>
    </xf>
    <xf numFmtId="3" fontId="31" fillId="0" borderId="0" xfId="16" applyNumberFormat="1" applyFont="1" applyFill="1"/>
    <xf numFmtId="0" fontId="38" fillId="0" borderId="0" xfId="16" applyFont="1" applyFill="1" applyAlignment="1"/>
    <xf numFmtId="0" fontId="69" fillId="0" borderId="0" xfId="17" quotePrefix="1" applyFont="1" applyFill="1" applyAlignment="1">
      <alignment horizontal="right" vertical="center" readingOrder="2"/>
    </xf>
    <xf numFmtId="0" fontId="32" fillId="0" borderId="0" xfId="0" applyFont="1" applyFill="1" applyBorder="1" applyAlignment="1">
      <alignment vertical="center" wrapText="1"/>
    </xf>
    <xf numFmtId="0" fontId="31" fillId="0" borderId="2" xfId="16" applyFont="1" applyFill="1" applyBorder="1" applyAlignment="1"/>
    <xf numFmtId="0" fontId="70" fillId="0" borderId="0" xfId="4" applyFont="1" applyFill="1" applyBorder="1" applyAlignment="1">
      <alignment horizontal="right" vertical="center" wrapText="1"/>
    </xf>
    <xf numFmtId="0" fontId="70" fillId="0" borderId="0" xfId="4" applyFont="1" applyFill="1" applyBorder="1" applyAlignment="1">
      <alignment horizontal="right" vertical="center"/>
    </xf>
    <xf numFmtId="0" fontId="70" fillId="0" borderId="0" xfId="4" applyFont="1" applyFill="1" applyBorder="1"/>
    <xf numFmtId="0" fontId="33" fillId="0" borderId="0" xfId="16" applyFont="1" applyFill="1" applyAlignment="1">
      <alignment horizontal="right" wrapText="1"/>
    </xf>
    <xf numFmtId="0" fontId="33" fillId="0" borderId="2" xfId="16" applyFont="1" applyFill="1" applyBorder="1" applyAlignment="1">
      <alignment horizontal="right" vertical="center" wrapText="1"/>
    </xf>
    <xf numFmtId="0" fontId="39" fillId="0" borderId="0" xfId="16" applyFont="1" applyFill="1" applyAlignment="1">
      <alignment wrapText="1"/>
    </xf>
    <xf numFmtId="165" fontId="52" fillId="0" borderId="0" xfId="17" applyNumberFormat="1" applyFont="1" applyAlignment="1">
      <alignment horizontal="right" vertical="center" readingOrder="2"/>
    </xf>
    <xf numFmtId="0" fontId="33" fillId="0" borderId="2" xfId="16" applyFont="1" applyBorder="1" applyAlignment="1">
      <alignment horizontal="right" vertical="center" wrapText="1"/>
    </xf>
    <xf numFmtId="0" fontId="46" fillId="0" borderId="0" xfId="16" applyFont="1" applyFill="1" applyAlignment="1">
      <alignment vertical="center" wrapText="1"/>
    </xf>
    <xf numFmtId="0" fontId="52" fillId="0" borderId="0" xfId="30" applyFont="1" applyAlignment="1">
      <alignment horizontal="right" vertical="center" readingOrder="2"/>
    </xf>
    <xf numFmtId="0" fontId="21" fillId="0" borderId="0" xfId="30"/>
    <xf numFmtId="0" fontId="51" fillId="0" borderId="0" xfId="30" applyFont="1" applyAlignment="1">
      <alignment horizontal="right" vertical="center" readingOrder="2"/>
    </xf>
    <xf numFmtId="0" fontId="65" fillId="0" borderId="0" xfId="30" applyFont="1"/>
    <xf numFmtId="3" fontId="54" fillId="0" borderId="30" xfId="30" applyNumberFormat="1" applyFont="1" applyBorder="1" applyAlignment="1">
      <alignment horizontal="right" vertical="center" readingOrder="2"/>
    </xf>
    <xf numFmtId="0" fontId="52" fillId="0" borderId="0" xfId="30" applyFont="1" applyBorder="1" applyAlignment="1">
      <alignment horizontal="right" vertical="center" readingOrder="2"/>
    </xf>
    <xf numFmtId="3" fontId="52" fillId="0" borderId="10" xfId="22" applyNumberFormat="1" applyFont="1" applyBorder="1" applyAlignment="1">
      <alignment horizontal="center" vertical="center" readingOrder="2"/>
    </xf>
    <xf numFmtId="0" fontId="46" fillId="0" borderId="0" xfId="16" applyFont="1" applyFill="1"/>
    <xf numFmtId="0" fontId="46" fillId="0" borderId="2" xfId="4" applyFont="1" applyFill="1" applyBorder="1" applyAlignment="1">
      <alignment vertical="center"/>
    </xf>
    <xf numFmtId="3" fontId="64" fillId="0" borderId="21" xfId="22" applyNumberFormat="1" applyFont="1" applyBorder="1" applyAlignment="1">
      <alignment horizontal="center" vertical="center" readingOrder="2"/>
    </xf>
    <xf numFmtId="9" fontId="64" fillId="0" borderId="22" xfId="9" applyFont="1" applyBorder="1" applyAlignment="1">
      <alignment horizontal="right" vertical="center" readingOrder="2"/>
    </xf>
    <xf numFmtId="3" fontId="46" fillId="0" borderId="2" xfId="16" applyNumberFormat="1" applyFont="1" applyFill="1" applyBorder="1" applyAlignment="1">
      <alignment vertical="center" wrapText="1"/>
    </xf>
    <xf numFmtId="3" fontId="46" fillId="0" borderId="2" xfId="16" applyNumberFormat="1" applyFont="1" applyFill="1" applyBorder="1" applyAlignment="1">
      <alignment horizontal="right" vertical="center" wrapText="1"/>
    </xf>
    <xf numFmtId="0" fontId="21" fillId="0" borderId="0" xfId="22" applyFont="1"/>
    <xf numFmtId="0" fontId="72" fillId="0" borderId="0" xfId="22" applyFont="1"/>
    <xf numFmtId="0" fontId="73" fillId="0" borderId="0" xfId="30" applyFont="1" applyAlignment="1">
      <alignment horizontal="right" vertical="center" readingOrder="2"/>
    </xf>
    <xf numFmtId="0" fontId="73" fillId="0" borderId="0" xfId="22" applyFont="1" applyAlignment="1">
      <alignment horizontal="right" vertical="center" readingOrder="2"/>
    </xf>
    <xf numFmtId="0" fontId="20" fillId="0" borderId="0" xfId="22" applyFont="1"/>
    <xf numFmtId="0" fontId="74" fillId="0" borderId="0" xfId="22" applyFont="1"/>
    <xf numFmtId="164" fontId="64" fillId="0" borderId="22" xfId="9" applyNumberFormat="1" applyFont="1" applyBorder="1" applyAlignment="1">
      <alignment horizontal="right" vertical="center" readingOrder="2"/>
    </xf>
    <xf numFmtId="165" fontId="34" fillId="0" borderId="0" xfId="4" applyNumberFormat="1" applyFont="1" applyFill="1" applyBorder="1" applyAlignment="1">
      <alignment horizontal="right" vertical="center"/>
    </xf>
    <xf numFmtId="0" fontId="71" fillId="0" borderId="0" xfId="17" applyFont="1"/>
    <xf numFmtId="0" fontId="64" fillId="0" borderId="0" xfId="30" applyFont="1" applyAlignment="1">
      <alignment horizontal="right" vertical="center" readingOrder="2"/>
    </xf>
    <xf numFmtId="0" fontId="42" fillId="0" borderId="0" xfId="30" applyFont="1"/>
    <xf numFmtId="0" fontId="75" fillId="0" borderId="0" xfId="30" applyFont="1"/>
    <xf numFmtId="0" fontId="54" fillId="0" borderId="0" xfId="30" applyFont="1" applyAlignment="1">
      <alignment horizontal="right" vertical="center" readingOrder="2"/>
    </xf>
    <xf numFmtId="164" fontId="64" fillId="0" borderId="22" xfId="9" applyNumberFormat="1" applyFont="1" applyBorder="1" applyAlignment="1">
      <alignment vertical="center" readingOrder="2"/>
    </xf>
    <xf numFmtId="0" fontId="33" fillId="0" borderId="2" xfId="16" applyFont="1" applyFill="1" applyBorder="1" applyAlignment="1">
      <alignment horizontal="right" wrapText="1"/>
    </xf>
    <xf numFmtId="0" fontId="31" fillId="0" borderId="0" xfId="0" applyFont="1" applyFill="1" applyAlignment="1">
      <alignment wrapText="1"/>
    </xf>
    <xf numFmtId="0" fontId="54" fillId="0" borderId="15" xfId="17" applyFont="1" applyBorder="1" applyAlignment="1">
      <alignment horizontal="right" vertical="center" readingOrder="2"/>
    </xf>
    <xf numFmtId="3" fontId="34" fillId="0" borderId="28" xfId="16" applyNumberFormat="1" applyFont="1" applyBorder="1"/>
    <xf numFmtId="0" fontId="52" fillId="0" borderId="18" xfId="22" applyFont="1" applyBorder="1" applyAlignment="1">
      <alignment horizontal="right" vertical="center" wrapText="1" readingOrder="2"/>
    </xf>
    <xf numFmtId="0" fontId="76" fillId="0" borderId="0" xfId="17" applyFont="1" applyAlignment="1">
      <alignment horizontal="right" vertical="center" readingOrder="2"/>
    </xf>
    <xf numFmtId="0" fontId="77" fillId="0" borderId="0" xfId="17" applyFont="1"/>
    <xf numFmtId="0" fontId="78" fillId="0" borderId="0" xfId="17" applyFont="1"/>
    <xf numFmtId="165" fontId="52" fillId="0" borderId="19" xfId="18" applyNumberFormat="1" applyFont="1" applyBorder="1" applyAlignment="1">
      <alignment vertical="center" readingOrder="2"/>
    </xf>
    <xf numFmtId="0" fontId="33" fillId="0" borderId="2" xfId="4" applyFont="1" applyFill="1" applyBorder="1" applyAlignment="1">
      <alignment wrapText="1"/>
    </xf>
    <xf numFmtId="0" fontId="31" fillId="0" borderId="2" xfId="16" applyFont="1" applyFill="1" applyBorder="1"/>
    <xf numFmtId="3" fontId="45" fillId="0" borderId="2" xfId="4" applyNumberFormat="1" applyFont="1" applyFill="1" applyBorder="1" applyAlignment="1">
      <alignment vertical="center" wrapText="1"/>
    </xf>
    <xf numFmtId="0" fontId="33" fillId="0" borderId="2" xfId="16" applyFont="1" applyBorder="1"/>
    <xf numFmtId="0" fontId="34" fillId="0" borderId="2" xfId="4" applyFont="1" applyFill="1" applyBorder="1" applyAlignment="1">
      <alignment vertical="center"/>
    </xf>
    <xf numFmtId="165" fontId="33" fillId="0" borderId="0" xfId="10" applyNumberFormat="1" applyFont="1" applyFill="1" applyAlignment="1">
      <alignment wrapText="1"/>
    </xf>
    <xf numFmtId="3" fontId="45" fillId="0" borderId="2" xfId="16" applyNumberFormat="1" applyFont="1" applyFill="1" applyBorder="1" applyAlignment="1">
      <alignment vertical="center" wrapText="1"/>
    </xf>
    <xf numFmtId="0" fontId="33" fillId="0" borderId="2" xfId="4" applyFont="1" applyBorder="1" applyAlignment="1">
      <alignment vertical="center"/>
    </xf>
    <xf numFmtId="0" fontId="33" fillId="0" borderId="2" xfId="4" applyFont="1" applyBorder="1" applyAlignment="1">
      <alignment vertical="center" wrapText="1"/>
    </xf>
    <xf numFmtId="3" fontId="33" fillId="0" borderId="2" xfId="4" applyNumberFormat="1" applyFont="1" applyBorder="1" applyAlignment="1">
      <alignment vertical="center" wrapText="1"/>
    </xf>
    <xf numFmtId="165" fontId="33" fillId="0" borderId="2" xfId="10" applyNumberFormat="1" applyFont="1" applyBorder="1" applyAlignment="1">
      <alignment vertical="center" wrapText="1"/>
    </xf>
    <xf numFmtId="0" fontId="33" fillId="0" borderId="0" xfId="4" applyFont="1" applyAlignment="1">
      <alignment vertical="center" wrapText="1"/>
    </xf>
    <xf numFmtId="0" fontId="32" fillId="0" borderId="2" xfId="4" applyFont="1" applyBorder="1" applyAlignment="1">
      <alignment horizontal="right" vertical="center" wrapText="1"/>
    </xf>
    <xf numFmtId="0" fontId="32" fillId="0" borderId="0" xfId="4" applyFont="1" applyAlignment="1">
      <alignment horizontal="right" vertical="center" wrapText="1"/>
    </xf>
    <xf numFmtId="0" fontId="45" fillId="0" borderId="2" xfId="4" applyFont="1" applyBorder="1" applyAlignment="1">
      <alignment vertical="center" wrapText="1"/>
    </xf>
    <xf numFmtId="0" fontId="33" fillId="0" borderId="0" xfId="4" applyFont="1"/>
    <xf numFmtId="0" fontId="33" fillId="0" borderId="0" xfId="4" applyFont="1" applyAlignment="1">
      <alignment wrapText="1"/>
    </xf>
    <xf numFmtId="3" fontId="33" fillId="0" borderId="0" xfId="4" applyNumberFormat="1" applyFont="1"/>
    <xf numFmtId="0" fontId="46" fillId="0" borderId="2" xfId="4" applyFont="1" applyBorder="1" applyAlignment="1">
      <alignment vertical="center" wrapText="1"/>
    </xf>
    <xf numFmtId="0" fontId="33" fillId="0" borderId="2" xfId="4" quotePrefix="1" applyFont="1" applyFill="1" applyBorder="1" applyAlignment="1">
      <alignment vertical="center" wrapText="1"/>
    </xf>
    <xf numFmtId="0" fontId="45" fillId="0" borderId="2" xfId="4" quotePrefix="1" applyFont="1" applyFill="1" applyBorder="1" applyAlignment="1">
      <alignment vertical="center" wrapText="1"/>
    </xf>
    <xf numFmtId="3" fontId="34" fillId="0" borderId="0" xfId="16" applyNumberFormat="1" applyFont="1" applyAlignment="1">
      <alignment horizontal="center" vertical="center"/>
    </xf>
    <xf numFmtId="0" fontId="48" fillId="0" borderId="0" xfId="4" applyFont="1" applyFill="1" applyBorder="1" applyAlignment="1">
      <alignment horizontal="right" vertical="center"/>
    </xf>
    <xf numFmtId="0" fontId="64" fillId="0" borderId="0" xfId="16" applyFont="1" applyAlignment="1">
      <alignment horizontal="right" vertical="center" readingOrder="2"/>
    </xf>
    <xf numFmtId="0" fontId="81" fillId="0" borderId="0" xfId="4" quotePrefix="1" applyFont="1" applyFill="1" applyAlignment="1"/>
    <xf numFmtId="0" fontId="81" fillId="0" borderId="0" xfId="4" quotePrefix="1" applyFont="1" applyFill="1" applyAlignment="1">
      <alignment horizontal="center" vertical="center"/>
    </xf>
    <xf numFmtId="0" fontId="81" fillId="0" borderId="0" xfId="4" quotePrefix="1" applyFont="1" applyFill="1" applyAlignment="1">
      <alignment horizontal="center"/>
    </xf>
    <xf numFmtId="3" fontId="45" fillId="0" borderId="2" xfId="16" applyNumberFormat="1" applyFont="1" applyFill="1" applyBorder="1" applyAlignment="1">
      <alignment horizontal="right" vertical="center" wrapText="1"/>
    </xf>
    <xf numFmtId="0" fontId="46" fillId="0" borderId="2" xfId="4" applyFont="1" applyFill="1" applyBorder="1" applyAlignment="1">
      <alignment horizontal="right" vertical="center" wrapText="1"/>
    </xf>
    <xf numFmtId="0" fontId="66" fillId="0" borderId="0" xfId="30" applyFont="1" applyAlignment="1">
      <alignment horizontal="right" vertical="center" readingOrder="2"/>
    </xf>
    <xf numFmtId="0" fontId="52" fillId="0" borderId="0" xfId="30" applyFont="1" applyAlignment="1">
      <alignment vertical="center" readingOrder="2"/>
    </xf>
    <xf numFmtId="0" fontId="64" fillId="0" borderId="0" xfId="22" applyFont="1" applyAlignment="1">
      <alignment horizontal="right" vertical="center" readingOrder="2"/>
    </xf>
    <xf numFmtId="3" fontId="66" fillId="0" borderId="3" xfId="22" applyNumberFormat="1" applyFont="1" applyBorder="1" applyAlignment="1">
      <alignment horizontal="center" vertical="center" readingOrder="2"/>
    </xf>
    <xf numFmtId="0" fontId="45" fillId="0" borderId="2" xfId="16" applyFont="1" applyBorder="1" applyAlignment="1">
      <alignment horizontal="right" vertical="center" wrapText="1"/>
    </xf>
    <xf numFmtId="0" fontId="45" fillId="0" borderId="2" xfId="16" applyFont="1" applyBorder="1" applyAlignment="1">
      <alignment vertical="center" wrapText="1"/>
    </xf>
    <xf numFmtId="3" fontId="45" fillId="0" borderId="2" xfId="4" applyNumberFormat="1" applyFont="1" applyBorder="1" applyAlignment="1">
      <alignment horizontal="right" vertical="center" wrapText="1"/>
    </xf>
    <xf numFmtId="9" fontId="64" fillId="0" borderId="0" xfId="9" applyFont="1" applyBorder="1" applyAlignment="1">
      <alignment horizontal="right" vertical="center" readingOrder="2"/>
    </xf>
    <xf numFmtId="3" fontId="66" fillId="0" borderId="19" xfId="22" applyNumberFormat="1" applyFont="1" applyBorder="1" applyAlignment="1">
      <alignment horizontal="center" vertical="center" readingOrder="2"/>
    </xf>
    <xf numFmtId="0" fontId="46" fillId="0" borderId="2" xfId="16" applyFont="1" applyFill="1" applyBorder="1" applyAlignment="1">
      <alignment horizontal="right" vertical="center" wrapText="1"/>
    </xf>
    <xf numFmtId="3" fontId="46" fillId="0" borderId="2" xfId="4" applyNumberFormat="1" applyFont="1" applyFill="1" applyBorder="1" applyAlignment="1">
      <alignment vertical="center"/>
    </xf>
    <xf numFmtId="0" fontId="46" fillId="0" borderId="0" xfId="4" applyFont="1" applyFill="1" applyAlignment="1">
      <alignment vertical="center"/>
    </xf>
    <xf numFmtId="3" fontId="32" fillId="0" borderId="2" xfId="4" applyNumberFormat="1" applyFont="1" applyFill="1" applyBorder="1" applyAlignment="1">
      <alignment horizontal="center" vertical="center" wrapText="1"/>
    </xf>
    <xf numFmtId="0" fontId="32" fillId="0" borderId="2" xfId="4" applyFont="1" applyFill="1" applyBorder="1" applyAlignment="1">
      <alignment horizontal="center" vertical="center" wrapText="1"/>
    </xf>
    <xf numFmtId="0" fontId="33" fillId="0" borderId="3" xfId="4" applyFont="1" applyFill="1" applyBorder="1" applyAlignment="1">
      <alignment vertical="center" wrapText="1"/>
    </xf>
    <xf numFmtId="165" fontId="33" fillId="0" borderId="2" xfId="10" applyNumberFormat="1" applyFont="1" applyFill="1" applyBorder="1" applyAlignment="1">
      <alignment wrapText="1"/>
    </xf>
    <xf numFmtId="3" fontId="32" fillId="0" borderId="4" xfId="16" applyNumberFormat="1" applyFont="1" applyFill="1" applyBorder="1" applyAlignment="1">
      <alignment vertical="center" wrapText="1"/>
    </xf>
    <xf numFmtId="0" fontId="32" fillId="0" borderId="2" xfId="16" applyFont="1" applyFill="1" applyBorder="1"/>
    <xf numFmtId="3" fontId="32" fillId="0" borderId="4" xfId="16" applyNumberFormat="1" applyFont="1" applyFill="1" applyBorder="1" applyAlignment="1">
      <alignment horizontal="right" vertical="center" wrapText="1"/>
    </xf>
    <xf numFmtId="165" fontId="32" fillId="0" borderId="2" xfId="10" applyNumberFormat="1" applyFont="1" applyFill="1" applyBorder="1" applyAlignment="1">
      <alignment vertical="center" wrapText="1"/>
    </xf>
    <xf numFmtId="0" fontId="39" fillId="4" borderId="0" xfId="16" applyFont="1" applyFill="1" applyAlignment="1"/>
    <xf numFmtId="0" fontId="32" fillId="4" borderId="2" xfId="16" applyFont="1" applyFill="1" applyBorder="1" applyAlignment="1">
      <alignment horizontal="right" vertical="center" wrapText="1"/>
    </xf>
    <xf numFmtId="3" fontId="33" fillId="4" borderId="2" xfId="16" applyNumberFormat="1" applyFont="1" applyFill="1" applyBorder="1" applyAlignment="1">
      <alignment vertical="center" wrapText="1"/>
    </xf>
    <xf numFmtId="3" fontId="33" fillId="4" borderId="0" xfId="16" applyNumberFormat="1" applyFont="1" applyFill="1"/>
    <xf numFmtId="0" fontId="82" fillId="0" borderId="0" xfId="16" applyFont="1" applyFill="1" applyAlignment="1"/>
    <xf numFmtId="0" fontId="82" fillId="0" borderId="0" xfId="4" applyFont="1" applyFill="1"/>
    <xf numFmtId="0" fontId="32" fillId="0" borderId="4" xfId="4" applyFont="1" applyFill="1" applyBorder="1" applyAlignment="1">
      <alignment horizontal="right" vertical="center" wrapText="1"/>
    </xf>
    <xf numFmtId="0" fontId="33" fillId="0" borderId="4" xfId="4" applyFont="1" applyFill="1" applyBorder="1" applyAlignment="1">
      <alignment vertical="center" wrapText="1"/>
    </xf>
    <xf numFmtId="0" fontId="43" fillId="0" borderId="0" xfId="4" applyFont="1" applyFill="1" applyAlignment="1">
      <alignment vertical="center" wrapText="1"/>
    </xf>
    <xf numFmtId="0" fontId="46" fillId="0" borderId="4" xfId="4" applyFont="1" applyFill="1" applyBorder="1" applyAlignment="1">
      <alignment vertical="center"/>
    </xf>
    <xf numFmtId="3" fontId="39" fillId="0" borderId="0" xfId="16" applyNumberFormat="1" applyFont="1" applyFill="1" applyAlignment="1"/>
    <xf numFmtId="0" fontId="46" fillId="0" borderId="2" xfId="4" applyFont="1" applyBorder="1" applyAlignment="1">
      <alignment vertical="center"/>
    </xf>
    <xf numFmtId="3" fontId="46" fillId="0" borderId="2" xfId="4" applyNumberFormat="1" applyFont="1" applyBorder="1" applyAlignment="1">
      <alignment vertical="center"/>
    </xf>
    <xf numFmtId="0" fontId="46" fillId="0" borderId="0" xfId="4" applyFont="1" applyAlignment="1">
      <alignment vertical="center"/>
    </xf>
    <xf numFmtId="165" fontId="33" fillId="0" borderId="2" xfId="16" applyNumberFormat="1" applyFont="1" applyFill="1" applyBorder="1" applyAlignment="1">
      <alignment horizontal="right" vertical="center" wrapText="1"/>
    </xf>
    <xf numFmtId="0" fontId="33" fillId="0" borderId="4" xfId="16" applyFont="1" applyFill="1" applyBorder="1" applyAlignment="1">
      <alignment vertical="center" wrapText="1"/>
    </xf>
    <xf numFmtId="0" fontId="33" fillId="0" borderId="7" xfId="16" applyFont="1" applyFill="1" applyBorder="1" applyAlignment="1">
      <alignment vertical="center" wrapText="1"/>
    </xf>
    <xf numFmtId="0" fontId="32" fillId="0" borderId="4" xfId="16" applyFont="1" applyFill="1" applyBorder="1" applyAlignment="1">
      <alignment vertical="center" wrapText="1"/>
    </xf>
    <xf numFmtId="0" fontId="33" fillId="0" borderId="5" xfId="4" applyFont="1" applyFill="1" applyBorder="1" applyAlignment="1">
      <alignment vertical="center" wrapText="1"/>
    </xf>
    <xf numFmtId="0" fontId="31" fillId="0" borderId="0" xfId="4" quotePrefix="1" applyFont="1" applyFill="1" applyAlignment="1">
      <alignment horizontal="center" vertical="center"/>
    </xf>
    <xf numFmtId="0" fontId="45" fillId="0" borderId="0" xfId="4" applyFont="1" applyFill="1" applyAlignment="1">
      <alignment vertical="center" wrapText="1"/>
    </xf>
    <xf numFmtId="0" fontId="48" fillId="0" borderId="0" xfId="4" applyFont="1" applyFill="1" applyBorder="1" applyAlignment="1">
      <alignment vertical="center"/>
    </xf>
    <xf numFmtId="3" fontId="48" fillId="0" borderId="2" xfId="4" applyNumberFormat="1" applyFont="1" applyFill="1" applyBorder="1" applyAlignment="1">
      <alignment horizontal="right" vertical="center"/>
    </xf>
    <xf numFmtId="0" fontId="66" fillId="0" borderId="0" xfId="17" applyFont="1" applyAlignment="1">
      <alignment horizontal="right" vertical="center" readingOrder="2"/>
    </xf>
    <xf numFmtId="3" fontId="32" fillId="0" borderId="2" xfId="16" applyNumberFormat="1" applyFont="1" applyFill="1" applyBorder="1" applyAlignment="1">
      <alignment horizontal="right" vertical="center"/>
    </xf>
    <xf numFmtId="0" fontId="48" fillId="0" borderId="0" xfId="4" applyFont="1" applyFill="1" applyBorder="1" applyAlignment="1">
      <alignment horizontal="right" vertical="center" wrapText="1"/>
    </xf>
    <xf numFmtId="0" fontId="48" fillId="0" borderId="2" xfId="4" applyFont="1" applyFill="1" applyBorder="1" applyAlignment="1">
      <alignment horizontal="right" vertical="center"/>
    </xf>
    <xf numFmtId="0" fontId="48" fillId="0" borderId="5" xfId="4" applyFont="1" applyFill="1" applyBorder="1" applyAlignment="1">
      <alignment vertical="center"/>
    </xf>
    <xf numFmtId="0" fontId="48" fillId="0" borderId="6" xfId="4" applyFont="1" applyFill="1" applyBorder="1" applyAlignment="1">
      <alignment horizontal="right" vertical="center"/>
    </xf>
    <xf numFmtId="0" fontId="48" fillId="0" borderId="6" xfId="4" applyFont="1" applyFill="1" applyBorder="1" applyAlignment="1">
      <alignment vertical="center"/>
    </xf>
    <xf numFmtId="0" fontId="48" fillId="0" borderId="0" xfId="4" applyFont="1" applyFill="1" applyBorder="1"/>
    <xf numFmtId="0" fontId="47" fillId="0" borderId="0" xfId="4" applyFont="1" applyFill="1" applyBorder="1"/>
    <xf numFmtId="3" fontId="46" fillId="0" borderId="2" xfId="4" applyNumberFormat="1" applyFont="1" applyFill="1" applyBorder="1" applyAlignment="1">
      <alignment horizontal="right" vertical="center"/>
    </xf>
    <xf numFmtId="0" fontId="33" fillId="0" borderId="2" xfId="4" applyFont="1" applyBorder="1" applyAlignment="1">
      <alignment horizontal="right" vertical="center" wrapText="1"/>
    </xf>
    <xf numFmtId="0" fontId="45" fillId="0" borderId="2" xfId="4" applyFont="1" applyBorder="1" applyAlignment="1">
      <alignment horizontal="right" vertical="center" wrapText="1"/>
    </xf>
    <xf numFmtId="0" fontId="85" fillId="0" borderId="0" xfId="16" applyFont="1"/>
    <xf numFmtId="0" fontId="45" fillId="0" borderId="2" xfId="4" applyFont="1" applyFill="1" applyBorder="1" applyAlignment="1">
      <alignment horizontal="right" vertical="center" wrapText="1"/>
    </xf>
    <xf numFmtId="0" fontId="34" fillId="0" borderId="18" xfId="16" applyFont="1" applyBorder="1" applyAlignment="1">
      <alignment vertical="center"/>
    </xf>
    <xf numFmtId="3" fontId="35" fillId="0" borderId="19" xfId="16" applyNumberFormat="1" applyFont="1" applyBorder="1" applyAlignment="1">
      <alignment vertical="center"/>
    </xf>
    <xf numFmtId="0" fontId="37" fillId="0" borderId="0" xfId="16" applyFont="1"/>
    <xf numFmtId="0" fontId="35" fillId="0" borderId="14" xfId="16" applyFont="1" applyBorder="1" applyAlignment="1">
      <alignment horizontal="center" vertical="center"/>
    </xf>
    <xf numFmtId="3" fontId="35" fillId="0" borderId="15" xfId="16" applyNumberFormat="1" applyFont="1" applyBorder="1" applyAlignment="1">
      <alignment horizontal="center" vertical="center" wrapText="1"/>
    </xf>
    <xf numFmtId="0" fontId="35" fillId="0" borderId="16" xfId="16" applyFont="1" applyBorder="1" applyAlignment="1">
      <alignment horizontal="center" vertical="center"/>
    </xf>
    <xf numFmtId="0" fontId="34" fillId="0" borderId="18" xfId="16" applyFont="1" applyBorder="1" applyAlignment="1">
      <alignment vertical="center" wrapText="1"/>
    </xf>
    <xf numFmtId="0" fontId="35" fillId="0" borderId="20" xfId="16" applyFont="1" applyBorder="1" applyAlignment="1">
      <alignment vertical="center"/>
    </xf>
    <xf numFmtId="3" fontId="35" fillId="0" borderId="21" xfId="16" applyNumberFormat="1" applyFont="1" applyBorder="1" applyAlignment="1">
      <alignment vertical="center"/>
    </xf>
    <xf numFmtId="3" fontId="35" fillId="0" borderId="22" xfId="16" applyNumberFormat="1" applyFont="1" applyBorder="1" applyAlignment="1">
      <alignment vertical="center"/>
    </xf>
    <xf numFmtId="3" fontId="34" fillId="0" borderId="3" xfId="4" applyNumberFormat="1" applyFont="1" applyFill="1" applyBorder="1" applyAlignment="1">
      <alignment vertical="center" wrapText="1"/>
    </xf>
    <xf numFmtId="0" fontId="35" fillId="0" borderId="6" xfId="4" applyFont="1" applyFill="1" applyBorder="1"/>
    <xf numFmtId="0" fontId="32" fillId="0" borderId="6" xfId="4" applyFont="1" applyFill="1" applyBorder="1" applyAlignment="1">
      <alignment horizontal="right" vertical="center" wrapText="1"/>
    </xf>
    <xf numFmtId="3" fontId="34" fillId="0" borderId="6" xfId="4" applyNumberFormat="1" applyFont="1" applyFill="1" applyBorder="1" applyAlignment="1">
      <alignment vertical="center" wrapText="1"/>
    </xf>
    <xf numFmtId="3" fontId="34" fillId="0" borderId="6" xfId="4" applyNumberFormat="1" applyFont="1" applyFill="1" applyBorder="1" applyAlignment="1">
      <alignment vertical="center"/>
    </xf>
    <xf numFmtId="3" fontId="34" fillId="0" borderId="3" xfId="4" applyNumberFormat="1" applyFont="1" applyFill="1" applyBorder="1" applyAlignment="1">
      <alignment vertical="center"/>
    </xf>
    <xf numFmtId="0" fontId="37" fillId="0" borderId="0" xfId="0" applyFont="1"/>
    <xf numFmtId="0" fontId="33" fillId="0" borderId="2" xfId="16" applyFont="1" applyBorder="1" applyAlignment="1"/>
    <xf numFmtId="0" fontId="45" fillId="0" borderId="2" xfId="16" applyFont="1" applyBorder="1" applyAlignment="1">
      <alignment vertical="center"/>
    </xf>
    <xf numFmtId="0" fontId="5" fillId="0" borderId="0" xfId="17" applyFont="1"/>
    <xf numFmtId="0" fontId="46" fillId="0" borderId="2" xfId="16" applyFont="1" applyFill="1" applyBorder="1" applyAlignment="1">
      <alignment horizontal="center" vertical="center"/>
    </xf>
    <xf numFmtId="165" fontId="33" fillId="0" borderId="0" xfId="10" applyNumberFormat="1" applyFont="1" applyFill="1" applyAlignment="1">
      <alignment horizontal="right" wrapText="1"/>
    </xf>
    <xf numFmtId="165" fontId="31" fillId="0" borderId="0" xfId="10" applyNumberFormat="1" applyFont="1" applyFill="1"/>
    <xf numFmtId="165" fontId="33" fillId="0" borderId="0" xfId="10" applyNumberFormat="1" applyFont="1" applyFill="1" applyAlignment="1">
      <alignment horizontal="center" wrapText="1"/>
    </xf>
    <xf numFmtId="0" fontId="33" fillId="0" borderId="0" xfId="4" applyFont="1" applyFill="1" applyAlignment="1">
      <alignment horizontal="right" vertical="center" wrapText="1" readingOrder="2"/>
    </xf>
    <xf numFmtId="165" fontId="33" fillId="0" borderId="0" xfId="10" applyNumberFormat="1" applyFont="1" applyFill="1"/>
    <xf numFmtId="0" fontId="86" fillId="0" borderId="0" xfId="50" applyFont="1" applyFill="1"/>
    <xf numFmtId="165" fontId="32" fillId="0" borderId="2" xfId="10" applyNumberFormat="1" applyFont="1" applyFill="1" applyBorder="1" applyAlignment="1">
      <alignment horizontal="right" vertical="center" wrapText="1"/>
    </xf>
    <xf numFmtId="3" fontId="46" fillId="0" borderId="2" xfId="4" applyNumberFormat="1" applyFont="1" applyFill="1" applyBorder="1" applyAlignment="1">
      <alignment horizontal="right" vertical="center" wrapText="1" readingOrder="2"/>
    </xf>
    <xf numFmtId="165" fontId="33" fillId="0" borderId="2" xfId="10" applyNumberFormat="1" applyFont="1" applyFill="1" applyBorder="1" applyAlignment="1">
      <alignment horizontal="right" wrapText="1"/>
    </xf>
    <xf numFmtId="165" fontId="33" fillId="0" borderId="2" xfId="4" applyNumberFormat="1" applyFont="1" applyFill="1" applyBorder="1" applyAlignment="1">
      <alignment vertical="center" wrapText="1"/>
    </xf>
    <xf numFmtId="165" fontId="33" fillId="0" borderId="2" xfId="10" applyNumberFormat="1" applyFont="1" applyFill="1" applyBorder="1" applyAlignment="1">
      <alignment horizontal="center" wrapText="1"/>
    </xf>
    <xf numFmtId="0" fontId="87" fillId="0" borderId="2" xfId="16" applyFont="1" applyBorder="1" applyAlignment="1">
      <alignment horizontal="right" vertical="center" wrapText="1" readingOrder="2"/>
    </xf>
    <xf numFmtId="165" fontId="33" fillId="0" borderId="2" xfId="10" applyNumberFormat="1" applyFont="1" applyFill="1" applyBorder="1" applyAlignment="1">
      <alignment horizontal="center" vertical="center" wrapText="1"/>
    </xf>
    <xf numFmtId="0" fontId="37" fillId="0" borderId="2" xfId="16" applyFont="1" applyFill="1" applyBorder="1" applyAlignment="1">
      <alignment horizontal="right" vertical="center" wrapText="1" readingOrder="2"/>
    </xf>
    <xf numFmtId="0" fontId="88" fillId="0" borderId="2" xfId="16" applyFont="1" applyFill="1" applyBorder="1" applyAlignment="1">
      <alignment horizontal="right" vertical="center" wrapText="1" readingOrder="2"/>
    </xf>
    <xf numFmtId="165" fontId="32" fillId="0" borderId="2" xfId="4" applyNumberFormat="1" applyFont="1" applyFill="1" applyBorder="1" applyAlignment="1">
      <alignment horizontal="right" vertical="center" wrapText="1"/>
    </xf>
    <xf numFmtId="0" fontId="87" fillId="3" borderId="2" xfId="16" applyFont="1" applyFill="1" applyBorder="1" applyAlignment="1">
      <alignment horizontal="right" vertical="center" wrapText="1" readingOrder="2"/>
    </xf>
    <xf numFmtId="3" fontId="33" fillId="0" borderId="3" xfId="4" applyNumberFormat="1" applyFont="1" applyFill="1" applyBorder="1" applyAlignment="1">
      <alignment vertical="center" wrapText="1"/>
    </xf>
    <xf numFmtId="165" fontId="45" fillId="0" borderId="2" xfId="10" applyNumberFormat="1" applyFont="1" applyFill="1" applyBorder="1" applyAlignment="1">
      <alignment vertical="center" wrapText="1"/>
    </xf>
    <xf numFmtId="165" fontId="87" fillId="0" borderId="2" xfId="16" applyNumberFormat="1" applyFont="1" applyBorder="1" applyAlignment="1">
      <alignment horizontal="right" vertical="center" wrapText="1" readingOrder="2"/>
    </xf>
    <xf numFmtId="165" fontId="45" fillId="0" borderId="2" xfId="4" applyNumberFormat="1" applyFont="1" applyFill="1" applyBorder="1" applyAlignment="1">
      <alignment horizontal="right" vertical="center" wrapText="1"/>
    </xf>
    <xf numFmtId="0" fontId="89" fillId="0" borderId="2" xfId="16" applyFont="1" applyBorder="1" applyAlignment="1">
      <alignment horizontal="right" vertical="center" wrapText="1" readingOrder="2"/>
    </xf>
    <xf numFmtId="0" fontId="37" fillId="0" borderId="0" xfId="16" applyAlignment="1">
      <alignment horizontal="right" vertical="center" wrapText="1" readingOrder="2"/>
    </xf>
    <xf numFmtId="0" fontId="46" fillId="0" borderId="6" xfId="4" applyFont="1" applyFill="1" applyBorder="1" applyAlignment="1">
      <alignment vertical="center" wrapText="1"/>
    </xf>
    <xf numFmtId="0" fontId="37" fillId="0" borderId="0" xfId="16" applyFont="1" applyFill="1"/>
    <xf numFmtId="0" fontId="37" fillId="0" borderId="0" xfId="16" applyAlignment="1">
      <alignment wrapText="1"/>
    </xf>
    <xf numFmtId="0" fontId="37" fillId="0" borderId="0" xfId="16" applyAlignment="1">
      <alignment vertical="center" wrapText="1"/>
    </xf>
    <xf numFmtId="0" fontId="37" fillId="0" borderId="0" xfId="16" applyAlignment="1">
      <alignment vertical="center"/>
    </xf>
    <xf numFmtId="0" fontId="90" fillId="0" borderId="0" xfId="16" applyFont="1" applyBorder="1" applyAlignment="1">
      <alignment vertical="center"/>
    </xf>
    <xf numFmtId="0" fontId="91" fillId="0" borderId="0" xfId="4" applyFont="1" applyFill="1"/>
    <xf numFmtId="3" fontId="33" fillId="0" borderId="0" xfId="4" applyNumberFormat="1" applyFont="1" applyFill="1" applyAlignment="1">
      <alignment horizontal="right" wrapText="1"/>
    </xf>
    <xf numFmtId="0" fontId="37" fillId="0" borderId="46" xfId="16" applyBorder="1" applyAlignment="1">
      <alignment vertical="center"/>
    </xf>
    <xf numFmtId="0" fontId="91" fillId="0" borderId="0" xfId="16" applyFont="1" applyBorder="1" applyAlignment="1">
      <alignment vertical="center"/>
    </xf>
    <xf numFmtId="0" fontId="37" fillId="0" borderId="2" xfId="16" applyFont="1" applyBorder="1" applyAlignment="1">
      <alignment horizontal="center" vertical="center" wrapText="1"/>
    </xf>
    <xf numFmtId="0" fontId="46" fillId="0" borderId="2" xfId="16" applyFont="1" applyBorder="1" applyAlignment="1">
      <alignment horizontal="center" vertical="center"/>
    </xf>
    <xf numFmtId="0" fontId="37" fillId="0" borderId="0" xfId="16" applyAlignment="1">
      <alignment horizontal="center" vertical="center"/>
    </xf>
    <xf numFmtId="0" fontId="37" fillId="0" borderId="2" xfId="16" applyFill="1" applyBorder="1" applyAlignment="1">
      <alignment wrapText="1"/>
    </xf>
    <xf numFmtId="0" fontId="37" fillId="0" borderId="2" xfId="16" applyFont="1" applyFill="1" applyBorder="1" applyAlignment="1">
      <alignment vertical="center" wrapText="1"/>
    </xf>
    <xf numFmtId="0" fontId="37" fillId="0" borderId="2" xfId="16" applyBorder="1" applyAlignment="1">
      <alignment vertical="center" wrapText="1"/>
    </xf>
    <xf numFmtId="3" fontId="37" fillId="0" borderId="2" xfId="16" applyNumberFormat="1" applyBorder="1" applyAlignment="1">
      <alignment vertical="center" wrapText="1"/>
    </xf>
    <xf numFmtId="0" fontId="90" fillId="0" borderId="2" xfId="16" applyFont="1" applyBorder="1" applyAlignment="1">
      <alignment vertical="center"/>
    </xf>
    <xf numFmtId="0" fontId="33" fillId="0" borderId="2" xfId="4" applyFont="1" applyFill="1" applyBorder="1" applyAlignment="1">
      <alignment horizontal="center" vertical="center" wrapText="1"/>
    </xf>
    <xf numFmtId="0" fontId="37" fillId="0" borderId="0" xfId="16" applyAlignment="1">
      <alignment horizontal="center" vertical="top"/>
    </xf>
    <xf numFmtId="0" fontId="37" fillId="0" borderId="2" xfId="16" applyBorder="1" applyAlignment="1">
      <alignment wrapText="1"/>
    </xf>
    <xf numFmtId="0" fontId="92" fillId="3" borderId="2" xfId="16" applyFont="1" applyFill="1" applyBorder="1" applyAlignment="1">
      <alignment vertical="center" wrapText="1"/>
    </xf>
    <xf numFmtId="0" fontId="37" fillId="0" borderId="2" xfId="16" applyFont="1" applyBorder="1" applyAlignment="1">
      <alignment vertical="center" wrapText="1"/>
    </xf>
    <xf numFmtId="0" fontId="37" fillId="0" borderId="2" xfId="16" applyFont="1" applyBorder="1" applyAlignment="1">
      <alignment wrapText="1"/>
    </xf>
    <xf numFmtId="0" fontId="92" fillId="0" borderId="2" xfId="16" applyFont="1" applyBorder="1" applyAlignment="1">
      <alignment vertical="center" wrapText="1"/>
    </xf>
    <xf numFmtId="0" fontId="45" fillId="0" borderId="2" xfId="4" applyFont="1" applyFill="1" applyBorder="1" applyAlignment="1">
      <alignment horizontal="center" vertical="center" wrapText="1" readingOrder="2"/>
    </xf>
    <xf numFmtId="0" fontId="33" fillId="4" borderId="2" xfId="4" applyFont="1" applyFill="1" applyBorder="1" applyAlignment="1">
      <alignment vertical="center" wrapText="1"/>
    </xf>
    <xf numFmtId="0" fontId="37" fillId="4" borderId="2" xfId="16" applyFont="1" applyFill="1" applyBorder="1" applyAlignment="1">
      <alignment wrapText="1"/>
    </xf>
    <xf numFmtId="3" fontId="37" fillId="0" borderId="2" xfId="16" applyNumberFormat="1" applyBorder="1" applyAlignment="1">
      <alignment horizontal="right" vertical="center" wrapText="1"/>
    </xf>
    <xf numFmtId="0" fontId="90" fillId="4" borderId="2" xfId="16" applyFont="1" applyFill="1" applyBorder="1" applyAlignment="1">
      <alignment vertical="center"/>
    </xf>
    <xf numFmtId="0" fontId="37" fillId="3" borderId="2" xfId="16" applyFont="1" applyFill="1" applyBorder="1" applyAlignment="1">
      <alignment vertical="center" wrapText="1"/>
    </xf>
    <xf numFmtId="0" fontId="33" fillId="0" borderId="2" xfId="16" applyFont="1" applyFill="1" applyBorder="1" applyAlignment="1">
      <alignment horizontal="center" vertical="center" wrapText="1"/>
    </xf>
    <xf numFmtId="0" fontId="94" fillId="0" borderId="2" xfId="16" applyFont="1" applyBorder="1" applyAlignment="1">
      <alignment vertical="center" wrapText="1"/>
    </xf>
    <xf numFmtId="0" fontId="90" fillId="0" borderId="2" xfId="16" applyFont="1" applyBorder="1" applyAlignment="1">
      <alignment vertical="center" wrapText="1"/>
    </xf>
    <xf numFmtId="0" fontId="37" fillId="5" borderId="0" xfId="16" applyFill="1"/>
    <xf numFmtId="0" fontId="92" fillId="6" borderId="2" xfId="16" applyFont="1" applyFill="1" applyBorder="1" applyAlignment="1">
      <alignment vertical="center" wrapText="1"/>
    </xf>
    <xf numFmtId="3" fontId="37" fillId="0" borderId="2" xfId="16" applyNumberFormat="1" applyFont="1" applyBorder="1" applyAlignment="1">
      <alignment vertical="center" wrapText="1"/>
    </xf>
    <xf numFmtId="0" fontId="37" fillId="6" borderId="2" xfId="16" applyFill="1" applyBorder="1" applyAlignment="1">
      <alignment wrapText="1"/>
    </xf>
    <xf numFmtId="0" fontId="37" fillId="0" borderId="0" xfId="16" applyFill="1"/>
    <xf numFmtId="0" fontId="45" fillId="5" borderId="2" xfId="16" applyFont="1" applyFill="1" applyBorder="1" applyAlignment="1">
      <alignment vertical="center" wrapText="1"/>
    </xf>
    <xf numFmtId="0" fontId="37" fillId="0" borderId="2" xfId="16" applyFill="1" applyBorder="1" applyAlignment="1">
      <alignment vertical="center" wrapText="1"/>
    </xf>
    <xf numFmtId="0" fontId="90" fillId="0" borderId="2" xfId="16" applyFont="1" applyFill="1" applyBorder="1" applyAlignment="1">
      <alignment vertical="center"/>
    </xf>
    <xf numFmtId="0" fontId="33" fillId="5" borderId="2" xfId="4" applyFont="1" applyFill="1" applyBorder="1" applyAlignment="1">
      <alignment vertical="center" wrapText="1"/>
    </xf>
    <xf numFmtId="0" fontId="37" fillId="5" borderId="2" xfId="16" applyFont="1" applyFill="1" applyBorder="1" applyAlignment="1">
      <alignment wrapText="1"/>
    </xf>
    <xf numFmtId="0" fontId="37" fillId="5" borderId="2" xfId="16" applyFill="1" applyBorder="1" applyAlignment="1">
      <alignment vertical="center" wrapText="1"/>
    </xf>
    <xf numFmtId="3" fontId="37" fillId="5" borderId="2" xfId="16" applyNumberFormat="1" applyFill="1" applyBorder="1" applyAlignment="1">
      <alignment vertical="center" wrapText="1"/>
    </xf>
    <xf numFmtId="0" fontId="37" fillId="5" borderId="2" xfId="16" applyFont="1" applyFill="1" applyBorder="1" applyAlignment="1">
      <alignment vertical="center" wrapText="1"/>
    </xf>
    <xf numFmtId="0" fontId="90" fillId="5" borderId="2" xfId="16" applyFont="1" applyFill="1" applyBorder="1" applyAlignment="1">
      <alignment vertical="center"/>
    </xf>
    <xf numFmtId="0" fontId="92" fillId="0" borderId="2" xfId="16" applyFont="1" applyFill="1" applyBorder="1" applyAlignment="1">
      <alignment vertical="center" wrapText="1"/>
    </xf>
    <xf numFmtId="3" fontId="37" fillId="0" borderId="2" xfId="16" applyNumberFormat="1" applyFill="1" applyBorder="1" applyAlignment="1">
      <alignment vertical="center" wrapText="1"/>
    </xf>
    <xf numFmtId="3" fontId="33" fillId="0" borderId="2" xfId="4" applyNumberFormat="1" applyFont="1" applyFill="1" applyBorder="1" applyAlignment="1">
      <alignment horizontal="center" vertical="center"/>
    </xf>
    <xf numFmtId="0" fontId="37" fillId="0" borderId="2" xfId="16" applyBorder="1"/>
    <xf numFmtId="0" fontId="37" fillId="0" borderId="2" xfId="16" applyFont="1" applyBorder="1" applyAlignment="1">
      <alignment vertical="center"/>
    </xf>
    <xf numFmtId="0" fontId="37" fillId="0" borderId="2" xfId="16" applyBorder="1" applyAlignment="1">
      <alignment vertical="center"/>
    </xf>
    <xf numFmtId="0" fontId="46" fillId="0" borderId="2" xfId="16" applyFont="1" applyFill="1" applyBorder="1"/>
    <xf numFmtId="0" fontId="46" fillId="0" borderId="2" xfId="16" applyFont="1" applyFill="1" applyBorder="1" applyAlignment="1">
      <alignment wrapText="1"/>
    </xf>
    <xf numFmtId="0" fontId="90" fillId="0" borderId="0" xfId="16" applyFont="1" applyAlignment="1">
      <alignment vertical="center"/>
    </xf>
    <xf numFmtId="3" fontId="81" fillId="0" borderId="2" xfId="16" applyNumberFormat="1" applyFont="1" applyFill="1" applyBorder="1" applyAlignment="1">
      <alignment horizontal="right" vertical="center" wrapText="1"/>
    </xf>
    <xf numFmtId="3" fontId="32" fillId="0" borderId="2" xfId="52" applyNumberFormat="1" applyFont="1" applyFill="1" applyBorder="1" applyAlignment="1">
      <alignment horizontal="right" vertical="center" wrapText="1"/>
    </xf>
    <xf numFmtId="3" fontId="33" fillId="7" borderId="2" xfId="16" applyNumberFormat="1" applyFont="1" applyFill="1" applyBorder="1" applyAlignment="1">
      <alignment horizontal="right" vertical="center" wrapText="1"/>
    </xf>
    <xf numFmtId="3" fontId="97" fillId="0" borderId="2" xfId="16" applyNumberFormat="1" applyFont="1" applyFill="1" applyBorder="1" applyAlignment="1">
      <alignment horizontal="right" vertical="center" wrapText="1"/>
    </xf>
    <xf numFmtId="3" fontId="84" fillId="0" borderId="2" xfId="16" applyNumberFormat="1" applyFont="1" applyFill="1" applyBorder="1" applyAlignment="1">
      <alignment horizontal="right" vertical="center" wrapText="1"/>
    </xf>
    <xf numFmtId="0" fontId="33" fillId="0" borderId="2" xfId="4" applyFont="1" applyFill="1" applyBorder="1" applyAlignment="1">
      <alignment horizontal="right" vertical="center" wrapText="1" readingOrder="2"/>
    </xf>
    <xf numFmtId="3" fontId="45" fillId="7" borderId="2" xfId="16" applyNumberFormat="1" applyFont="1" applyFill="1" applyBorder="1" applyAlignment="1">
      <alignment horizontal="right" vertical="center" wrapText="1"/>
    </xf>
    <xf numFmtId="0" fontId="33" fillId="7" borderId="2" xfId="4" applyFont="1" applyFill="1" applyBorder="1" applyAlignment="1">
      <alignment vertical="center" wrapText="1"/>
    </xf>
    <xf numFmtId="3" fontId="32" fillId="0" borderId="2" xfId="53" applyNumberFormat="1" applyFont="1" applyFill="1" applyBorder="1" applyAlignment="1">
      <alignment horizontal="center" vertical="center" wrapText="1"/>
    </xf>
    <xf numFmtId="0" fontId="39" fillId="0" borderId="0" xfId="54" applyFont="1"/>
    <xf numFmtId="0" fontId="39" fillId="0" borderId="0" xfId="54" applyFont="1" applyAlignment="1">
      <alignment wrapText="1"/>
    </xf>
    <xf numFmtId="3" fontId="31" fillId="0" borderId="0" xfId="54" applyNumberFormat="1" applyFont="1"/>
    <xf numFmtId="0" fontId="31" fillId="0" borderId="0" xfId="54" applyFont="1"/>
    <xf numFmtId="0" fontId="31" fillId="0" borderId="0" xfId="54" applyFont="1" applyAlignment="1">
      <alignment wrapText="1"/>
    </xf>
    <xf numFmtId="0" fontId="33" fillId="0" borderId="0" xfId="54" applyFont="1" applyAlignment="1">
      <alignment wrapText="1"/>
    </xf>
    <xf numFmtId="0" fontId="33" fillId="0" borderId="0" xfId="54" applyFont="1"/>
    <xf numFmtId="0" fontId="3" fillId="0" borderId="0" xfId="54"/>
    <xf numFmtId="3" fontId="39" fillId="0" borderId="0" xfId="54" applyNumberFormat="1" applyFont="1"/>
    <xf numFmtId="3" fontId="32" fillId="0" borderId="2" xfId="54" applyNumberFormat="1" applyFont="1" applyBorder="1" applyAlignment="1">
      <alignment horizontal="right" vertical="center" wrapText="1"/>
    </xf>
    <xf numFmtId="0" fontId="33" fillId="0" borderId="2" xfId="54" applyFont="1" applyBorder="1" applyAlignment="1">
      <alignment vertical="center" wrapText="1"/>
    </xf>
    <xf numFmtId="0" fontId="47" fillId="0" borderId="0" xfId="4" applyFont="1" applyAlignment="1">
      <alignment wrapText="1"/>
    </xf>
    <xf numFmtId="0" fontId="39" fillId="0" borderId="0" xfId="56" applyFont="1" applyFill="1" applyAlignment="1"/>
    <xf numFmtId="3" fontId="39" fillId="0" borderId="0" xfId="56" applyNumberFormat="1" applyFont="1" applyFill="1" applyAlignment="1"/>
    <xf numFmtId="0" fontId="3" fillId="0" borderId="0" xfId="56" applyFill="1"/>
    <xf numFmtId="3" fontId="33" fillId="0" borderId="2" xfId="53" applyNumberFormat="1" applyFont="1" applyFill="1" applyBorder="1" applyAlignment="1">
      <alignment vertical="center" wrapText="1"/>
    </xf>
    <xf numFmtId="0" fontId="39" fillId="0" borderId="0" xfId="53" applyFont="1" applyAlignment="1"/>
    <xf numFmtId="3" fontId="31" fillId="0" borderId="0" xfId="53" applyNumberFormat="1" applyFont="1"/>
    <xf numFmtId="0" fontId="31" fillId="0" borderId="0" xfId="53" applyFont="1"/>
    <xf numFmtId="0" fontId="31" fillId="0" borderId="0" xfId="53" applyFont="1" applyAlignment="1"/>
    <xf numFmtId="0" fontId="3" fillId="0" borderId="0" xfId="53"/>
    <xf numFmtId="0" fontId="33" fillId="0" borderId="0" xfId="53" applyFont="1"/>
    <xf numFmtId="0" fontId="33" fillId="0" borderId="0" xfId="53" applyFont="1" applyAlignment="1"/>
    <xf numFmtId="3" fontId="33" fillId="0" borderId="0" xfId="53" applyNumberFormat="1" applyFont="1"/>
    <xf numFmtId="3" fontId="32" fillId="0" borderId="2" xfId="53" applyNumberFormat="1" applyFont="1" applyBorder="1" applyAlignment="1">
      <alignment horizontal="right" vertical="center" wrapText="1"/>
    </xf>
    <xf numFmtId="3" fontId="32" fillId="0" borderId="2" xfId="53" applyNumberFormat="1" applyFont="1" applyBorder="1" applyAlignment="1">
      <alignment horizontal="right" vertical="center"/>
    </xf>
    <xf numFmtId="0" fontId="33" fillId="0" borderId="2" xfId="53" applyFont="1" applyBorder="1" applyAlignment="1">
      <alignment vertical="center" wrapText="1"/>
    </xf>
    <xf numFmtId="3" fontId="33" fillId="0" borderId="2" xfId="53" applyNumberFormat="1" applyFont="1" applyBorder="1" applyAlignment="1">
      <alignment vertical="center" wrapText="1"/>
    </xf>
    <xf numFmtId="0" fontId="46" fillId="0" borderId="2" xfId="53" applyFont="1" applyBorder="1" applyAlignment="1">
      <alignment vertical="center" wrapText="1"/>
    </xf>
    <xf numFmtId="0" fontId="3" fillId="0" borderId="2" xfId="53" applyBorder="1"/>
    <xf numFmtId="0" fontId="32" fillId="0" borderId="2" xfId="53" applyFont="1" applyFill="1" applyBorder="1" applyAlignment="1">
      <alignment vertical="center" wrapText="1"/>
    </xf>
    <xf numFmtId="0" fontId="3" fillId="0" borderId="0" xfId="53" applyBorder="1"/>
    <xf numFmtId="0" fontId="33" fillId="0" borderId="0" xfId="53" applyFont="1" applyBorder="1" applyAlignment="1"/>
    <xf numFmtId="0" fontId="33" fillId="0" borderId="0" xfId="53" applyFont="1" applyBorder="1"/>
    <xf numFmtId="3" fontId="33" fillId="0" borderId="0" xfId="53" applyNumberFormat="1" applyFont="1" applyBorder="1"/>
    <xf numFmtId="3" fontId="32" fillId="0" borderId="2" xfId="56" applyNumberFormat="1" applyFont="1" applyBorder="1" applyAlignment="1">
      <alignment horizontal="right" vertical="center"/>
    </xf>
    <xf numFmtId="3" fontId="32" fillId="0" borderId="2" xfId="57" applyNumberFormat="1" applyFont="1" applyBorder="1" applyAlignment="1">
      <alignment horizontal="right" vertical="center" wrapText="1"/>
    </xf>
    <xf numFmtId="0" fontId="45" fillId="0" borderId="2" xfId="4" applyFont="1" applyFill="1" applyBorder="1" applyAlignment="1">
      <alignment horizontal="right" vertical="center" wrapText="1" readingOrder="2"/>
    </xf>
    <xf numFmtId="0" fontId="37" fillId="0" borderId="2" xfId="16" applyFont="1" applyBorder="1"/>
    <xf numFmtId="0" fontId="83" fillId="0" borderId="0" xfId="58" applyFont="1"/>
    <xf numFmtId="0" fontId="81" fillId="0" borderId="2" xfId="4" quotePrefix="1" applyFont="1" applyFill="1" applyBorder="1" applyAlignment="1">
      <alignment vertical="center"/>
    </xf>
    <xf numFmtId="3" fontId="32" fillId="0" borderId="3" xfId="4" applyNumberFormat="1" applyFont="1" applyFill="1" applyBorder="1" applyAlignment="1">
      <alignment horizontal="right" vertical="center" wrapText="1"/>
    </xf>
    <xf numFmtId="3" fontId="32" fillId="0" borderId="2" xfId="59" applyNumberFormat="1" applyFont="1" applyBorder="1" applyAlignment="1">
      <alignment horizontal="right" vertical="center" wrapText="1"/>
    </xf>
    <xf numFmtId="0" fontId="79" fillId="0" borderId="2" xfId="4" applyFont="1" applyFill="1" applyBorder="1" applyAlignment="1">
      <alignment vertical="center" wrapText="1"/>
    </xf>
    <xf numFmtId="3" fontId="31" fillId="0" borderId="2" xfId="16" applyNumberFormat="1" applyFont="1" applyFill="1" applyBorder="1"/>
    <xf numFmtId="3" fontId="32" fillId="0" borderId="2" xfId="16" applyNumberFormat="1" applyFont="1" applyFill="1" applyBorder="1"/>
    <xf numFmtId="3" fontId="32" fillId="0" borderId="2" xfId="60" applyNumberFormat="1" applyFont="1" applyFill="1" applyBorder="1" applyAlignment="1">
      <alignment horizontal="right" vertical="center" wrapText="1"/>
    </xf>
    <xf numFmtId="0" fontId="43" fillId="0" borderId="2" xfId="4" applyFont="1" applyFill="1" applyBorder="1" applyAlignment="1">
      <alignment vertical="center" wrapText="1"/>
    </xf>
    <xf numFmtId="3" fontId="33" fillId="3" borderId="2" xfId="4" applyNumberFormat="1" applyFont="1" applyFill="1" applyBorder="1" applyAlignment="1">
      <alignment vertical="center" wrapText="1"/>
    </xf>
    <xf numFmtId="0" fontId="81" fillId="0" borderId="5" xfId="4" quotePrefix="1" applyFont="1" applyFill="1" applyBorder="1" applyAlignment="1">
      <alignment vertical="center"/>
    </xf>
    <xf numFmtId="0" fontId="81" fillId="0" borderId="6" xfId="4" quotePrefix="1" applyFont="1" applyFill="1" applyBorder="1" applyAlignment="1">
      <alignment vertical="center"/>
    </xf>
    <xf numFmtId="0" fontId="81" fillId="0" borderId="0" xfId="4" quotePrefix="1" applyFont="1" applyFill="1" applyBorder="1" applyAlignment="1">
      <alignment vertical="center"/>
    </xf>
    <xf numFmtId="0" fontId="39" fillId="0" borderId="0" xfId="62" applyFont="1" applyFill="1" applyAlignment="1"/>
    <xf numFmtId="3" fontId="39" fillId="0" borderId="0" xfId="62" applyNumberFormat="1" applyFont="1" applyFill="1" applyAlignment="1"/>
    <xf numFmtId="0" fontId="2" fillId="0" borderId="0" xfId="62" applyFill="1"/>
    <xf numFmtId="3" fontId="33" fillId="0" borderId="2" xfId="60" applyNumberFormat="1" applyFont="1" applyFill="1" applyBorder="1" applyAlignment="1">
      <alignment vertical="center" wrapText="1"/>
    </xf>
    <xf numFmtId="0" fontId="33" fillId="0" borderId="2" xfId="60" applyFont="1" applyFill="1" applyBorder="1" applyAlignment="1">
      <alignment vertical="center" wrapText="1"/>
    </xf>
    <xf numFmtId="0" fontId="32" fillId="0" borderId="2" xfId="60" applyFont="1" applyFill="1" applyBorder="1" applyAlignment="1">
      <alignment vertical="center" wrapText="1"/>
    </xf>
    <xf numFmtId="0" fontId="2" fillId="0" borderId="0" xfId="60" applyBorder="1"/>
    <xf numFmtId="0" fontId="33" fillId="0" borderId="0" xfId="60" applyFont="1" applyBorder="1" applyAlignment="1"/>
    <xf numFmtId="0" fontId="33" fillId="0" borderId="0" xfId="60" applyFont="1" applyBorder="1"/>
    <xf numFmtId="3" fontId="33" fillId="0" borderId="0" xfId="60" applyNumberFormat="1" applyFont="1" applyBorder="1"/>
    <xf numFmtId="0" fontId="32" fillId="0" borderId="3" xfId="16" applyFont="1" applyBorder="1" applyAlignment="1">
      <alignment horizontal="right" vertical="center" wrapText="1"/>
    </xf>
    <xf numFmtId="3" fontId="32" fillId="0" borderId="2" xfId="62" applyNumberFormat="1" applyFont="1" applyBorder="1" applyAlignment="1">
      <alignment horizontal="right" vertical="center"/>
    </xf>
    <xf numFmtId="0" fontId="32" fillId="0" borderId="3" xfId="16" applyFont="1" applyFill="1" applyBorder="1" applyAlignment="1">
      <alignment horizontal="right" vertical="center" wrapText="1"/>
    </xf>
    <xf numFmtId="3" fontId="32" fillId="0" borderId="2" xfId="63" applyNumberFormat="1" applyFont="1" applyBorder="1" applyAlignment="1">
      <alignment horizontal="right" vertical="center" wrapText="1"/>
    </xf>
    <xf numFmtId="165" fontId="38" fillId="0" borderId="0" xfId="10" applyNumberFormat="1" applyFont="1" applyFill="1" applyBorder="1"/>
    <xf numFmtId="165" fontId="70" fillId="0" borderId="0" xfId="10" applyNumberFormat="1" applyFont="1" applyFill="1" applyBorder="1"/>
    <xf numFmtId="0" fontId="35" fillId="0" borderId="2" xfId="4" applyFont="1" applyFill="1" applyBorder="1" applyAlignment="1">
      <alignment horizontal="center" vertical="center"/>
    </xf>
    <xf numFmtId="0" fontId="35" fillId="0" borderId="2" xfId="4" applyFont="1" applyFill="1" applyBorder="1"/>
    <xf numFmtId="165" fontId="35" fillId="0" borderId="2" xfId="10" applyNumberFormat="1" applyFont="1" applyFill="1" applyBorder="1"/>
    <xf numFmtId="165" fontId="35" fillId="0" borderId="2" xfId="10" applyNumberFormat="1" applyFont="1" applyFill="1" applyBorder="1" applyAlignment="1">
      <alignment vertical="center" wrapText="1"/>
    </xf>
    <xf numFmtId="10" fontId="35" fillId="0" borderId="2" xfId="9" applyNumberFormat="1" applyFont="1" applyFill="1" applyBorder="1" applyAlignment="1">
      <alignment vertical="center" wrapText="1"/>
    </xf>
    <xf numFmtId="165" fontId="34" fillId="0" borderId="2" xfId="10" applyNumberFormat="1" applyFont="1" applyFill="1" applyBorder="1" applyAlignment="1">
      <alignment vertical="center"/>
    </xf>
    <xf numFmtId="3" fontId="47" fillId="0" borderId="2" xfId="4" applyNumberFormat="1" applyFont="1" applyFill="1" applyBorder="1" applyAlignment="1">
      <alignment vertical="center"/>
    </xf>
    <xf numFmtId="165" fontId="34" fillId="0" borderId="0" xfId="10" applyNumberFormat="1" applyFont="1" applyFill="1" applyBorder="1"/>
    <xf numFmtId="0" fontId="98" fillId="0" borderId="0" xfId="17" applyFont="1" applyAlignment="1">
      <alignment horizontal="right" vertical="center" readingOrder="2"/>
    </xf>
    <xf numFmtId="0" fontId="52" fillId="0" borderId="2" xfId="17" applyFont="1" applyBorder="1" applyAlignment="1">
      <alignment horizontal="right" vertical="center" readingOrder="2"/>
    </xf>
    <xf numFmtId="0" fontId="34" fillId="0" borderId="14" xfId="16" applyFont="1" applyFill="1" applyBorder="1"/>
    <xf numFmtId="0" fontId="34" fillId="0" borderId="18" xfId="16" applyFont="1" applyFill="1" applyBorder="1" applyAlignment="1">
      <alignment horizontal="center" vertical="center" wrapText="1"/>
    </xf>
    <xf numFmtId="0" fontId="34" fillId="0" borderId="18" xfId="16" applyFont="1" applyFill="1" applyBorder="1"/>
    <xf numFmtId="0" fontId="34" fillId="0" borderId="2" xfId="16" applyFont="1" applyFill="1" applyBorder="1"/>
    <xf numFmtId="0" fontId="34" fillId="0" borderId="2" xfId="16" applyFont="1" applyFill="1" applyBorder="1" applyAlignment="1"/>
    <xf numFmtId="0" fontId="35" fillId="0" borderId="0" xfId="16" applyFont="1" applyFill="1"/>
    <xf numFmtId="0" fontId="34" fillId="0" borderId="18" xfId="16" applyFont="1" applyFill="1" applyBorder="1" applyAlignment="1">
      <alignment horizontal="right" vertical="center"/>
    </xf>
    <xf numFmtId="0" fontId="34" fillId="0" borderId="0" xfId="16" applyFont="1" applyFill="1" applyAlignment="1">
      <alignment vertical="center"/>
    </xf>
    <xf numFmtId="0" fontId="35" fillId="0" borderId="18" xfId="16" applyFont="1" applyFill="1" applyBorder="1" applyAlignment="1">
      <alignment horizontal="right" vertical="center"/>
    </xf>
    <xf numFmtId="0" fontId="35" fillId="0" borderId="2" xfId="16" applyFont="1" applyFill="1" applyBorder="1" applyAlignment="1">
      <alignment horizontal="right" vertical="center"/>
    </xf>
    <xf numFmtId="0" fontId="34" fillId="0" borderId="2" xfId="16" applyFont="1" applyFill="1" applyBorder="1" applyAlignment="1">
      <alignment vertical="center" wrapText="1"/>
    </xf>
    <xf numFmtId="0" fontId="34" fillId="0" borderId="2" xfId="16" applyFont="1" applyFill="1" applyBorder="1" applyAlignment="1">
      <alignment horizontal="right" vertical="center" wrapText="1"/>
    </xf>
    <xf numFmtId="0" fontId="35" fillId="0" borderId="2" xfId="16" applyFont="1" applyFill="1" applyBorder="1" applyAlignment="1">
      <alignment horizontal="center" vertical="center" wrapText="1"/>
    </xf>
    <xf numFmtId="0" fontId="34" fillId="0" borderId="0" xfId="16" applyFont="1" applyFill="1" applyAlignment="1">
      <alignment horizontal="center" vertical="center" wrapText="1"/>
    </xf>
    <xf numFmtId="0" fontId="35" fillId="0" borderId="18" xfId="16" applyFont="1" applyFill="1" applyBorder="1"/>
    <xf numFmtId="0" fontId="34" fillId="0" borderId="2" xfId="4" applyFont="1" applyFill="1" applyBorder="1" applyAlignment="1">
      <alignment vertical="center" wrapText="1"/>
    </xf>
    <xf numFmtId="0" fontId="34" fillId="0" borderId="18" xfId="16" applyFont="1" applyFill="1" applyBorder="1" applyAlignment="1">
      <alignment horizontal="right" vertical="center" wrapText="1"/>
    </xf>
    <xf numFmtId="0" fontId="31" fillId="0" borderId="18" xfId="16" applyFont="1" applyFill="1" applyBorder="1" applyAlignment="1">
      <alignment vertical="center"/>
    </xf>
    <xf numFmtId="3" fontId="35" fillId="0" borderId="2" xfId="16" applyNumberFormat="1" applyFont="1" applyFill="1" applyBorder="1" applyAlignment="1">
      <alignment vertical="center"/>
    </xf>
    <xf numFmtId="0" fontId="34" fillId="0" borderId="0" xfId="16" applyFont="1" applyFill="1" applyBorder="1" applyAlignment="1">
      <alignment vertical="center"/>
    </xf>
    <xf numFmtId="0" fontId="35" fillId="0" borderId="20" xfId="16" applyFont="1" applyFill="1" applyBorder="1"/>
    <xf numFmtId="0" fontId="35" fillId="0" borderId="0" xfId="16" applyFont="1" applyFill="1" applyBorder="1"/>
    <xf numFmtId="0" fontId="99" fillId="0" borderId="0" xfId="16" applyFont="1" applyFill="1" applyBorder="1"/>
    <xf numFmtId="0" fontId="98" fillId="0" borderId="0" xfId="16" applyFont="1" applyFill="1"/>
    <xf numFmtId="0" fontId="35" fillId="0" borderId="0" xfId="16" applyFont="1" applyFill="1" applyAlignment="1">
      <alignment vertical="center"/>
    </xf>
    <xf numFmtId="0" fontId="34" fillId="0" borderId="2" xfId="16" applyFont="1" applyFill="1" applyBorder="1" applyAlignment="1">
      <alignment wrapText="1"/>
    </xf>
    <xf numFmtId="0" fontId="87" fillId="0" borderId="2" xfId="0" applyFont="1" applyBorder="1" applyAlignment="1">
      <alignment horizontal="right" vertical="center" wrapText="1" readingOrder="2"/>
    </xf>
    <xf numFmtId="165" fontId="87" fillId="0" borderId="2" xfId="0" applyNumberFormat="1" applyFont="1" applyBorder="1" applyAlignment="1">
      <alignment horizontal="right" vertical="center" wrapText="1" readingOrder="2"/>
    </xf>
    <xf numFmtId="0" fontId="0" fillId="0" borderId="0" xfId="0" applyAlignment="1">
      <alignment horizontal="right" vertical="center" wrapText="1" readingOrder="2"/>
    </xf>
    <xf numFmtId="0" fontId="45" fillId="0" borderId="2" xfId="16" applyFont="1" applyFill="1" applyBorder="1"/>
    <xf numFmtId="165" fontId="33" fillId="0" borderId="0" xfId="12" applyNumberFormat="1" applyFont="1" applyFill="1"/>
    <xf numFmtId="165" fontId="33" fillId="0" borderId="0" xfId="16" applyNumberFormat="1" applyFont="1" applyFill="1"/>
    <xf numFmtId="165" fontId="104" fillId="0" borderId="0" xfId="12" applyNumberFormat="1" applyFont="1" applyFill="1"/>
    <xf numFmtId="165" fontId="45" fillId="0" borderId="0" xfId="12" applyNumberFormat="1" applyFont="1" applyFill="1"/>
    <xf numFmtId="165" fontId="45" fillId="0" borderId="2" xfId="12" applyNumberFormat="1" applyFont="1" applyFill="1" applyBorder="1" applyAlignment="1">
      <alignment vertical="center" wrapText="1"/>
    </xf>
    <xf numFmtId="165" fontId="32" fillId="0" borderId="2" xfId="16" applyNumberFormat="1" applyFont="1" applyFill="1" applyBorder="1" applyAlignment="1">
      <alignment vertical="center" wrapText="1"/>
    </xf>
    <xf numFmtId="165" fontId="45" fillId="0" borderId="2" xfId="12" applyNumberFormat="1" applyFont="1" applyFill="1" applyBorder="1"/>
    <xf numFmtId="165" fontId="45" fillId="0" borderId="2" xfId="12" applyNumberFormat="1" applyFont="1" applyFill="1" applyBorder="1" applyAlignment="1">
      <alignment wrapText="1"/>
    </xf>
    <xf numFmtId="165" fontId="46" fillId="0" borderId="2" xfId="4" applyNumberFormat="1" applyFont="1" applyFill="1" applyBorder="1" applyAlignment="1">
      <alignment vertical="center" wrapText="1"/>
    </xf>
    <xf numFmtId="0" fontId="67" fillId="4" borderId="2" xfId="4" applyFont="1" applyFill="1" applyBorder="1" applyAlignment="1">
      <alignment vertical="center" wrapText="1"/>
    </xf>
    <xf numFmtId="0" fontId="67" fillId="4" borderId="2" xfId="16" applyFont="1" applyFill="1" applyBorder="1" applyAlignment="1">
      <alignment vertical="center" wrapText="1"/>
    </xf>
    <xf numFmtId="0" fontId="33" fillId="0" borderId="0" xfId="16" applyFont="1" applyFill="1" applyBorder="1" applyAlignment="1"/>
    <xf numFmtId="0" fontId="37" fillId="0" borderId="0" xfId="16" applyFont="1" applyFill="1" applyBorder="1"/>
    <xf numFmtId="0" fontId="37" fillId="0" borderId="0" xfId="16" applyBorder="1" applyAlignment="1">
      <alignment wrapText="1"/>
    </xf>
    <xf numFmtId="0" fontId="37" fillId="0" borderId="0" xfId="16" applyBorder="1" applyAlignment="1">
      <alignment vertical="center" wrapText="1"/>
    </xf>
    <xf numFmtId="0" fontId="37" fillId="0" borderId="0" xfId="16" applyBorder="1"/>
    <xf numFmtId="0" fontId="37" fillId="0" borderId="0" xfId="16" applyBorder="1" applyAlignment="1">
      <alignment vertical="center"/>
    </xf>
    <xf numFmtId="0" fontId="45" fillId="0" borderId="0" xfId="16" applyFont="1" applyBorder="1" applyAlignment="1">
      <alignment vertical="center"/>
    </xf>
    <xf numFmtId="0" fontId="45" fillId="0" borderId="0" xfId="16" applyFont="1" applyFill="1" applyBorder="1" applyAlignment="1"/>
    <xf numFmtId="0" fontId="37" fillId="0" borderId="0" xfId="16" applyFont="1" applyFill="1" applyBorder="1" applyAlignment="1">
      <alignment horizontal="center" vertical="center"/>
    </xf>
    <xf numFmtId="0" fontId="47" fillId="0" borderId="0" xfId="4" applyFont="1" applyFill="1" applyBorder="1" applyAlignment="1">
      <alignment wrapText="1"/>
    </xf>
    <xf numFmtId="0" fontId="47" fillId="0" borderId="0" xfId="4" applyFont="1" applyFill="1" applyBorder="1" applyAlignment="1">
      <alignment horizontal="center" vertical="center" wrapText="1"/>
    </xf>
    <xf numFmtId="3" fontId="33" fillId="0" borderId="8" xfId="4" applyNumberFormat="1" applyFont="1" applyFill="1" applyBorder="1" applyAlignment="1">
      <alignment vertical="center" wrapText="1"/>
    </xf>
    <xf numFmtId="165" fontId="33" fillId="0" borderId="0" xfId="12" applyNumberFormat="1" applyFont="1" applyFill="1" applyAlignment="1">
      <alignment horizontal="right" vertical="center" wrapText="1" readingOrder="2"/>
    </xf>
    <xf numFmtId="165" fontId="46" fillId="0" borderId="2" xfId="12" applyNumberFormat="1" applyFont="1" applyFill="1" applyBorder="1" applyAlignment="1">
      <alignment horizontal="right" vertical="center" wrapText="1" readingOrder="2"/>
    </xf>
    <xf numFmtId="165" fontId="87" fillId="0" borderId="2" xfId="12" applyNumberFormat="1" applyFont="1" applyBorder="1" applyAlignment="1">
      <alignment horizontal="right" vertical="center" wrapText="1" readingOrder="2"/>
    </xf>
    <xf numFmtId="165" fontId="33" fillId="0" borderId="2" xfId="12" applyNumberFormat="1" applyFont="1" applyFill="1" applyBorder="1" applyAlignment="1">
      <alignment vertical="center" wrapText="1"/>
    </xf>
    <xf numFmtId="165" fontId="0" fillId="0" borderId="0" xfId="12" applyNumberFormat="1" applyFont="1" applyAlignment="1">
      <alignment horizontal="right" vertical="center" wrapText="1" readingOrder="2"/>
    </xf>
    <xf numFmtId="165" fontId="31" fillId="0" borderId="0" xfId="12" applyNumberFormat="1" applyFont="1" applyFill="1"/>
    <xf numFmtId="165" fontId="46" fillId="0" borderId="2" xfId="12" applyNumberFormat="1" applyFont="1" applyFill="1" applyBorder="1" applyAlignment="1">
      <alignment vertical="center" wrapText="1"/>
    </xf>
    <xf numFmtId="165" fontId="45" fillId="0" borderId="2" xfId="12" applyNumberFormat="1" applyFont="1" applyFill="1" applyBorder="1" applyAlignment="1">
      <alignment horizontal="right" vertical="center" wrapText="1"/>
    </xf>
    <xf numFmtId="165" fontId="45" fillId="0" borderId="2" xfId="12" applyNumberFormat="1" applyFont="1" applyFill="1" applyBorder="1" applyAlignment="1">
      <alignment horizontal="right" vertical="center" wrapText="1" readingOrder="2"/>
    </xf>
    <xf numFmtId="165" fontId="33" fillId="0" borderId="2" xfId="12" applyNumberFormat="1" applyFont="1" applyFill="1" applyBorder="1"/>
    <xf numFmtId="165" fontId="37" fillId="0" borderId="0" xfId="12" applyNumberFormat="1" applyFont="1" applyAlignment="1">
      <alignment vertical="center"/>
    </xf>
    <xf numFmtId="165" fontId="37" fillId="0" borderId="46" xfId="12" applyNumberFormat="1" applyFont="1" applyBorder="1" applyAlignment="1">
      <alignment vertical="center"/>
    </xf>
    <xf numFmtId="165" fontId="45" fillId="0" borderId="2" xfId="12" applyNumberFormat="1" applyFont="1" applyBorder="1" applyAlignment="1">
      <alignment vertical="center" wrapText="1"/>
    </xf>
    <xf numFmtId="165" fontId="45" fillId="5" borderId="2" xfId="12" applyNumberFormat="1" applyFont="1" applyFill="1" applyBorder="1" applyAlignment="1">
      <alignment vertical="center" wrapText="1"/>
    </xf>
    <xf numFmtId="165" fontId="67" fillId="4" borderId="2" xfId="12" applyNumberFormat="1" applyFont="1" applyFill="1" applyBorder="1" applyAlignment="1">
      <alignment vertical="center" wrapText="1"/>
    </xf>
    <xf numFmtId="165" fontId="45" fillId="0" borderId="0" xfId="12" applyNumberFormat="1" applyFont="1" applyBorder="1" applyAlignment="1">
      <alignment vertical="center"/>
    </xf>
    <xf numFmtId="165" fontId="45" fillId="4" borderId="2" xfId="12" applyNumberFormat="1" applyFont="1" applyFill="1" applyBorder="1" applyAlignment="1">
      <alignment vertical="center" wrapText="1"/>
    </xf>
    <xf numFmtId="165" fontId="33" fillId="0" borderId="0" xfId="12" applyNumberFormat="1" applyFont="1"/>
    <xf numFmtId="165" fontId="33" fillId="0" borderId="2" xfId="12" applyNumberFormat="1" applyFont="1" applyBorder="1" applyAlignment="1">
      <alignment vertical="center" wrapText="1"/>
    </xf>
    <xf numFmtId="165" fontId="33" fillId="0" borderId="2" xfId="12" applyNumberFormat="1" applyFont="1" applyFill="1" applyBorder="1" applyAlignment="1">
      <alignment wrapText="1"/>
    </xf>
    <xf numFmtId="165" fontId="33" fillId="0" borderId="0" xfId="12" applyNumberFormat="1" applyFont="1" applyFill="1" applyAlignment="1">
      <alignment vertical="center" wrapText="1"/>
    </xf>
    <xf numFmtId="165" fontId="3" fillId="0" borderId="0" xfId="12" applyNumberFormat="1" applyFont="1"/>
    <xf numFmtId="165" fontId="46" fillId="0" borderId="2" xfId="12" applyNumberFormat="1" applyFont="1" applyBorder="1" applyAlignment="1">
      <alignment vertical="center" wrapText="1"/>
    </xf>
    <xf numFmtId="165" fontId="3" fillId="0" borderId="0" xfId="12" applyNumberFormat="1" applyFont="1" applyBorder="1"/>
    <xf numFmtId="165" fontId="37" fillId="0" borderId="0" xfId="12" applyNumberFormat="1" applyFont="1"/>
    <xf numFmtId="3" fontId="33" fillId="3" borderId="6" xfId="4" applyNumberFormat="1" applyFont="1" applyFill="1" applyBorder="1" applyAlignment="1">
      <alignment vertical="center" wrapText="1"/>
    </xf>
    <xf numFmtId="3" fontId="33" fillId="7" borderId="2" xfId="16" applyNumberFormat="1" applyFont="1" applyFill="1" applyBorder="1" applyAlignment="1">
      <alignment vertical="center" wrapText="1"/>
    </xf>
    <xf numFmtId="3" fontId="33" fillId="3" borderId="2" xfId="53" applyNumberFormat="1" applyFont="1" applyFill="1" applyBorder="1" applyAlignment="1">
      <alignment vertical="center" wrapText="1"/>
    </xf>
    <xf numFmtId="0" fontId="37" fillId="0" borderId="2" xfId="16" applyFill="1" applyBorder="1"/>
    <xf numFmtId="3" fontId="98" fillId="0" borderId="2" xfId="16" applyNumberFormat="1" applyFont="1" applyFill="1" applyBorder="1" applyAlignment="1">
      <alignment vertical="center"/>
    </xf>
    <xf numFmtId="3" fontId="32" fillId="0" borderId="3" xfId="16" applyNumberFormat="1" applyFont="1" applyFill="1" applyBorder="1" applyAlignment="1">
      <alignment horizontal="right" vertical="center" wrapText="1"/>
    </xf>
    <xf numFmtId="0" fontId="33" fillId="0" borderId="2" xfId="16" applyFont="1" applyFill="1" applyBorder="1" applyAlignment="1"/>
    <xf numFmtId="0" fontId="39" fillId="0" borderId="0" xfId="16" applyFont="1" applyFill="1" applyBorder="1" applyAlignment="1"/>
    <xf numFmtId="0" fontId="39" fillId="0" borderId="0" xfId="16" applyFont="1" applyFill="1" applyBorder="1" applyAlignment="1">
      <alignment wrapText="1"/>
    </xf>
    <xf numFmtId="0" fontId="33" fillId="0" borderId="2" xfId="4" applyFont="1" applyFill="1" applyBorder="1" applyAlignment="1"/>
    <xf numFmtId="0" fontId="82" fillId="0" borderId="2" xfId="4" applyFont="1" applyFill="1" applyBorder="1"/>
    <xf numFmtId="0" fontId="39" fillId="0" borderId="0" xfId="61" applyFont="1" applyFill="1"/>
    <xf numFmtId="0" fontId="39" fillId="0" borderId="0" xfId="61" applyFont="1" applyFill="1" applyAlignment="1">
      <alignment wrapText="1"/>
    </xf>
    <xf numFmtId="3" fontId="31" fillId="0" borderId="0" xfId="61" applyNumberFormat="1" applyFont="1" applyFill="1"/>
    <xf numFmtId="0" fontId="31" fillId="0" borderId="0" xfId="61" applyFont="1" applyFill="1"/>
    <xf numFmtId="0" fontId="31" fillId="0" borderId="0" xfId="61" applyFont="1" applyFill="1" applyAlignment="1">
      <alignment wrapText="1"/>
    </xf>
    <xf numFmtId="0" fontId="33" fillId="0" borderId="0" xfId="61" applyFont="1" applyFill="1"/>
    <xf numFmtId="0" fontId="2" fillId="0" borderId="0" xfId="61" applyFill="1"/>
    <xf numFmtId="3" fontId="39" fillId="0" borderId="0" xfId="61" applyNumberFormat="1" applyFont="1" applyFill="1"/>
    <xf numFmtId="3" fontId="32" fillId="0" borderId="2" xfId="61" applyNumberFormat="1" applyFont="1" applyFill="1" applyBorder="1" applyAlignment="1">
      <alignment horizontal="right" vertical="center" wrapText="1"/>
    </xf>
    <xf numFmtId="0" fontId="32" fillId="0" borderId="0" xfId="4" applyFont="1" applyFill="1" applyAlignment="1">
      <alignment horizontal="right" vertical="center" wrapText="1"/>
    </xf>
    <xf numFmtId="0" fontId="80" fillId="0" borderId="0" xfId="16" applyFont="1" applyFill="1"/>
    <xf numFmtId="3" fontId="32" fillId="0" borderId="2" xfId="61" applyNumberFormat="1" applyFont="1" applyFill="1" applyBorder="1" applyAlignment="1">
      <alignment horizontal="right" vertical="center"/>
    </xf>
    <xf numFmtId="0" fontId="39" fillId="0" borderId="0" xfId="60" applyFont="1" applyFill="1" applyAlignment="1"/>
    <xf numFmtId="3" fontId="31" fillId="0" borderId="0" xfId="60" applyNumberFormat="1" applyFont="1" applyFill="1"/>
    <xf numFmtId="0" fontId="31" fillId="0" borderId="0" xfId="60" applyFont="1" applyFill="1"/>
    <xf numFmtId="0" fontId="31" fillId="0" borderId="0" xfId="60" applyFont="1" applyFill="1" applyAlignment="1"/>
    <xf numFmtId="0" fontId="2" fillId="0" borderId="0" xfId="60" applyFill="1"/>
    <xf numFmtId="0" fontId="33" fillId="0" borderId="0" xfId="60" applyFont="1" applyFill="1"/>
    <xf numFmtId="0" fontId="33" fillId="0" borderId="2" xfId="60" applyFont="1" applyFill="1" applyBorder="1" applyAlignment="1"/>
    <xf numFmtId="0" fontId="33" fillId="0" borderId="2" xfId="60" applyFont="1" applyFill="1" applyBorder="1"/>
    <xf numFmtId="3" fontId="33" fillId="0" borderId="0" xfId="60" applyNumberFormat="1" applyFont="1" applyFill="1"/>
    <xf numFmtId="3" fontId="32" fillId="0" borderId="2" xfId="60" applyNumberFormat="1" applyFont="1" applyFill="1" applyBorder="1" applyAlignment="1">
      <alignment horizontal="right" vertical="center"/>
    </xf>
    <xf numFmtId="0" fontId="2" fillId="0" borderId="2" xfId="60" applyFill="1" applyBorder="1"/>
    <xf numFmtId="0" fontId="34" fillId="0" borderId="0" xfId="16" applyFont="1" applyFill="1" applyAlignment="1"/>
    <xf numFmtId="0" fontId="34" fillId="0" borderId="0" xfId="16" applyFont="1" applyFill="1" applyAlignment="1">
      <alignment wrapText="1"/>
    </xf>
    <xf numFmtId="0" fontId="100" fillId="0" borderId="0" xfId="59" applyFont="1" applyFill="1"/>
    <xf numFmtId="0" fontId="38" fillId="0" borderId="0" xfId="16" applyFont="1" applyFill="1" applyAlignment="1">
      <alignment wrapText="1"/>
    </xf>
    <xf numFmtId="3" fontId="38" fillId="0" borderId="0" xfId="16" applyNumberFormat="1" applyFont="1" applyFill="1" applyAlignment="1"/>
    <xf numFmtId="0" fontId="38" fillId="0" borderId="0" xfId="16" applyFont="1" applyFill="1" applyAlignment="1">
      <alignment horizontal="center" wrapText="1"/>
    </xf>
    <xf numFmtId="3" fontId="38" fillId="0" borderId="0" xfId="16" applyNumberFormat="1" applyFont="1" applyFill="1" applyAlignment="1">
      <alignment horizontal="center"/>
    </xf>
    <xf numFmtId="0" fontId="34" fillId="0" borderId="15" xfId="16" applyFont="1" applyFill="1" applyBorder="1"/>
    <xf numFmtId="0" fontId="34" fillId="0" borderId="2" xfId="16" applyFont="1" applyFill="1" applyBorder="1" applyAlignment="1">
      <alignment horizontal="center" vertical="center" wrapText="1"/>
    </xf>
    <xf numFmtId="0" fontId="47" fillId="0" borderId="2" xfId="16" applyFont="1" applyFill="1" applyBorder="1" applyAlignment="1">
      <alignment horizontal="center" vertical="center" wrapText="1"/>
    </xf>
    <xf numFmtId="0" fontId="35" fillId="0" borderId="2" xfId="16" applyFont="1" applyFill="1" applyBorder="1" applyAlignment="1">
      <alignment vertical="center" wrapText="1"/>
    </xf>
    <xf numFmtId="0" fontId="34" fillId="0" borderId="2" xfId="16" applyFont="1" applyFill="1" applyBorder="1" applyAlignment="1">
      <alignment vertical="center"/>
    </xf>
    <xf numFmtId="0" fontId="48" fillId="0" borderId="2" xfId="16" applyFont="1" applyFill="1" applyBorder="1" applyAlignment="1">
      <alignment vertical="center" wrapText="1"/>
    </xf>
    <xf numFmtId="3" fontId="34" fillId="0" borderId="2" xfId="16" applyNumberFormat="1" applyFont="1" applyFill="1" applyBorder="1" applyAlignment="1">
      <alignment horizontal="right" vertical="center" wrapText="1"/>
    </xf>
    <xf numFmtId="0" fontId="37" fillId="0" borderId="0" xfId="16" applyFont="1" applyFill="1" applyAlignment="1">
      <alignment vertical="center"/>
    </xf>
    <xf numFmtId="0" fontId="38" fillId="0" borderId="0" xfId="16" applyFont="1" applyFill="1" applyAlignment="1">
      <alignment vertical="center"/>
    </xf>
    <xf numFmtId="0" fontId="35" fillId="0" borderId="2" xfId="16" applyFont="1" applyFill="1" applyBorder="1" applyAlignment="1">
      <alignment vertical="center"/>
    </xf>
    <xf numFmtId="0" fontId="47" fillId="0" borderId="2" xfId="16" applyFont="1" applyFill="1" applyBorder="1" applyAlignment="1">
      <alignment vertical="center" wrapText="1"/>
    </xf>
    <xf numFmtId="0" fontId="35" fillId="0" borderId="2" xfId="16" applyFont="1" applyFill="1" applyBorder="1" applyAlignment="1">
      <alignment horizontal="right" vertical="center" wrapText="1"/>
    </xf>
    <xf numFmtId="3" fontId="35" fillId="0" borderId="2" xfId="16" applyNumberFormat="1" applyFont="1" applyFill="1" applyBorder="1" applyAlignment="1">
      <alignment horizontal="right" vertical="center" wrapText="1"/>
    </xf>
    <xf numFmtId="0" fontId="85" fillId="0" borderId="0" xfId="16" applyFont="1" applyFill="1" applyAlignment="1">
      <alignment vertical="center"/>
    </xf>
    <xf numFmtId="0" fontId="35" fillId="0" borderId="2" xfId="16" applyFont="1" applyFill="1" applyBorder="1"/>
    <xf numFmtId="0" fontId="35" fillId="0" borderId="2" xfId="16" applyFont="1" applyFill="1" applyBorder="1" applyAlignment="1"/>
    <xf numFmtId="0" fontId="35" fillId="0" borderId="2" xfId="16" applyFont="1" applyFill="1" applyBorder="1" applyAlignment="1">
      <alignment wrapText="1"/>
    </xf>
    <xf numFmtId="3" fontId="35" fillId="0" borderId="2" xfId="16" applyNumberFormat="1" applyFont="1" applyFill="1" applyBorder="1" applyAlignment="1">
      <alignment vertical="center" wrapText="1"/>
    </xf>
    <xf numFmtId="0" fontId="38" fillId="0" borderId="2" xfId="16" applyFont="1" applyFill="1" applyBorder="1" applyAlignment="1">
      <alignment horizontal="center"/>
    </xf>
    <xf numFmtId="0" fontId="103" fillId="0" borderId="0" xfId="16" applyFont="1" applyFill="1"/>
    <xf numFmtId="0" fontId="48" fillId="0" borderId="2" xfId="16" applyFont="1" applyFill="1" applyBorder="1" applyAlignment="1">
      <alignment vertical="center"/>
    </xf>
    <xf numFmtId="0" fontId="31" fillId="0" borderId="2" xfId="16" applyFont="1" applyFill="1" applyBorder="1" applyAlignment="1">
      <alignment vertical="center" wrapText="1"/>
    </xf>
    <xf numFmtId="0" fontId="31" fillId="0" borderId="2" xfId="16" applyFont="1" applyFill="1" applyBorder="1" applyAlignment="1">
      <alignment vertical="center"/>
    </xf>
    <xf numFmtId="3" fontId="35" fillId="0" borderId="0" xfId="16" applyNumberFormat="1" applyFont="1" applyFill="1" applyBorder="1" applyAlignment="1">
      <alignment vertical="center"/>
    </xf>
    <xf numFmtId="0" fontId="37" fillId="0" borderId="0" xfId="16" applyFont="1" applyFill="1" applyBorder="1" applyAlignment="1">
      <alignment vertical="center"/>
    </xf>
    <xf numFmtId="0" fontId="38" fillId="0" borderId="0" xfId="16" applyFont="1" applyFill="1" applyBorder="1" applyAlignment="1">
      <alignment vertical="center"/>
    </xf>
    <xf numFmtId="0" fontId="35" fillId="0" borderId="0" xfId="16" applyFont="1" applyFill="1" applyBorder="1" applyAlignment="1">
      <alignment vertical="center"/>
    </xf>
    <xf numFmtId="0" fontId="35" fillId="0" borderId="21" xfId="16" applyFont="1" applyFill="1" applyBorder="1"/>
    <xf numFmtId="0" fontId="35" fillId="0" borderId="0" xfId="16" applyFont="1" applyFill="1" applyBorder="1" applyAlignment="1"/>
    <xf numFmtId="0" fontId="35" fillId="0" borderId="0" xfId="16" applyFont="1" applyFill="1" applyBorder="1" applyAlignment="1">
      <alignment wrapText="1"/>
    </xf>
    <xf numFmtId="3" fontId="35" fillId="0" borderId="0" xfId="16" applyNumberFormat="1" applyFont="1" applyFill="1" applyBorder="1"/>
    <xf numFmtId="3" fontId="35" fillId="0" borderId="0" xfId="16" applyNumberFormat="1" applyFont="1" applyFill="1" applyBorder="1" applyAlignment="1">
      <alignment wrapText="1"/>
    </xf>
    <xf numFmtId="3" fontId="99" fillId="0" borderId="0" xfId="16" applyNumberFormat="1" applyFont="1" applyFill="1" applyBorder="1"/>
    <xf numFmtId="0" fontId="99" fillId="0" borderId="0" xfId="16" applyFont="1" applyFill="1" applyBorder="1" applyAlignment="1"/>
    <xf numFmtId="0" fontId="99" fillId="0" borderId="0" xfId="16" applyFont="1" applyFill="1" applyBorder="1" applyAlignment="1">
      <alignment wrapText="1"/>
    </xf>
    <xf numFmtId="0" fontId="101" fillId="0" borderId="0" xfId="16" applyFont="1" applyFill="1"/>
    <xf numFmtId="0" fontId="102" fillId="0" borderId="0" xfId="16" applyFont="1" applyFill="1" applyAlignment="1"/>
    <xf numFmtId="0" fontId="99" fillId="0" borderId="0" xfId="16" applyFont="1" applyFill="1"/>
    <xf numFmtId="3" fontId="100" fillId="0" borderId="0" xfId="59" applyNumberFormat="1" applyFont="1" applyFill="1"/>
    <xf numFmtId="0" fontId="46" fillId="0" borderId="2" xfId="16" applyFont="1" applyFill="1" applyBorder="1" applyAlignment="1">
      <alignment vertical="center"/>
    </xf>
    <xf numFmtId="3" fontId="46" fillId="0" borderId="2" xfId="16" applyNumberFormat="1" applyFont="1" applyFill="1" applyBorder="1" applyAlignment="1">
      <alignment vertical="center"/>
    </xf>
    <xf numFmtId="0" fontId="46" fillId="0" borderId="0" xfId="16" applyFont="1" applyFill="1" applyBorder="1" applyAlignment="1">
      <alignment vertical="center"/>
    </xf>
    <xf numFmtId="0" fontId="35" fillId="0" borderId="2" xfId="4" applyFont="1" applyFill="1" applyBorder="1" applyAlignment="1">
      <alignment horizontal="center" vertical="center"/>
    </xf>
    <xf numFmtId="0" fontId="35" fillId="0" borderId="2" xfId="4" applyFont="1" applyFill="1" applyBorder="1" applyAlignment="1">
      <alignment horizontal="center" vertical="center"/>
    </xf>
    <xf numFmtId="0" fontId="39" fillId="0" borderId="0" xfId="4" applyFont="1" applyFill="1" applyAlignment="1">
      <alignment horizontal="right"/>
    </xf>
    <xf numFmtId="0" fontId="31" fillId="0" borderId="0" xfId="4" applyFont="1" applyFill="1" applyAlignment="1">
      <alignment horizontal="right" wrapText="1"/>
    </xf>
    <xf numFmtId="0" fontId="33" fillId="0" borderId="0" xfId="4" applyFont="1" applyFill="1" applyAlignment="1">
      <alignment horizontal="right" wrapText="1"/>
    </xf>
    <xf numFmtId="0" fontId="33" fillId="0" borderId="0" xfId="4" applyFont="1" applyFill="1" applyAlignment="1">
      <alignment horizontal="right"/>
    </xf>
    <xf numFmtId="0" fontId="81" fillId="0" borderId="0" xfId="4" quotePrefix="1" applyFont="1" applyFill="1" applyAlignment="1">
      <alignment horizontal="right"/>
    </xf>
    <xf numFmtId="0" fontId="39" fillId="0" borderId="0" xfId="16" applyFont="1" applyFill="1" applyAlignment="1">
      <alignment horizontal="right" wrapText="1"/>
    </xf>
    <xf numFmtId="0" fontId="33" fillId="0" borderId="0" xfId="16" applyFont="1" applyFill="1" applyAlignment="1">
      <alignment horizontal="right"/>
    </xf>
    <xf numFmtId="0" fontId="31" fillId="0" borderId="0" xfId="16" applyFont="1" applyFill="1" applyAlignment="1">
      <alignment horizontal="right" wrapText="1"/>
    </xf>
    <xf numFmtId="0" fontId="82" fillId="0" borderId="0" xfId="4" applyFont="1" applyFill="1" applyAlignment="1">
      <alignment horizontal="right"/>
    </xf>
    <xf numFmtId="0" fontId="91" fillId="0" borderId="0" xfId="4" applyFont="1" applyFill="1" applyAlignment="1">
      <alignment horizontal="right"/>
    </xf>
    <xf numFmtId="0" fontId="46" fillId="0" borderId="2" xfId="16" applyFont="1" applyFill="1" applyBorder="1" applyAlignment="1">
      <alignment horizontal="right" vertical="center"/>
    </xf>
    <xf numFmtId="0" fontId="37" fillId="0" borderId="0" xfId="16" applyFont="1" applyFill="1" applyBorder="1" applyAlignment="1">
      <alignment horizontal="right"/>
    </xf>
    <xf numFmtId="0" fontId="47" fillId="0" borderId="0" xfId="4" applyFont="1" applyFill="1" applyBorder="1" applyAlignment="1">
      <alignment horizontal="right" wrapText="1"/>
    </xf>
    <xf numFmtId="0" fontId="37" fillId="0" borderId="0" xfId="16" applyFont="1" applyFill="1" applyAlignment="1">
      <alignment horizontal="right"/>
    </xf>
    <xf numFmtId="0" fontId="37" fillId="0" borderId="0" xfId="16" applyAlignment="1">
      <alignment horizontal="right"/>
    </xf>
    <xf numFmtId="3" fontId="32" fillId="0" borderId="2" xfId="53" applyNumberFormat="1" applyFont="1" applyFill="1" applyBorder="1" applyAlignment="1">
      <alignment horizontal="right" vertical="center" wrapText="1"/>
    </xf>
    <xf numFmtId="0" fontId="33" fillId="0" borderId="0" xfId="16" applyFont="1" applyFill="1" applyBorder="1" applyAlignment="1">
      <alignment horizontal="right"/>
    </xf>
    <xf numFmtId="0" fontId="39" fillId="0" borderId="0" xfId="54" applyFont="1" applyAlignment="1">
      <alignment horizontal="right" wrapText="1"/>
    </xf>
    <xf numFmtId="0" fontId="33" fillId="0" borderId="0" xfId="4" applyFont="1" applyAlignment="1">
      <alignment horizontal="right" wrapText="1"/>
    </xf>
    <xf numFmtId="0" fontId="46" fillId="0" borderId="2" xfId="4" applyFont="1" applyBorder="1" applyAlignment="1">
      <alignment horizontal="right" vertical="center" wrapText="1"/>
    </xf>
    <xf numFmtId="0" fontId="47" fillId="0" borderId="0" xfId="4" applyFont="1" applyAlignment="1">
      <alignment horizontal="right" wrapText="1"/>
    </xf>
    <xf numFmtId="0" fontId="33" fillId="0" borderId="2" xfId="53" applyFont="1" applyBorder="1" applyAlignment="1">
      <alignment horizontal="right" vertical="center" wrapText="1"/>
    </xf>
    <xf numFmtId="165" fontId="33" fillId="0" borderId="6" xfId="10" applyNumberFormat="1" applyFont="1" applyFill="1" applyBorder="1" applyAlignment="1">
      <alignment horizontal="center" vertical="center" wrapText="1"/>
    </xf>
    <xf numFmtId="165" fontId="46" fillId="0" borderId="2" xfId="10" applyNumberFormat="1" applyFont="1" applyFill="1" applyBorder="1" applyAlignment="1">
      <alignment vertical="center" wrapText="1"/>
    </xf>
    <xf numFmtId="165" fontId="46" fillId="0" borderId="2" xfId="10" applyNumberFormat="1" applyFont="1" applyFill="1" applyBorder="1" applyAlignment="1">
      <alignment horizontal="right" vertical="center" wrapText="1"/>
    </xf>
    <xf numFmtId="165" fontId="46" fillId="0" borderId="2" xfId="10" applyNumberFormat="1" applyFont="1" applyFill="1" applyBorder="1" applyAlignment="1">
      <alignment horizontal="center" vertical="center" wrapText="1"/>
    </xf>
    <xf numFmtId="165" fontId="46" fillId="0" borderId="2" xfId="4" applyNumberFormat="1" applyFont="1" applyFill="1" applyBorder="1" applyAlignment="1">
      <alignment horizontal="right" vertical="center" wrapText="1"/>
    </xf>
    <xf numFmtId="0" fontId="89" fillId="0" borderId="2" xfId="0" applyFont="1" applyBorder="1" applyAlignment="1">
      <alignment horizontal="right" vertical="center" wrapText="1" readingOrder="2"/>
    </xf>
    <xf numFmtId="0" fontId="89" fillId="3" borderId="2" xfId="16" applyFont="1" applyFill="1" applyBorder="1" applyAlignment="1">
      <alignment horizontal="right" vertical="center" wrapText="1" readingOrder="2"/>
    </xf>
    <xf numFmtId="3" fontId="46" fillId="7" borderId="2" xfId="16" applyNumberFormat="1" applyFont="1" applyFill="1" applyBorder="1" applyAlignment="1">
      <alignment horizontal="right" vertical="center" wrapText="1"/>
    </xf>
    <xf numFmtId="165" fontId="46" fillId="0" borderId="2" xfId="10" applyNumberFormat="1" applyFont="1" applyFill="1" applyBorder="1" applyAlignment="1">
      <alignment wrapText="1"/>
    </xf>
    <xf numFmtId="0" fontId="46" fillId="7" borderId="2" xfId="4" applyFont="1" applyFill="1" applyBorder="1" applyAlignment="1">
      <alignment vertical="center" wrapText="1"/>
    </xf>
    <xf numFmtId="165" fontId="46" fillId="0" borderId="2" xfId="12" applyNumberFormat="1" applyFont="1" applyFill="1" applyBorder="1"/>
    <xf numFmtId="0" fontId="85" fillId="0" borderId="2" xfId="16" applyFont="1" applyBorder="1" applyAlignment="1">
      <alignment wrapText="1"/>
    </xf>
    <xf numFmtId="0" fontId="85" fillId="0" borderId="2" xfId="16" applyFont="1" applyBorder="1" applyAlignment="1">
      <alignment vertical="center" wrapText="1"/>
    </xf>
    <xf numFmtId="3" fontId="85" fillId="0" borderId="2" xfId="16" applyNumberFormat="1" applyFont="1" applyBorder="1" applyAlignment="1">
      <alignment vertical="center" wrapText="1"/>
    </xf>
    <xf numFmtId="0" fontId="96" fillId="0" borderId="2" xfId="16" applyFont="1" applyBorder="1" applyAlignment="1">
      <alignment vertical="center"/>
    </xf>
    <xf numFmtId="0" fontId="85" fillId="0" borderId="2" xfId="16" applyFont="1" applyFill="1" applyBorder="1"/>
    <xf numFmtId="0" fontId="46" fillId="0" borderId="2" xfId="16" applyFont="1" applyBorder="1" applyAlignment="1">
      <alignment vertical="center" wrapText="1"/>
    </xf>
    <xf numFmtId="0" fontId="85" fillId="0" borderId="0" xfId="16" applyFont="1" applyAlignment="1">
      <alignment horizontal="center" vertical="top"/>
    </xf>
    <xf numFmtId="0" fontId="85" fillId="3" borderId="2" xfId="16" applyFont="1" applyFill="1" applyBorder="1" applyAlignment="1">
      <alignment vertical="center" wrapText="1"/>
    </xf>
    <xf numFmtId="0" fontId="32" fillId="0" borderId="2" xfId="16" applyFont="1" applyFill="1" applyBorder="1" applyAlignment="1">
      <alignment horizontal="center" vertical="center" wrapText="1"/>
    </xf>
    <xf numFmtId="3" fontId="32" fillId="3" borderId="2" xfId="4" applyNumberFormat="1" applyFont="1" applyFill="1" applyBorder="1" applyAlignment="1">
      <alignment vertical="center" wrapText="1"/>
    </xf>
    <xf numFmtId="0" fontId="85" fillId="0" borderId="2" xfId="16" applyFont="1" applyBorder="1"/>
    <xf numFmtId="0" fontId="96" fillId="0" borderId="2" xfId="16" applyFont="1" applyBorder="1" applyAlignment="1">
      <alignment vertical="center" wrapText="1"/>
    </xf>
    <xf numFmtId="3" fontId="32" fillId="0" borderId="6" xfId="4" applyNumberFormat="1" applyFont="1" applyFill="1" applyBorder="1" applyAlignment="1">
      <alignment vertical="center" wrapText="1"/>
    </xf>
    <xf numFmtId="0" fontId="85" fillId="5" borderId="2" xfId="16" applyFont="1" applyFill="1" applyBorder="1" applyAlignment="1">
      <alignment wrapText="1"/>
    </xf>
    <xf numFmtId="0" fontId="85" fillId="5" borderId="2" xfId="16" applyFont="1" applyFill="1" applyBorder="1" applyAlignment="1">
      <alignment vertical="center" wrapText="1"/>
    </xf>
    <xf numFmtId="3" fontId="85" fillId="5" borderId="2" xfId="16" applyNumberFormat="1" applyFont="1" applyFill="1" applyBorder="1" applyAlignment="1">
      <alignment vertical="center" wrapText="1"/>
    </xf>
    <xf numFmtId="0" fontId="46" fillId="5" borderId="2" xfId="16" applyFont="1" applyFill="1" applyBorder="1" applyAlignment="1">
      <alignment vertical="center" wrapText="1"/>
    </xf>
    <xf numFmtId="0" fontId="96" fillId="5" borderId="2" xfId="16" applyFont="1" applyFill="1" applyBorder="1" applyAlignment="1">
      <alignment vertical="center"/>
    </xf>
    <xf numFmtId="165" fontId="46" fillId="5" borderId="2" xfId="12" applyNumberFormat="1" applyFont="1" applyFill="1" applyBorder="1" applyAlignment="1">
      <alignment vertical="center" wrapText="1"/>
    </xf>
    <xf numFmtId="0" fontId="79" fillId="4" borderId="2" xfId="4" applyFont="1" applyFill="1" applyBorder="1" applyAlignment="1">
      <alignment vertical="center" wrapText="1"/>
    </xf>
    <xf numFmtId="165" fontId="79" fillId="4" borderId="2" xfId="12" applyNumberFormat="1" applyFont="1" applyFill="1" applyBorder="1" applyAlignment="1">
      <alignment vertical="center" wrapText="1"/>
    </xf>
    <xf numFmtId="0" fontId="32" fillId="0" borderId="2" xfId="53" applyFont="1" applyBorder="1" applyAlignment="1">
      <alignment vertical="center" wrapText="1"/>
    </xf>
    <xf numFmtId="0" fontId="32" fillId="0" borderId="2" xfId="53" applyFont="1" applyBorder="1" applyAlignment="1">
      <alignment horizontal="right" vertical="center" wrapText="1"/>
    </xf>
    <xf numFmtId="3" fontId="32" fillId="0" borderId="2" xfId="53" applyNumberFormat="1" applyFont="1" applyBorder="1" applyAlignment="1">
      <alignment vertical="center" wrapText="1"/>
    </xf>
    <xf numFmtId="3" fontId="32" fillId="0" borderId="2" xfId="53" applyNumberFormat="1" applyFont="1" applyFill="1" applyBorder="1" applyAlignment="1">
      <alignment vertical="center" wrapText="1"/>
    </xf>
    <xf numFmtId="165" fontId="32" fillId="0" borderId="2" xfId="12" applyNumberFormat="1" applyFont="1" applyBorder="1" applyAlignment="1">
      <alignment vertical="center" wrapText="1"/>
    </xf>
    <xf numFmtId="0" fontId="46" fillId="0" borderId="2" xfId="4" quotePrefix="1" applyFont="1" applyFill="1" applyBorder="1" applyAlignment="1">
      <alignment vertical="center" wrapText="1"/>
    </xf>
    <xf numFmtId="3" fontId="32" fillId="3" borderId="2" xfId="53" applyNumberFormat="1" applyFont="1" applyFill="1" applyBorder="1" applyAlignment="1">
      <alignment vertical="center" wrapText="1"/>
    </xf>
    <xf numFmtId="0" fontId="42" fillId="0" borderId="2" xfId="53" applyFont="1" applyBorder="1"/>
    <xf numFmtId="3" fontId="32" fillId="0" borderId="2" xfId="4" applyNumberFormat="1" applyFont="1" applyFill="1" applyBorder="1" applyAlignment="1">
      <alignment vertical="center"/>
    </xf>
    <xf numFmtId="0" fontId="32" fillId="0" borderId="2" xfId="0" applyFont="1" applyFill="1" applyBorder="1" applyAlignment="1">
      <alignment vertical="center" wrapText="1"/>
    </xf>
    <xf numFmtId="3" fontId="105" fillId="0" borderId="2" xfId="4" applyNumberFormat="1" applyFont="1" applyFill="1" applyBorder="1" applyAlignment="1">
      <alignment horizontal="right" vertical="center" wrapText="1"/>
    </xf>
    <xf numFmtId="3" fontId="37" fillId="0" borderId="0" xfId="16" applyNumberFormat="1"/>
    <xf numFmtId="0" fontId="33" fillId="0" borderId="10" xfId="16" applyFont="1" applyFill="1" applyBorder="1" applyAlignment="1">
      <alignment vertical="center" wrapText="1"/>
    </xf>
    <xf numFmtId="0" fontId="33" fillId="0" borderId="6" xfId="4" applyFont="1" applyFill="1" applyBorder="1" applyAlignment="1">
      <alignment vertical="center" wrapText="1"/>
    </xf>
    <xf numFmtId="0" fontId="46" fillId="0" borderId="6" xfId="4" applyFont="1" applyFill="1" applyBorder="1" applyAlignment="1">
      <alignment vertical="center"/>
    </xf>
    <xf numFmtId="3" fontId="38" fillId="0" borderId="0" xfId="4" applyNumberFormat="1" applyFont="1" applyFill="1" applyBorder="1" applyAlignment="1">
      <alignment vertical="center"/>
    </xf>
    <xf numFmtId="165" fontId="35" fillId="0" borderId="30" xfId="10" applyNumberFormat="1" applyFont="1" applyBorder="1" applyAlignment="1">
      <alignment horizontal="right" vertical="center" readingOrder="2"/>
    </xf>
    <xf numFmtId="0" fontId="34" fillId="0" borderId="0" xfId="17" applyFont="1" applyAlignment="1">
      <alignment horizontal="right" vertical="center" readingOrder="2"/>
    </xf>
    <xf numFmtId="3" fontId="35" fillId="0" borderId="30" xfId="17" applyNumberFormat="1" applyFont="1" applyBorder="1" applyAlignment="1">
      <alignment horizontal="right" vertical="center" readingOrder="2"/>
    </xf>
    <xf numFmtId="0" fontId="47" fillId="0" borderId="0" xfId="17" applyFont="1" applyFill="1" applyAlignment="1">
      <alignment horizontal="right" vertical="center" readingOrder="2"/>
    </xf>
    <xf numFmtId="3" fontId="33" fillId="0" borderId="2" xfId="4" applyNumberFormat="1" applyFont="1" applyFill="1" applyBorder="1" applyAlignment="1">
      <alignment vertical="center"/>
    </xf>
    <xf numFmtId="0" fontId="35" fillId="0" borderId="2" xfId="16" applyFont="1" applyFill="1" applyBorder="1" applyAlignment="1">
      <alignment horizontal="center" wrapText="1"/>
    </xf>
    <xf numFmtId="0" fontId="35" fillId="0" borderId="2" xfId="16" applyFont="1" applyFill="1" applyBorder="1" applyAlignment="1">
      <alignment horizontal="center"/>
    </xf>
    <xf numFmtId="3" fontId="35" fillId="0" borderId="2" xfId="16" applyNumberFormat="1" applyFont="1" applyFill="1" applyBorder="1"/>
    <xf numFmtId="3" fontId="35" fillId="0" borderId="2" xfId="16" applyNumberFormat="1" applyFont="1" applyFill="1" applyBorder="1" applyAlignment="1">
      <alignment wrapText="1"/>
    </xf>
    <xf numFmtId="3" fontId="33" fillId="0" borderId="2" xfId="16" applyNumberFormat="1" applyFont="1" applyFill="1" applyBorder="1"/>
    <xf numFmtId="3" fontId="33" fillId="0" borderId="2" xfId="16" applyNumberFormat="1" applyFont="1" applyFill="1" applyBorder="1" applyAlignment="1">
      <alignment vertical="center"/>
    </xf>
    <xf numFmtId="0" fontId="54" fillId="0" borderId="2" xfId="22" applyFont="1" applyBorder="1" applyAlignment="1">
      <alignment horizontal="right" vertical="center" readingOrder="2"/>
    </xf>
    <xf numFmtId="0" fontId="54" fillId="0" borderId="2" xfId="22" applyFont="1" applyBorder="1" applyAlignment="1">
      <alignment horizontal="center" vertical="center" readingOrder="2"/>
    </xf>
    <xf numFmtId="0" fontId="52" fillId="0" borderId="2" xfId="22" applyFont="1" applyBorder="1" applyAlignment="1">
      <alignment horizontal="right" vertical="center" readingOrder="2"/>
    </xf>
    <xf numFmtId="0" fontId="81" fillId="0" borderId="4" xfId="4" quotePrefix="1" applyFont="1" applyFill="1" applyBorder="1" applyAlignment="1">
      <alignment vertical="center"/>
    </xf>
    <xf numFmtId="0" fontId="35" fillId="0" borderId="4" xfId="16" applyFont="1" applyFill="1" applyBorder="1" applyAlignment="1"/>
    <xf numFmtId="0" fontId="50" fillId="0" borderId="0" xfId="16" applyFont="1" applyAlignment="1">
      <alignment horizontal="center"/>
    </xf>
    <xf numFmtId="3" fontId="34" fillId="0" borderId="27" xfId="16" applyNumberFormat="1" applyFont="1" applyBorder="1" applyAlignment="1">
      <alignment horizontal="center"/>
    </xf>
    <xf numFmtId="3" fontId="34" fillId="0" borderId="29" xfId="16" applyNumberFormat="1" applyFont="1" applyBorder="1" applyAlignment="1">
      <alignment horizontal="center"/>
    </xf>
    <xf numFmtId="3" fontId="34" fillId="0" borderId="23" xfId="16" applyNumberFormat="1" applyFont="1" applyBorder="1" applyAlignment="1">
      <alignment horizontal="center"/>
    </xf>
    <xf numFmtId="0" fontId="35" fillId="0" borderId="2" xfId="4" applyFont="1" applyFill="1" applyBorder="1" applyAlignment="1">
      <alignment horizontal="center" vertical="center"/>
    </xf>
    <xf numFmtId="0" fontId="35" fillId="0" borderId="10" xfId="4" applyFont="1" applyFill="1" applyBorder="1" applyAlignment="1">
      <alignment horizontal="center" vertical="center"/>
    </xf>
    <xf numFmtId="3" fontId="52" fillId="0" borderId="4" xfId="22" applyNumberFormat="1" applyFont="1" applyBorder="1" applyAlignment="1">
      <alignment horizontal="center" vertical="center" readingOrder="2"/>
    </xf>
    <xf numFmtId="3" fontId="52" fillId="0" borderId="5" xfId="22" applyNumberFormat="1" applyFont="1" applyBorder="1" applyAlignment="1">
      <alignment horizontal="center" vertical="center" readingOrder="2"/>
    </xf>
    <xf numFmtId="3" fontId="52" fillId="0" borderId="6" xfId="22" applyNumberFormat="1" applyFont="1" applyBorder="1" applyAlignment="1">
      <alignment horizontal="center" vertical="center" readingOrder="2"/>
    </xf>
    <xf numFmtId="3" fontId="54" fillId="0" borderId="42" xfId="22" applyNumberFormat="1" applyFont="1" applyBorder="1" applyAlignment="1">
      <alignment horizontal="center" vertical="center" readingOrder="2"/>
    </xf>
    <xf numFmtId="3" fontId="54" fillId="0" borderId="38" xfId="22" applyNumberFormat="1" applyFont="1" applyBorder="1" applyAlignment="1">
      <alignment horizontal="center" vertical="center" readingOrder="2"/>
    </xf>
    <xf numFmtId="3" fontId="54" fillId="0" borderId="25" xfId="22" applyNumberFormat="1" applyFont="1" applyBorder="1" applyAlignment="1">
      <alignment horizontal="center" vertical="center" readingOrder="2"/>
    </xf>
    <xf numFmtId="0" fontId="54" fillId="0" borderId="27" xfId="22" applyFont="1" applyBorder="1" applyAlignment="1">
      <alignment vertical="center" readingOrder="2"/>
    </xf>
    <xf numFmtId="0" fontId="54" fillId="0" borderId="41" xfId="22" applyFont="1" applyBorder="1" applyAlignment="1">
      <alignment vertical="center" readingOrder="2"/>
    </xf>
    <xf numFmtId="0" fontId="66" fillId="0" borderId="28" xfId="22" applyFont="1" applyBorder="1" applyAlignment="1">
      <alignment vertical="center" readingOrder="2"/>
    </xf>
    <xf numFmtId="0" fontId="66" fillId="0" borderId="6" xfId="22" applyFont="1" applyBorder="1" applyAlignment="1">
      <alignment vertical="center" readingOrder="2"/>
    </xf>
    <xf numFmtId="0" fontId="66" fillId="0" borderId="45" xfId="22" applyFont="1" applyBorder="1" applyAlignment="1">
      <alignment vertical="center" readingOrder="2"/>
    </xf>
    <xf numFmtId="0" fontId="66" fillId="0" borderId="25" xfId="22" applyFont="1" applyBorder="1" applyAlignment="1">
      <alignment vertical="center" readingOrder="2"/>
    </xf>
    <xf numFmtId="0" fontId="54" fillId="0" borderId="40" xfId="22" applyFont="1" applyBorder="1" applyAlignment="1">
      <alignment horizontal="center" vertical="center" readingOrder="2"/>
    </xf>
    <xf numFmtId="0" fontId="54" fillId="0" borderId="29" xfId="22" applyFont="1" applyBorder="1" applyAlignment="1">
      <alignment horizontal="center" vertical="center" readingOrder="2"/>
    </xf>
    <xf numFmtId="0" fontId="54" fillId="0" borderId="41" xfId="22" applyFont="1" applyBorder="1" applyAlignment="1">
      <alignment horizontal="center" vertical="center" readingOrder="2"/>
    </xf>
    <xf numFmtId="0" fontId="46" fillId="0" borderId="46" xfId="16" applyFont="1" applyFill="1" applyBorder="1" applyAlignment="1">
      <alignment horizontal="center"/>
    </xf>
    <xf numFmtId="0" fontId="39" fillId="0" borderId="0" xfId="16" applyFont="1" applyFill="1" applyAlignment="1">
      <alignment horizontal="center"/>
    </xf>
    <xf numFmtId="0" fontId="81" fillId="0" borderId="4" xfId="4" quotePrefix="1" applyFont="1" applyFill="1" applyBorder="1" applyAlignment="1">
      <alignment horizontal="center" vertical="center"/>
    </xf>
    <xf numFmtId="0" fontId="81" fillId="0" borderId="5" xfId="4" quotePrefix="1" applyFont="1" applyFill="1" applyBorder="1" applyAlignment="1">
      <alignment horizontal="center" vertical="center"/>
    </xf>
    <xf numFmtId="0" fontId="81" fillId="0" borderId="6" xfId="4" quotePrefix="1" applyFont="1" applyFill="1" applyBorder="1" applyAlignment="1">
      <alignment horizontal="center" vertical="center"/>
    </xf>
    <xf numFmtId="0" fontId="35" fillId="0" borderId="2" xfId="4" applyFont="1" applyFill="1" applyBorder="1" applyAlignment="1">
      <alignment horizontal="center"/>
    </xf>
    <xf numFmtId="0" fontId="81" fillId="0" borderId="2" xfId="4" quotePrefix="1" applyFont="1" applyFill="1" applyBorder="1" applyAlignment="1">
      <alignment horizontal="center" vertical="center"/>
    </xf>
    <xf numFmtId="0" fontId="35" fillId="0" borderId="2" xfId="16" applyFont="1" applyFill="1" applyBorder="1" applyAlignment="1">
      <alignment horizontal="center"/>
    </xf>
    <xf numFmtId="0" fontId="35" fillId="0" borderId="4" xfId="16" applyFont="1" applyFill="1" applyBorder="1" applyAlignment="1">
      <alignment horizontal="center"/>
    </xf>
    <xf numFmtId="0" fontId="35" fillId="0" borderId="5" xfId="16" applyFont="1" applyFill="1" applyBorder="1" applyAlignment="1">
      <alignment horizontal="center"/>
    </xf>
    <xf numFmtId="0" fontId="35" fillId="0" borderId="6" xfId="16" applyFont="1" applyFill="1" applyBorder="1" applyAlignment="1">
      <alignment horizontal="center"/>
    </xf>
  </cellXfs>
  <cellStyles count="65">
    <cellStyle name="Comma" xfId="12" builtinId="3"/>
    <cellStyle name="Comma 2" xfId="10" xr:uid="{00000000-0005-0000-0000-000001000000}"/>
    <cellStyle name="Comma 3" xfId="14" xr:uid="{00000000-0005-0000-0000-000002000000}"/>
    <cellStyle name="Comma 3 2" xfId="18" xr:uid="{00000000-0005-0000-0000-000003000000}"/>
    <cellStyle name="Comma 3 3" xfId="21" xr:uid="{00000000-0005-0000-0000-000004000000}"/>
    <cellStyle name="Comma 3 4" xfId="23" xr:uid="{00000000-0005-0000-0000-000005000000}"/>
    <cellStyle name="Comma 4" xfId="36" xr:uid="{00000000-0005-0000-0000-000006000000}"/>
    <cellStyle name="Comma 5" xfId="49" xr:uid="{00000000-0005-0000-0000-000007000000}"/>
    <cellStyle name="Normal" xfId="0" builtinId="0"/>
    <cellStyle name="Normal 10" xfId="64" xr:uid="{00000000-0005-0000-0000-000009000000}"/>
    <cellStyle name="Normal 2" xfId="1" xr:uid="{00000000-0005-0000-0000-00000A000000}"/>
    <cellStyle name="Normal 2 2" xfId="5" xr:uid="{00000000-0005-0000-0000-00000B000000}"/>
    <cellStyle name="Normal 2 2 2" xfId="19" xr:uid="{00000000-0005-0000-0000-00000C000000}"/>
    <cellStyle name="Normal 2 3" xfId="16" xr:uid="{00000000-0005-0000-0000-00000D000000}"/>
    <cellStyle name="Normal 2_ריכוז אגפים" xfId="6" xr:uid="{00000000-0005-0000-0000-00000E000000}"/>
    <cellStyle name="Normal 3" xfId="2" xr:uid="{00000000-0005-0000-0000-00000F000000}"/>
    <cellStyle name="Normal 4" xfId="4" xr:uid="{00000000-0005-0000-0000-000010000000}"/>
    <cellStyle name="Normal 5" xfId="11" xr:uid="{00000000-0005-0000-0000-000011000000}"/>
    <cellStyle name="Normal 5 2" xfId="15" xr:uid="{00000000-0005-0000-0000-000012000000}"/>
    <cellStyle name="Normal 5 2 2" xfId="28" xr:uid="{00000000-0005-0000-0000-000013000000}"/>
    <cellStyle name="Normal 5 3" xfId="26" xr:uid="{00000000-0005-0000-0000-000014000000}"/>
    <cellStyle name="Normal 5 3 2" xfId="31" xr:uid="{00000000-0005-0000-0000-000015000000}"/>
    <cellStyle name="Normal 5 3 2 2" xfId="33" xr:uid="{00000000-0005-0000-0000-000016000000}"/>
    <cellStyle name="Normal 5 3 3" xfId="32" xr:uid="{00000000-0005-0000-0000-000017000000}"/>
    <cellStyle name="Normal 5 3 4" xfId="34" xr:uid="{00000000-0005-0000-0000-000018000000}"/>
    <cellStyle name="Normal 5 3 4 2" xfId="38" xr:uid="{00000000-0005-0000-0000-000019000000}"/>
    <cellStyle name="Normal 5 3 4 3" xfId="43" xr:uid="{00000000-0005-0000-0000-00001A000000}"/>
    <cellStyle name="Normal 5 3 4 3 2" xfId="52" xr:uid="{00000000-0005-0000-0000-00001B000000}"/>
    <cellStyle name="Normal 5 3 4 3 3" xfId="59" xr:uid="{00000000-0005-0000-0000-00001C000000}"/>
    <cellStyle name="Normal 5 3 4 4" xfId="45" xr:uid="{00000000-0005-0000-0000-00001D000000}"/>
    <cellStyle name="Normal 5 3 4 5" xfId="47" xr:uid="{00000000-0005-0000-0000-00001E000000}"/>
    <cellStyle name="Normal 5 3 5" xfId="35" xr:uid="{00000000-0005-0000-0000-00001F000000}"/>
    <cellStyle name="Normal 5 3 5 2" xfId="37" xr:uid="{00000000-0005-0000-0000-000020000000}"/>
    <cellStyle name="Normal 5 3 5 3" xfId="39" xr:uid="{00000000-0005-0000-0000-000021000000}"/>
    <cellStyle name="Normal 5 3 5 3 2" xfId="56" xr:uid="{00000000-0005-0000-0000-000022000000}"/>
    <cellStyle name="Normal 5 3 5 3 3" xfId="62" xr:uid="{00000000-0005-0000-0000-000023000000}"/>
    <cellStyle name="Normal 5 3 5 4" xfId="40" xr:uid="{00000000-0005-0000-0000-000024000000}"/>
    <cellStyle name="Normal 5 3 5 4 2" xfId="51" xr:uid="{00000000-0005-0000-0000-000025000000}"/>
    <cellStyle name="Normal 5 3 5 4 3" xfId="53" xr:uid="{00000000-0005-0000-0000-000026000000}"/>
    <cellStyle name="Normal 5 3 5 4 4" xfId="60" xr:uid="{00000000-0005-0000-0000-000027000000}"/>
    <cellStyle name="Normal 5 3 5 5" xfId="41" xr:uid="{00000000-0005-0000-0000-000028000000}"/>
    <cellStyle name="Normal 5 3 5 5 2" xfId="57" xr:uid="{00000000-0005-0000-0000-000029000000}"/>
    <cellStyle name="Normal 5 3 5 5 3" xfId="63" xr:uid="{00000000-0005-0000-0000-00002A000000}"/>
    <cellStyle name="Normal 5 3 5 6" xfId="42" xr:uid="{00000000-0005-0000-0000-00002B000000}"/>
    <cellStyle name="Normal 5 3 5 6 2" xfId="54" xr:uid="{00000000-0005-0000-0000-00002C000000}"/>
    <cellStyle name="Normal 5 3 5 6 3" xfId="61" xr:uid="{00000000-0005-0000-0000-00002D000000}"/>
    <cellStyle name="Normal 5 4" xfId="29" xr:uid="{00000000-0005-0000-0000-00002E000000}"/>
    <cellStyle name="Normal 6" xfId="13" xr:uid="{00000000-0005-0000-0000-00002F000000}"/>
    <cellStyle name="Normal 6 2" xfId="17" xr:uid="{00000000-0005-0000-0000-000030000000}"/>
    <cellStyle name="Normal 6 3" xfId="20" xr:uid="{00000000-0005-0000-0000-000031000000}"/>
    <cellStyle name="Normal 6 4" xfId="22" xr:uid="{00000000-0005-0000-0000-000032000000}"/>
    <cellStyle name="Normal 6 4 2" xfId="30" xr:uid="{00000000-0005-0000-0000-000033000000}"/>
    <cellStyle name="Normal 7" xfId="24" xr:uid="{00000000-0005-0000-0000-000034000000}"/>
    <cellStyle name="Normal 8" xfId="44" xr:uid="{00000000-0005-0000-0000-000035000000}"/>
    <cellStyle name="Normal 8 2" xfId="46" xr:uid="{00000000-0005-0000-0000-000036000000}"/>
    <cellStyle name="Normal 8 2 2" xfId="58" xr:uid="{00000000-0005-0000-0000-000037000000}"/>
    <cellStyle name="Normal 8 2 2 3" xfId="50" xr:uid="{00000000-0005-0000-0000-000038000000}"/>
    <cellStyle name="Normal 9" xfId="48" xr:uid="{00000000-0005-0000-0000-000039000000}"/>
    <cellStyle name="Percent 2" xfId="9" xr:uid="{00000000-0005-0000-0000-00003A000000}"/>
    <cellStyle name="Percent 3" xfId="25" xr:uid="{00000000-0005-0000-0000-00003B000000}"/>
    <cellStyle name="Percent 4" xfId="27" xr:uid="{00000000-0005-0000-0000-00003C000000}"/>
    <cellStyle name="Percent 5" xfId="55" xr:uid="{00000000-0005-0000-0000-00003D000000}"/>
    <cellStyle name="הערה 2" xfId="3" xr:uid="{00000000-0005-0000-0000-00003E000000}"/>
    <cellStyle name="הערה 2 2" xfId="7" xr:uid="{00000000-0005-0000-0000-00003F000000}"/>
    <cellStyle name="הערה 2_ריכוז אגפים" xfId="8" xr:uid="{00000000-0005-0000-0000-000040000000}"/>
  </cellStyles>
  <dxfs count="17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1">
              <a:defRPr sz="132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endParaRPr kumimoji="0" lang="he-IL" sz="1600" b="1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David"/>
              <a:cs typeface="David"/>
            </a:endParaRPr>
          </a:p>
          <a:p>
            <a:pPr algn="ctr" rtl="1">
              <a:defRPr sz="132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חלוקת ההשקעה בתקציב  לפי אגפים</a:t>
            </a:r>
            <a:endParaRPr kumimoji="0" lang="he-IL" sz="1320" b="0" i="0" u="sng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David"/>
              <a:cs typeface="David"/>
            </a:endParaRPr>
          </a:p>
          <a:p>
            <a:pPr algn="ctr" rtl="1">
              <a:defRPr sz="132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r>
              <a:rPr kumimoji="0" lang="he-IL" sz="14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ea typeface="David"/>
                <a:cs typeface="David"/>
              </a:rPr>
              <a:t>באלפי ₪</a:t>
            </a: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ea typeface="David"/>
                <a:cs typeface="David"/>
              </a:rPr>
              <a:t> </a:t>
            </a:r>
          </a:p>
        </cx:rich>
      </cx:tx>
    </cx:title>
    <cx:plotArea>
      <cx:plotAreaRegion>
        <cx:series layoutId="sunburst" uniqueId="{73292393-C808-4341-BF4A-25998629D0B1}"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1">
              <a:defRPr sz="110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endParaRPr kumimoji="0" lang="he-IL" sz="1400" b="1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David"/>
              <a:cs typeface="David"/>
            </a:endParaRPr>
          </a:p>
          <a:p>
            <a:pPr algn="ctr" rtl="1">
              <a:defRPr sz="110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חלוקת ההשקעה בתקציב לפי פרקים</a:t>
            </a:r>
            <a:br>
              <a:rPr kumimoji="0" lang="en-US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</a:br>
            <a:r>
              <a:rPr kumimoji="0" lang="he-IL" sz="14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באלפי ₪</a:t>
            </a: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  </a:t>
            </a:r>
          </a:p>
        </cx:rich>
      </cx:tx>
    </cx:title>
    <cx:plotArea>
      <cx:plotAreaRegion>
        <cx:series layoutId="sunburst" uniqueId="{12CDAEE9-78C2-4B8A-8E23-70C6B6751AC6}"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1">
              <a:defRPr sz="110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התקציב לפי מקורות מימון</a:t>
            </a:r>
            <a:br>
              <a:rPr kumimoji="0" lang="en-US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</a:br>
            <a:r>
              <a:rPr kumimoji="0" lang="he-IL" sz="14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באלפי ₪</a:t>
            </a: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 </a:t>
            </a:r>
          </a:p>
        </cx:rich>
      </cx:tx>
    </cx:title>
    <cx:plotArea>
      <cx:plotAreaRegion>
        <cx:series layoutId="sunburst" uniqueId="{D7E84A5A-E96D-45B6-9910-25C250F90FEC}"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586740</xdr:colOff>
      <xdr:row>45</xdr:row>
      <xdr:rowOff>83820</xdr:rowOff>
    </xdr:to>
    <xdr:pic>
      <xdr:nvPicPr>
        <xdr:cNvPr id="4" name="תמונה 3" descr="שער תקציב פיתוח שנתי 202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7955660" y="0"/>
          <a:ext cx="9730740" cy="7627620"/>
        </a:xfrm>
        <a:prstGeom prst="rect">
          <a:avLst/>
        </a:prstGeom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25</xdr:row>
      <xdr:rowOff>22860</xdr:rowOff>
    </xdr:from>
    <xdr:to>
      <xdr:col>4</xdr:col>
      <xdr:colOff>2042160</xdr:colOff>
      <xdr:row>36</xdr:row>
      <xdr:rowOff>152400</xdr:rowOff>
    </xdr:to>
    <xdr:pic>
      <xdr:nvPicPr>
        <xdr:cNvPr id="2" name="תמונה 1" descr="תמונה רחוב החושלים במסגרת פרויקט מערכת כבישים באיזור תעשיה מערבי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4582020" y="5082540"/>
          <a:ext cx="4930140" cy="2057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0</xdr:row>
      <xdr:rowOff>76200</xdr:rowOff>
    </xdr:from>
    <xdr:to>
      <xdr:col>14</xdr:col>
      <xdr:colOff>792480</xdr:colOff>
      <xdr:row>3</xdr:row>
      <xdr:rowOff>7620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 rot="16200000">
          <a:off x="10215482490" y="-1139190"/>
          <a:ext cx="617220" cy="304800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14</xdr:col>
      <xdr:colOff>777240</xdr:colOff>
      <xdr:row>0</xdr:row>
      <xdr:rowOff>0</xdr:rowOff>
    </xdr:from>
    <xdr:to>
      <xdr:col>20</xdr:col>
      <xdr:colOff>693420</xdr:colOff>
      <xdr:row>2</xdr:row>
      <xdr:rowOff>146858</xdr:rowOff>
    </xdr:to>
    <xdr:sp macro="" textlink="">
      <xdr:nvSpPr>
        <xdr:cNvPr id="5" name="סוגר מסולסל ימני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/>
      </xdr:nvSpPr>
      <xdr:spPr>
        <a:xfrm rot="16200000">
          <a:off x="10235659211" y="-345671"/>
          <a:ext cx="604058" cy="129540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2022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0</xdr:row>
      <xdr:rowOff>76200</xdr:rowOff>
    </xdr:from>
    <xdr:to>
      <xdr:col>14</xdr:col>
      <xdr:colOff>792480</xdr:colOff>
      <xdr:row>3</xdr:row>
      <xdr:rowOff>7620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 rot="16200000">
          <a:off x="10239477870" y="-1184910"/>
          <a:ext cx="563880" cy="308610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14</xdr:col>
      <xdr:colOff>792480</xdr:colOff>
      <xdr:row>0</xdr:row>
      <xdr:rowOff>0</xdr:rowOff>
    </xdr:from>
    <xdr:to>
      <xdr:col>20</xdr:col>
      <xdr:colOff>708660</xdr:colOff>
      <xdr:row>2</xdr:row>
      <xdr:rowOff>146858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 rot="16200000">
          <a:off x="10237267031" y="-345671"/>
          <a:ext cx="604058" cy="129540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2022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0</xdr:row>
      <xdr:rowOff>76200</xdr:rowOff>
    </xdr:from>
    <xdr:to>
      <xdr:col>14</xdr:col>
      <xdr:colOff>792480</xdr:colOff>
      <xdr:row>3</xdr:row>
      <xdr:rowOff>7620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 rot="16200000">
          <a:off x="10209295050" y="-1139190"/>
          <a:ext cx="617220" cy="304800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106680</xdr:rowOff>
    </xdr:from>
    <xdr:to>
      <xdr:col>21</xdr:col>
      <xdr:colOff>7620</xdr:colOff>
      <xdr:row>3</xdr:row>
      <xdr:rowOff>7620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 rot="16200000">
          <a:off x="10207123350" y="-255270"/>
          <a:ext cx="586740" cy="131064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2022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22</xdr:row>
      <xdr:rowOff>0</xdr:rowOff>
    </xdr:from>
    <xdr:to>
      <xdr:col>4</xdr:col>
      <xdr:colOff>2004472</xdr:colOff>
      <xdr:row>35</xdr:row>
      <xdr:rowOff>135853</xdr:rowOff>
    </xdr:to>
    <xdr:pic>
      <xdr:nvPicPr>
        <xdr:cNvPr id="5" name="תמונה 4" descr="תמונה פרויקט בית ספר לב טוב שיקום חיתות והצללות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4543508" y="4754880"/>
          <a:ext cx="4755292" cy="250567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22857</xdr:colOff>
      <xdr:row>0</xdr:row>
      <xdr:rowOff>0</xdr:rowOff>
    </xdr:from>
    <xdr:to>
      <xdr:col>19</xdr:col>
      <xdr:colOff>22860</xdr:colOff>
      <xdr:row>2</xdr:row>
      <xdr:rowOff>213356</xdr:rowOff>
    </xdr:to>
    <xdr:sp macro="" textlink="">
      <xdr:nvSpPr>
        <xdr:cNvPr id="7" name="סוגר מסולסל ימני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/>
      </xdr:nvSpPr>
      <xdr:spPr>
        <a:xfrm rot="16200000">
          <a:off x="9966445654" y="-1238254"/>
          <a:ext cx="617216" cy="3093723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19</xdr:col>
      <xdr:colOff>30480</xdr:colOff>
      <xdr:row>0</xdr:row>
      <xdr:rowOff>0</xdr:rowOff>
    </xdr:from>
    <xdr:to>
      <xdr:col>20</xdr:col>
      <xdr:colOff>838200</xdr:colOff>
      <xdr:row>2</xdr:row>
      <xdr:rowOff>228600</xdr:rowOff>
    </xdr:to>
    <xdr:sp macro="" textlink="">
      <xdr:nvSpPr>
        <xdr:cNvPr id="8" name="סוגר מסולסל ימני 7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SpPr/>
      </xdr:nvSpPr>
      <xdr:spPr>
        <a:xfrm rot="16200000">
          <a:off x="9964994040" y="-419100"/>
          <a:ext cx="632460" cy="147066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2022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22857</xdr:colOff>
      <xdr:row>0</xdr:row>
      <xdr:rowOff>0</xdr:rowOff>
    </xdr:from>
    <xdr:to>
      <xdr:col>19</xdr:col>
      <xdr:colOff>22860</xdr:colOff>
      <xdr:row>2</xdr:row>
      <xdr:rowOff>213356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 rot="16200000">
          <a:off x="9989427574" y="-1123954"/>
          <a:ext cx="617216" cy="2865123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19</xdr:col>
      <xdr:colOff>30480</xdr:colOff>
      <xdr:row>0</xdr:row>
      <xdr:rowOff>0</xdr:rowOff>
    </xdr:from>
    <xdr:to>
      <xdr:col>20</xdr:col>
      <xdr:colOff>838200</xdr:colOff>
      <xdr:row>2</xdr:row>
      <xdr:rowOff>228600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 rot="16200000">
          <a:off x="9987278730" y="-384810"/>
          <a:ext cx="632460" cy="140208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2022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22857</xdr:colOff>
      <xdr:row>0</xdr:row>
      <xdr:rowOff>0</xdr:rowOff>
    </xdr:from>
    <xdr:to>
      <xdr:col>19</xdr:col>
      <xdr:colOff>22860</xdr:colOff>
      <xdr:row>2</xdr:row>
      <xdr:rowOff>213356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 rot="16200000">
          <a:off x="9966445654" y="-1238254"/>
          <a:ext cx="617216" cy="3093723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19</xdr:col>
      <xdr:colOff>30480</xdr:colOff>
      <xdr:row>0</xdr:row>
      <xdr:rowOff>0</xdr:rowOff>
    </xdr:from>
    <xdr:to>
      <xdr:col>20</xdr:col>
      <xdr:colOff>838200</xdr:colOff>
      <xdr:row>2</xdr:row>
      <xdr:rowOff>228600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/>
      </xdr:nvSpPr>
      <xdr:spPr>
        <a:xfrm rot="16200000">
          <a:off x="9964228230" y="-339090"/>
          <a:ext cx="632460" cy="131064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2022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83820</xdr:rowOff>
    </xdr:from>
    <xdr:to>
      <xdr:col>20</xdr:col>
      <xdr:colOff>655320</xdr:colOff>
      <xdr:row>2</xdr:row>
      <xdr:rowOff>243840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/>
      </xdr:nvSpPr>
      <xdr:spPr>
        <a:xfrm rot="16200000">
          <a:off x="9352098390" y="-240030"/>
          <a:ext cx="556260" cy="120396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2022</a:t>
          </a:r>
        </a:p>
      </xdr:txBody>
    </xdr:sp>
    <xdr:clientData/>
  </xdr:twoCellAnchor>
  <xdr:twoCellAnchor>
    <xdr:from>
      <xdr:col>6</xdr:col>
      <xdr:colOff>0</xdr:colOff>
      <xdr:row>0</xdr:row>
      <xdr:rowOff>91440</xdr:rowOff>
    </xdr:from>
    <xdr:to>
      <xdr:col>14</xdr:col>
      <xdr:colOff>655320</xdr:colOff>
      <xdr:row>3</xdr:row>
      <xdr:rowOff>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/>
      </xdr:nvSpPr>
      <xdr:spPr>
        <a:xfrm rot="16200000">
          <a:off x="9354052920" y="-937260"/>
          <a:ext cx="563880" cy="262128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 לפרויקט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83820</xdr:rowOff>
    </xdr:from>
    <xdr:to>
      <xdr:col>20</xdr:col>
      <xdr:colOff>655320</xdr:colOff>
      <xdr:row>2</xdr:row>
      <xdr:rowOff>243840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/>
      </xdr:nvSpPr>
      <xdr:spPr>
        <a:xfrm rot="16200000">
          <a:off x="9347282550" y="-240030"/>
          <a:ext cx="556260" cy="120396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2022</a:t>
          </a:r>
        </a:p>
      </xdr:txBody>
    </xdr:sp>
    <xdr:clientData/>
  </xdr:twoCellAnchor>
  <xdr:twoCellAnchor>
    <xdr:from>
      <xdr:col>6</xdr:col>
      <xdr:colOff>0</xdr:colOff>
      <xdr:row>0</xdr:row>
      <xdr:rowOff>91440</xdr:rowOff>
    </xdr:from>
    <xdr:to>
      <xdr:col>14</xdr:col>
      <xdr:colOff>655320</xdr:colOff>
      <xdr:row>3</xdr:row>
      <xdr:rowOff>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SpPr/>
      </xdr:nvSpPr>
      <xdr:spPr>
        <a:xfrm rot="16200000">
          <a:off x="9349244700" y="-937260"/>
          <a:ext cx="563880" cy="262128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 לפרויקט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90500" y="190500"/>
    <xdr:ext cx="9201150" cy="5619750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תרשים 1" descr="תרשים חלוקת ההשקעה בתקציב לפי אגפים">
              <a:extLst>
                <a:ext uri="{FF2B5EF4-FFF2-40B4-BE49-F238E27FC236}">
                  <a16:creationId xmlns:a16="http://schemas.microsoft.com/office/drawing/2014/main" id="{00000000-0008-0000-0A00-00000200000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79799700" y="190500"/>
              <a:ext cx="9201150" cy="5619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e-IL" sz="1100"/>
                <a:t>‏תרשים זה אינו זמין בגירסת Excel שברשותך.
עריכת צורה זו או שמירת חוברת עבודה זו בתבנית קובץ אחרת תנתק את התרשים לצמיתות.</a:t>
              </a:r>
            </a:p>
          </xdr:txBody>
        </xdr:sp>
      </mc:Fallback>
    </mc:AlternateContent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83820</xdr:rowOff>
    </xdr:from>
    <xdr:to>
      <xdr:col>15</xdr:col>
      <xdr:colOff>0</xdr:colOff>
      <xdr:row>3</xdr:row>
      <xdr:rowOff>15240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/>
      </xdr:nvSpPr>
      <xdr:spPr>
        <a:xfrm rot="16200000">
          <a:off x="10224691260" y="-1043940"/>
          <a:ext cx="647700" cy="290322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114300</xdr:rowOff>
    </xdr:from>
    <xdr:to>
      <xdr:col>20</xdr:col>
      <xdr:colOff>655320</xdr:colOff>
      <xdr:row>3</xdr:row>
      <xdr:rowOff>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SpPr/>
      </xdr:nvSpPr>
      <xdr:spPr>
        <a:xfrm rot="16200000">
          <a:off x="10222934850" y="87630"/>
          <a:ext cx="601980" cy="65532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2022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83820</xdr:rowOff>
    </xdr:from>
    <xdr:to>
      <xdr:col>15</xdr:col>
      <xdr:colOff>0</xdr:colOff>
      <xdr:row>3</xdr:row>
      <xdr:rowOff>15240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 rot="16200000">
          <a:off x="10221174630" y="-834390"/>
          <a:ext cx="647700" cy="248412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114300</xdr:rowOff>
    </xdr:from>
    <xdr:to>
      <xdr:col>20</xdr:col>
      <xdr:colOff>655320</xdr:colOff>
      <xdr:row>3</xdr:row>
      <xdr:rowOff>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SpPr/>
      </xdr:nvSpPr>
      <xdr:spPr>
        <a:xfrm rot="16200000">
          <a:off x="10219627770" y="87630"/>
          <a:ext cx="601980" cy="65532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2022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76200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/>
      </xdr:nvSpPr>
      <xdr:spPr>
        <a:xfrm rot="16200000">
          <a:off x="10227758310" y="-933450"/>
          <a:ext cx="685800" cy="270510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19</xdr:col>
      <xdr:colOff>7620</xdr:colOff>
      <xdr:row>0</xdr:row>
      <xdr:rowOff>152400</xdr:rowOff>
    </xdr:from>
    <xdr:to>
      <xdr:col>21</xdr:col>
      <xdr:colOff>0</xdr:colOff>
      <xdr:row>2</xdr:row>
      <xdr:rowOff>289560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SpPr/>
      </xdr:nvSpPr>
      <xdr:spPr>
        <a:xfrm rot="16200000">
          <a:off x="10225822830" y="-171450"/>
          <a:ext cx="594360" cy="124206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2022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76200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/>
      </xdr:nvSpPr>
      <xdr:spPr>
        <a:xfrm rot="16200000">
          <a:off x="10225243710" y="-933450"/>
          <a:ext cx="685800" cy="270510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19</xdr:col>
      <xdr:colOff>7620</xdr:colOff>
      <xdr:row>0</xdr:row>
      <xdr:rowOff>152400</xdr:rowOff>
    </xdr:from>
    <xdr:to>
      <xdr:col>21</xdr:col>
      <xdr:colOff>0</xdr:colOff>
      <xdr:row>2</xdr:row>
      <xdr:rowOff>289560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SpPr/>
      </xdr:nvSpPr>
      <xdr:spPr>
        <a:xfrm rot="16200000">
          <a:off x="10223308230" y="-171450"/>
          <a:ext cx="594360" cy="124206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2022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12</xdr:row>
      <xdr:rowOff>68581</xdr:rowOff>
    </xdr:from>
    <xdr:to>
      <xdr:col>8</xdr:col>
      <xdr:colOff>327660</xdr:colOff>
      <xdr:row>35</xdr:row>
      <xdr:rowOff>7621</xdr:rowOff>
    </xdr:to>
    <xdr:pic>
      <xdr:nvPicPr>
        <xdr:cNvPr id="4" name="תמונה 3" descr="תמונה הרצליה עיר חכמה במסגרת פרויקט מערכת שליטה ובקרה מצלמות ופריסת תשתיות תקשורת ברחבי העיר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2174100" y="2468881"/>
          <a:ext cx="7322820" cy="397002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68580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/>
      </xdr:nvSpPr>
      <xdr:spPr>
        <a:xfrm rot="16200000">
          <a:off x="9600975210" y="-986790"/>
          <a:ext cx="563880" cy="267462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76200</xdr:rowOff>
    </xdr:from>
    <xdr:to>
      <xdr:col>21</xdr:col>
      <xdr:colOff>0</xdr:colOff>
      <xdr:row>3</xdr:row>
      <xdr:rowOff>7620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SpPr/>
      </xdr:nvSpPr>
      <xdr:spPr>
        <a:xfrm rot="16200000">
          <a:off x="9599295000" y="15240"/>
          <a:ext cx="563880" cy="68580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2022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68580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/>
      </xdr:nvSpPr>
      <xdr:spPr>
        <a:xfrm rot="16200000">
          <a:off x="9597759570" y="-979170"/>
          <a:ext cx="563880" cy="265938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76200</xdr:rowOff>
    </xdr:from>
    <xdr:to>
      <xdr:col>21</xdr:col>
      <xdr:colOff>0</xdr:colOff>
      <xdr:row>3</xdr:row>
      <xdr:rowOff>7620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/>
      </xdr:nvSpPr>
      <xdr:spPr>
        <a:xfrm rot="16200000">
          <a:off x="9595747890" y="-323850"/>
          <a:ext cx="563880" cy="136398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2022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</xdr:colOff>
      <xdr:row>0</xdr:row>
      <xdr:rowOff>15240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SpPr/>
      </xdr:nvSpPr>
      <xdr:spPr>
        <a:xfrm rot="16200000">
          <a:off x="9975966840" y="-990600"/>
          <a:ext cx="708660" cy="272034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38100</xdr:rowOff>
    </xdr:from>
    <xdr:to>
      <xdr:col>21</xdr:col>
      <xdr:colOff>0</xdr:colOff>
      <xdr:row>2</xdr:row>
      <xdr:rowOff>251460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SpPr/>
      </xdr:nvSpPr>
      <xdr:spPr>
        <a:xfrm rot="16200000">
          <a:off x="9973958970" y="-293370"/>
          <a:ext cx="670560" cy="133350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2022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</xdr:colOff>
      <xdr:row>0</xdr:row>
      <xdr:rowOff>15240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 rot="16200000">
          <a:off x="9975692520" y="-990600"/>
          <a:ext cx="708660" cy="272034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38100</xdr:rowOff>
    </xdr:from>
    <xdr:to>
      <xdr:col>21</xdr:col>
      <xdr:colOff>0</xdr:colOff>
      <xdr:row>2</xdr:row>
      <xdr:rowOff>251460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SpPr/>
      </xdr:nvSpPr>
      <xdr:spPr>
        <a:xfrm rot="16200000">
          <a:off x="9973684650" y="-293370"/>
          <a:ext cx="670560" cy="133350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2022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114300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SpPr/>
      </xdr:nvSpPr>
      <xdr:spPr>
        <a:xfrm rot="16200000">
          <a:off x="10224862710" y="-918210"/>
          <a:ext cx="571500" cy="263652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91440</xdr:rowOff>
    </xdr:from>
    <xdr:to>
      <xdr:col>21</xdr:col>
      <xdr:colOff>0</xdr:colOff>
      <xdr:row>2</xdr:row>
      <xdr:rowOff>205740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SpPr/>
      </xdr:nvSpPr>
      <xdr:spPr>
        <a:xfrm rot="16200000">
          <a:off x="10225007490" y="-316230"/>
          <a:ext cx="571500" cy="138684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2022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0</xdr:row>
      <xdr:rowOff>76200</xdr:rowOff>
    </xdr:from>
    <xdr:to>
      <xdr:col>13</xdr:col>
      <xdr:colOff>0</xdr:colOff>
      <xdr:row>2</xdr:row>
      <xdr:rowOff>213360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 rot="16200000">
          <a:off x="10227842130" y="-1245870"/>
          <a:ext cx="624840" cy="326898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13</xdr:col>
      <xdr:colOff>0</xdr:colOff>
      <xdr:row>0</xdr:row>
      <xdr:rowOff>68580</xdr:rowOff>
    </xdr:from>
    <xdr:to>
      <xdr:col>19</xdr:col>
      <xdr:colOff>0</xdr:colOff>
      <xdr:row>2</xdr:row>
      <xdr:rowOff>243840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rot="16200000">
          <a:off x="10226466720" y="-373380"/>
          <a:ext cx="662940" cy="154686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2022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114300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/>
      </xdr:nvSpPr>
      <xdr:spPr>
        <a:xfrm rot="16200000">
          <a:off x="10222477650" y="-918210"/>
          <a:ext cx="571500" cy="263652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14</xdr:col>
      <xdr:colOff>655320</xdr:colOff>
      <xdr:row>0</xdr:row>
      <xdr:rowOff>114300</xdr:rowOff>
    </xdr:from>
    <xdr:to>
      <xdr:col>20</xdr:col>
      <xdr:colOff>655320</xdr:colOff>
      <xdr:row>3</xdr:row>
      <xdr:rowOff>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SpPr/>
      </xdr:nvSpPr>
      <xdr:spPr>
        <a:xfrm rot="16200000">
          <a:off x="10220850780" y="83820"/>
          <a:ext cx="571500" cy="63246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2022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0</xdr:row>
      <xdr:rowOff>76200</xdr:rowOff>
    </xdr:from>
    <xdr:to>
      <xdr:col>13</xdr:col>
      <xdr:colOff>0</xdr:colOff>
      <xdr:row>2</xdr:row>
      <xdr:rowOff>213360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SpPr/>
      </xdr:nvSpPr>
      <xdr:spPr>
        <a:xfrm rot="16200000">
          <a:off x="10230932040" y="388620"/>
          <a:ext cx="624840" cy="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6922</xdr:colOff>
      <xdr:row>0</xdr:row>
      <xdr:rowOff>145472</xdr:rowOff>
    </xdr:from>
    <xdr:to>
      <xdr:col>14</xdr:col>
      <xdr:colOff>706581</xdr:colOff>
      <xdr:row>4</xdr:row>
      <xdr:rowOff>1385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SpPr/>
      </xdr:nvSpPr>
      <xdr:spPr>
        <a:xfrm rot="16200000">
          <a:off x="10223182153" y="458239"/>
          <a:ext cx="625533" cy="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0</xdr:row>
      <xdr:rowOff>76200</xdr:rowOff>
    </xdr:from>
    <xdr:to>
      <xdr:col>14</xdr:col>
      <xdr:colOff>792480</xdr:colOff>
      <xdr:row>4</xdr:row>
      <xdr:rowOff>7620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SpPr/>
      </xdr:nvSpPr>
      <xdr:spPr>
        <a:xfrm rot="16200000">
          <a:off x="10232650350" y="-3036570"/>
          <a:ext cx="563880" cy="678942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</xdr:colOff>
      <xdr:row>0</xdr:row>
      <xdr:rowOff>129540</xdr:rowOff>
    </xdr:from>
    <xdr:to>
      <xdr:col>14</xdr:col>
      <xdr:colOff>723900</xdr:colOff>
      <xdr:row>3</xdr:row>
      <xdr:rowOff>266700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/>
      </xdr:nvSpPr>
      <xdr:spPr>
        <a:xfrm rot="16200000">
          <a:off x="10473720480" y="426720"/>
          <a:ext cx="594360" cy="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</xdr:colOff>
      <xdr:row>0</xdr:row>
      <xdr:rowOff>129540</xdr:rowOff>
    </xdr:from>
    <xdr:to>
      <xdr:col>14</xdr:col>
      <xdr:colOff>708660</xdr:colOff>
      <xdr:row>3</xdr:row>
      <xdr:rowOff>205740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/>
      </xdr:nvSpPr>
      <xdr:spPr>
        <a:xfrm rot="16200000">
          <a:off x="10470802020" y="396240"/>
          <a:ext cx="533400" cy="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91440</xdr:rowOff>
    </xdr:from>
    <xdr:to>
      <xdr:col>14</xdr:col>
      <xdr:colOff>655320</xdr:colOff>
      <xdr:row>4</xdr:row>
      <xdr:rowOff>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3700-000003000000}"/>
            </a:ext>
          </a:extLst>
        </xdr:cNvPr>
        <xdr:cNvSpPr/>
      </xdr:nvSpPr>
      <xdr:spPr>
        <a:xfrm rot="16200000">
          <a:off x="9602129640" y="373380"/>
          <a:ext cx="563880" cy="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 לפרויקט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83820</xdr:rowOff>
    </xdr:from>
    <xdr:to>
      <xdr:col>15</xdr:col>
      <xdr:colOff>0</xdr:colOff>
      <xdr:row>4</xdr:row>
      <xdr:rowOff>15240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SpPr/>
      </xdr:nvSpPr>
      <xdr:spPr>
        <a:xfrm rot="16200000">
          <a:off x="10221708030" y="407670"/>
          <a:ext cx="647700" cy="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81936</xdr:rowOff>
    </xdr:from>
    <xdr:to>
      <xdr:col>15</xdr:col>
      <xdr:colOff>0</xdr:colOff>
      <xdr:row>4</xdr:row>
      <xdr:rowOff>10898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SpPr/>
      </xdr:nvSpPr>
      <xdr:spPr>
        <a:xfrm rot="16200000">
          <a:off x="10225549739" y="427417"/>
          <a:ext cx="690962" cy="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15240</xdr:rowOff>
    </xdr:from>
    <xdr:to>
      <xdr:col>14</xdr:col>
      <xdr:colOff>655320</xdr:colOff>
      <xdr:row>3</xdr:row>
      <xdr:rowOff>251460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SpPr/>
      </xdr:nvSpPr>
      <xdr:spPr>
        <a:xfrm rot="16200000">
          <a:off x="10221342270" y="361950"/>
          <a:ext cx="693420" cy="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160020"/>
    <xdr:ext cx="9201150" cy="5619750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תרשים 1" descr="תרשים חלוקת ההשקעה בתקציב לפי פרקים">
              <a:extLst>
                <a:ext uri="{FF2B5EF4-FFF2-40B4-BE49-F238E27FC236}">
                  <a16:creationId xmlns:a16="http://schemas.microsoft.com/office/drawing/2014/main" id="{00000000-0008-0000-0C00-00000200000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78485250" y="160020"/>
              <a:ext cx="9201150" cy="5619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e-IL" sz="1100"/>
                <a:t>‏תרשים זה אינו זמין בגירסת Excel שברשותך.
עריכת צורה זו או שמירת חוברת עבודה זו בתבנית קובץ אחרת תנתק את התרשים לצמיתות.</a:t>
              </a:r>
            </a:p>
          </xdr:txBody>
        </xdr:sp>
      </mc:Fallback>
    </mc:AlternateContent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76200</xdr:rowOff>
    </xdr:from>
    <xdr:to>
      <xdr:col>15</xdr:col>
      <xdr:colOff>0</xdr:colOff>
      <xdr:row>4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SpPr/>
      </xdr:nvSpPr>
      <xdr:spPr>
        <a:xfrm rot="16200000">
          <a:off x="10222146180" y="419100"/>
          <a:ext cx="685800" cy="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68580</xdr:rowOff>
    </xdr:from>
    <xdr:to>
      <xdr:col>15</xdr:col>
      <xdr:colOff>0</xdr:colOff>
      <xdr:row>4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SpPr/>
      </xdr:nvSpPr>
      <xdr:spPr>
        <a:xfrm rot="16200000">
          <a:off x="9973429380" y="457200"/>
          <a:ext cx="777240" cy="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</xdr:colOff>
      <xdr:row>0</xdr:row>
      <xdr:rowOff>15240</xdr:rowOff>
    </xdr:from>
    <xdr:to>
      <xdr:col>15</xdr:col>
      <xdr:colOff>0</xdr:colOff>
      <xdr:row>4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SpPr/>
      </xdr:nvSpPr>
      <xdr:spPr>
        <a:xfrm rot="16200000">
          <a:off x="10221487050" y="369570"/>
          <a:ext cx="708660" cy="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114300</xdr:rowOff>
    </xdr:from>
    <xdr:to>
      <xdr:col>15</xdr:col>
      <xdr:colOff>0</xdr:colOff>
      <xdr:row>4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SpPr/>
      </xdr:nvSpPr>
      <xdr:spPr>
        <a:xfrm rot="16200000">
          <a:off x="10223757810" y="-849630"/>
          <a:ext cx="655320" cy="258318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754380</xdr:colOff>
      <xdr:row>0</xdr:row>
      <xdr:rowOff>99060</xdr:rowOff>
    </xdr:from>
    <xdr:to>
      <xdr:col>12</xdr:col>
      <xdr:colOff>853440</xdr:colOff>
      <xdr:row>2</xdr:row>
      <xdr:rowOff>236220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 rot="16200000">
          <a:off x="10228939410" y="-1238250"/>
          <a:ext cx="624840" cy="329946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13</xdr:col>
      <xdr:colOff>0</xdr:colOff>
      <xdr:row>0</xdr:row>
      <xdr:rowOff>68580</xdr:rowOff>
    </xdr:from>
    <xdr:to>
      <xdr:col>19</xdr:col>
      <xdr:colOff>0</xdr:colOff>
      <xdr:row>2</xdr:row>
      <xdr:rowOff>281940</xdr:rowOff>
    </xdr:to>
    <xdr:sp macro="" textlink="">
      <xdr:nvSpPr>
        <xdr:cNvPr id="5" name="סוגר מסולסל ימני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 rot="16200000">
          <a:off x="10226470530" y="-354330"/>
          <a:ext cx="701040" cy="154686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</a:t>
          </a:r>
          <a:r>
            <a:rPr lang="en-US" sz="900">
              <a:solidFill>
                <a:schemeClr val="tx1"/>
              </a:solidFill>
              <a:latin typeface="+mn-lt"/>
              <a:ea typeface="+mn-ea"/>
              <a:cs typeface="+mn-cs"/>
            </a:rPr>
            <a:t>2022</a:t>
          </a:r>
          <a:endParaRPr lang="he-IL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200" y="333375"/>
    <xdr:ext cx="9201150" cy="5619750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תרשים 1" descr="תרשים התקציב לפי מקורות מימון">
              <a:extLst>
                <a:ext uri="{FF2B5EF4-FFF2-40B4-BE49-F238E27FC236}">
                  <a16:creationId xmlns:a16="http://schemas.microsoft.com/office/drawing/2014/main" id="{00000000-0008-0000-0F00-00000200000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78409050" y="333375"/>
              <a:ext cx="9201150" cy="5619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e-IL" sz="1100"/>
                <a:t>‏תרשים זה אינו זמין בגירסת Excel שברשותך.
עריכת צורה זו או שמירת חוברת עבודה זו בתבנית קובץ אחרת תנתק את התרשים לצמיתות.</a:t>
              </a:r>
            </a:p>
          </xdr:txBody>
        </xdr:sp>
      </mc:Fallback>
    </mc:AlternateContent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</xdr:colOff>
      <xdr:row>15</xdr:row>
      <xdr:rowOff>129540</xdr:rowOff>
    </xdr:from>
    <xdr:to>
      <xdr:col>4</xdr:col>
      <xdr:colOff>2674620</xdr:colOff>
      <xdr:row>35</xdr:row>
      <xdr:rowOff>175260</xdr:rowOff>
    </xdr:to>
    <xdr:pic>
      <xdr:nvPicPr>
        <xdr:cNvPr id="5" name="תמונה 4" descr="תמונה פרויקט רחוב זוהר טל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3698100" y="3573780"/>
          <a:ext cx="5181600" cy="35509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</xdr:colOff>
      <xdr:row>0</xdr:row>
      <xdr:rowOff>165562</xdr:rowOff>
    </xdr:from>
    <xdr:to>
      <xdr:col>21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 rot="16200000">
          <a:off x="10213572641" y="-237259"/>
          <a:ext cx="604058" cy="140970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2022</a:t>
          </a:r>
        </a:p>
      </xdr:txBody>
    </xdr:sp>
    <xdr:clientData/>
  </xdr:twoCellAnchor>
  <xdr:twoCellAnchor>
    <xdr:from>
      <xdr:col>6</xdr:col>
      <xdr:colOff>6922</xdr:colOff>
      <xdr:row>0</xdr:row>
      <xdr:rowOff>145472</xdr:rowOff>
    </xdr:from>
    <xdr:to>
      <xdr:col>14</xdr:col>
      <xdr:colOff>706581</xdr:colOff>
      <xdr:row>3</xdr:row>
      <xdr:rowOff>1385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 rot="16200000">
          <a:off x="10215616533" y="-881842"/>
          <a:ext cx="625533" cy="2680161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</xdr:colOff>
      <xdr:row>0</xdr:row>
      <xdr:rowOff>165562</xdr:rowOff>
    </xdr:from>
    <xdr:to>
      <xdr:col>21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 rot="16200000">
          <a:off x="10208570111" y="-180109"/>
          <a:ext cx="604058" cy="129540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2022</a:t>
          </a:r>
        </a:p>
      </xdr:txBody>
    </xdr:sp>
    <xdr:clientData/>
  </xdr:twoCellAnchor>
  <xdr:twoCellAnchor>
    <xdr:from>
      <xdr:col>6</xdr:col>
      <xdr:colOff>6922</xdr:colOff>
      <xdr:row>0</xdr:row>
      <xdr:rowOff>145472</xdr:rowOff>
    </xdr:from>
    <xdr:to>
      <xdr:col>14</xdr:col>
      <xdr:colOff>706581</xdr:colOff>
      <xdr:row>3</xdr:row>
      <xdr:rowOff>1385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 rot="16200000">
          <a:off x="10210556853" y="-881842"/>
          <a:ext cx="625533" cy="2680161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514;&#1493;&#1499;&#1504;&#1497;&#1514;%20&#1506;&#1489;&#1493;&#1491;&#1492;%202022\&#1492;&#1499;&#1504;&#1514;%20&#1514;&#1511;&#1510;&#1497;&#1489;%202022\&#1511;&#1512;&#1504;&#1493;&#1514;%20&#1492;&#1512;&#1513;&#1493;&#1514;%20&#1514;.&#1506;.%202022\&#1502;&#1497;&#1502;&#1493;&#1513;%20&#1489;&#1508;&#1493;&#1506;&#1500;%20&#1514;&#1511;&#1510;&#1497;&#1489;%209.2021%20&#1514;.&#1506;.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תקציב 2021"/>
      <sheetName val="תוכן ענינים"/>
      <sheetName val="מבוא"/>
      <sheetName val="תקציב 2020"/>
      <sheetName val="תקציב 2021 "/>
      <sheetName val="תקציב 2021 פרקים"/>
      <sheetName val="תקציב 2021  אגפים "/>
      <sheetName val="תקציב 2021  מקורות "/>
      <sheetName val="תקציב 2021 קרנות הרשות"/>
      <sheetName val="תקציב 2021 מקורות אחרים"/>
      <sheetName val="תרשים אגפים"/>
      <sheetName val="ריכוז אגפים"/>
      <sheetName val="תרשים פרקים"/>
      <sheetName val="ריכוז פרקים"/>
      <sheetName val="פרוט מקורות אחרים"/>
      <sheetName val="תרשים מקורות מימון"/>
      <sheetName val="הנדסה 2021"/>
      <sheetName val="הנדסה 2020 (2)"/>
      <sheetName val="תקציב הנדסה 2021"/>
      <sheetName val="תקציב הנדסה 2021 תאור"/>
      <sheetName val="תקציב הנדסה 2021 פרקים"/>
      <sheetName val="החברה לפיתוח 2021"/>
      <sheetName val="החב. לפיתוח 2021"/>
      <sheetName val="תקציב החברה לפיתוח 2021 "/>
      <sheetName val="תקציב החברה לפיתוח 2021 תאור"/>
      <sheetName val="תקציב החברה לפיתוח 2021 פרקים"/>
      <sheetName val="אגף ת.ב.ל 2021"/>
      <sheetName val="אגף ת.ב.ל 2021 (2)"/>
      <sheetName val="תקציב אגף ת.ב.ל 2021  "/>
      <sheetName val="תקציב אגף ת.ב.ל 2021 תאור"/>
      <sheetName val="תקציב אגף ת.ב.ל 2021 פרקים"/>
      <sheetName val="אגף בטחון פיקוח סד&quot;צ 2021"/>
      <sheetName val="תקציב אגף בטחון פיקוח סד&quot;צ 2021"/>
      <sheetName val="תקציב אגף בטחון פיקוח סד&quot;צ  פרק"/>
      <sheetName val="אגף חינוך 2021"/>
      <sheetName val="תקציב אגף חינוך 2021 "/>
      <sheetName val="תקציב אגף חינוך 2021  פרקים"/>
      <sheetName val="אגף תנוס 2021"/>
      <sheetName val="תקציב אגף תנוס 2021 "/>
      <sheetName val="תקציב אגף תנוס 2021 פרק"/>
      <sheetName val="אגף שאיפה 2021"/>
      <sheetName val="אגף שאיפה 2021 (2)"/>
      <sheetName val="תקציב אגף שאיפה  2021 "/>
      <sheetName val="תקציב אגף שאיפה  2021  תאור"/>
      <sheetName val="תקציב אגף שאיפה  2021  פרקים"/>
      <sheetName val="רשות החופים 2021"/>
      <sheetName val="תקציב רשות החופים 2021 "/>
      <sheetName val="תקציב רשות החופים 2021  פרקים"/>
      <sheetName val="החברה לתירות 2021"/>
      <sheetName val="תקציב החברה לתירות 2021 "/>
      <sheetName val="תקציב החברה לתירות 2021 פרקים"/>
      <sheetName val="אגף תקשוב ומע. מידע 2021"/>
      <sheetName val="אגף תקשוב ומע. מידע 2021 (2)"/>
      <sheetName val="תקציב אגף תקשוב 2021 "/>
      <sheetName val="תקציב אגף תקשוב 2021 פרקים"/>
      <sheetName val="אגף נכסים וביטוח 2021"/>
      <sheetName val="תקציב אגף נכסים וביטוח 2021"/>
      <sheetName val="תקציב אגף נכסים וביטוח 2021פרק"/>
      <sheetName val="מינהל כללי 2021"/>
      <sheetName val="תקציב מינהל כללי 2021  "/>
      <sheetName val="תקציב מינהל כללי 2021 פרקים"/>
      <sheetName val="תקציב 2020 - ביצוע"/>
      <sheetName val="ריכוז אגפים 2020"/>
      <sheetName val="תקציב הנדסה 2020 "/>
      <sheetName val="תקציב החברה לפיתוח 2020"/>
      <sheetName val="תקציב אגף ת.ב.ל 2020 "/>
      <sheetName val="תקציב אגף בטחון פיקוח סד&quot;צ 20"/>
      <sheetName val="תקציב אגף חינוך 2020"/>
      <sheetName val="תקציב אגף תנוס 2020 "/>
      <sheetName val="תקציב אגף שאיפה  2020  "/>
      <sheetName val="תקציב רשות החופים 2020 "/>
      <sheetName val="תקציב החברה לתירות 2020 "/>
      <sheetName val="תקציב אגף תקשוב 2020 "/>
      <sheetName val="תקציב אגף נכסים וביטוח 2020 "/>
      <sheetName val="תקציב מינהל כללי 2020 "/>
      <sheetName val="ריכוז תקציב מעבר לתוכנית 2020"/>
      <sheetName val="פרויקטים החב. לפיתוח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3">
          <cell r="A83">
            <v>78</v>
          </cell>
          <cell r="D83">
            <v>600898791</v>
          </cell>
          <cell r="E83">
            <v>548923791</v>
          </cell>
          <cell r="F83">
            <v>51975000</v>
          </cell>
          <cell r="G83">
            <v>299011552</v>
          </cell>
          <cell r="H83">
            <v>243957723</v>
          </cell>
          <cell r="I83">
            <v>10062920</v>
          </cell>
          <cell r="J83">
            <v>8699859</v>
          </cell>
          <cell r="K83">
            <v>18762779</v>
          </cell>
          <cell r="L83">
            <v>262720502</v>
          </cell>
          <cell r="M83">
            <v>6991050</v>
          </cell>
          <cell r="N83">
            <v>48230000</v>
          </cell>
          <cell r="O83">
            <v>282957239</v>
          </cell>
          <cell r="P83">
            <v>36291050</v>
          </cell>
          <cell r="Q83">
            <v>0</v>
          </cell>
          <cell r="R83">
            <v>0</v>
          </cell>
          <cell r="S83">
            <v>0</v>
          </cell>
          <cell r="T83">
            <v>29300000</v>
          </cell>
          <cell r="U83">
            <v>18930000</v>
          </cell>
          <cell r="V83">
            <v>14768750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4161250</v>
          </cell>
          <cell r="AD83">
            <v>-1640000</v>
          </cell>
          <cell r="AE83">
            <v>-1640000</v>
          </cell>
          <cell r="AF83">
            <v>-420000</v>
          </cell>
          <cell r="AG83">
            <v>50000</v>
          </cell>
          <cell r="AH83">
            <v>0</v>
          </cell>
          <cell r="AI83">
            <v>-400000</v>
          </cell>
          <cell r="AJ83">
            <v>380000</v>
          </cell>
          <cell r="AK83">
            <v>3100000</v>
          </cell>
        </row>
      </sheetData>
      <sheetData sheetId="19"/>
      <sheetData sheetId="20"/>
      <sheetData sheetId="21"/>
      <sheetData sheetId="22"/>
      <sheetData sheetId="23">
        <row r="122">
          <cell r="A122">
            <v>112</v>
          </cell>
          <cell r="D122">
            <v>3016552982</v>
          </cell>
          <cell r="E122">
            <v>2814020125</v>
          </cell>
          <cell r="F122">
            <v>202532857</v>
          </cell>
          <cell r="G122">
            <v>1302929053</v>
          </cell>
          <cell r="H122">
            <v>954337610</v>
          </cell>
          <cell r="I122">
            <v>3498227</v>
          </cell>
          <cell r="J122">
            <v>46047637</v>
          </cell>
          <cell r="K122">
            <v>49545864</v>
          </cell>
          <cell r="L122">
            <v>1003883474</v>
          </cell>
          <cell r="M122">
            <v>334368675</v>
          </cell>
          <cell r="N122">
            <v>355041039</v>
          </cell>
          <cell r="O122">
            <v>1323259794</v>
          </cell>
          <cell r="P122">
            <v>299045579</v>
          </cell>
          <cell r="Q122">
            <v>74272096</v>
          </cell>
          <cell r="R122">
            <v>0</v>
          </cell>
          <cell r="S122">
            <v>74272096</v>
          </cell>
          <cell r="T122">
            <v>38949000</v>
          </cell>
          <cell r="U122">
            <v>316092039</v>
          </cell>
          <cell r="V122">
            <v>205348607</v>
          </cell>
          <cell r="W122">
            <v>0</v>
          </cell>
          <cell r="X122">
            <v>0</v>
          </cell>
          <cell r="Y122">
            <v>18000000</v>
          </cell>
          <cell r="Z122">
            <v>0</v>
          </cell>
          <cell r="AA122">
            <v>92743432</v>
          </cell>
          <cell r="AD122">
            <v>0</v>
          </cell>
          <cell r="AE122">
            <v>0</v>
          </cell>
          <cell r="AF122">
            <v>4102160</v>
          </cell>
          <cell r="AG122">
            <v>3600000</v>
          </cell>
          <cell r="AH122">
            <v>-16863681</v>
          </cell>
          <cell r="AI122">
            <v>4000000</v>
          </cell>
          <cell r="AJ122">
            <v>23463601</v>
          </cell>
          <cell r="AK122">
            <v>28817333</v>
          </cell>
          <cell r="AM122">
            <v>214450023</v>
          </cell>
          <cell r="AN122">
            <v>101642016</v>
          </cell>
          <cell r="AO122">
            <v>175887871</v>
          </cell>
          <cell r="AP122">
            <v>0</v>
          </cell>
          <cell r="AQ122">
            <v>0</v>
          </cell>
          <cell r="AR122">
            <v>18000000</v>
          </cell>
          <cell r="AS122">
            <v>0</v>
          </cell>
          <cell r="AT122">
            <v>20562152</v>
          </cell>
        </row>
      </sheetData>
      <sheetData sheetId="24"/>
      <sheetData sheetId="25"/>
      <sheetData sheetId="26"/>
      <sheetData sheetId="27"/>
      <sheetData sheetId="28">
        <row r="65">
          <cell r="A65">
            <v>60</v>
          </cell>
          <cell r="D65">
            <v>449596201</v>
          </cell>
          <cell r="E65">
            <v>410399105</v>
          </cell>
          <cell r="F65">
            <v>39197096</v>
          </cell>
          <cell r="G65">
            <v>271815901</v>
          </cell>
          <cell r="H65">
            <v>208629485</v>
          </cell>
          <cell r="I65">
            <v>12784862</v>
          </cell>
          <cell r="J65">
            <v>33564893</v>
          </cell>
          <cell r="K65">
            <v>46349755</v>
          </cell>
          <cell r="L65">
            <v>254979240</v>
          </cell>
          <cell r="M65">
            <v>15956661</v>
          </cell>
          <cell r="N65">
            <v>68461300</v>
          </cell>
          <cell r="O65">
            <v>110199000</v>
          </cell>
          <cell r="P65">
            <v>16836661</v>
          </cell>
          <cell r="Q65">
            <v>0</v>
          </cell>
          <cell r="R65">
            <v>0</v>
          </cell>
          <cell r="S65">
            <v>0</v>
          </cell>
          <cell r="T65">
            <v>880000</v>
          </cell>
          <cell r="U65">
            <v>67581300</v>
          </cell>
          <cell r="V65">
            <v>22191300</v>
          </cell>
          <cell r="W65">
            <v>24724113</v>
          </cell>
          <cell r="X65">
            <v>0</v>
          </cell>
          <cell r="Y65">
            <v>0</v>
          </cell>
          <cell r="Z65">
            <v>7100000</v>
          </cell>
          <cell r="AA65">
            <v>13565887</v>
          </cell>
          <cell r="AD65">
            <v>520000</v>
          </cell>
          <cell r="AE65">
            <v>16420000</v>
          </cell>
          <cell r="AF65">
            <v>11267500</v>
          </cell>
          <cell r="AG65">
            <v>3100000</v>
          </cell>
          <cell r="AH65">
            <v>4160000</v>
          </cell>
          <cell r="AI65">
            <v>3092500</v>
          </cell>
          <cell r="AJ65">
            <v>3850000</v>
          </cell>
          <cell r="AK65">
            <v>3550000</v>
          </cell>
          <cell r="AM65">
            <v>47980000</v>
          </cell>
          <cell r="AN65">
            <v>19601300</v>
          </cell>
          <cell r="AO65">
            <v>21650000</v>
          </cell>
          <cell r="AP65">
            <v>24491728</v>
          </cell>
          <cell r="AQ65">
            <v>0</v>
          </cell>
          <cell r="AR65">
            <v>0</v>
          </cell>
          <cell r="AS65">
            <v>0</v>
          </cell>
          <cell r="AT65">
            <v>1838272</v>
          </cell>
        </row>
      </sheetData>
      <sheetData sheetId="29"/>
      <sheetData sheetId="30"/>
      <sheetData sheetId="31"/>
      <sheetData sheetId="32">
        <row r="7">
          <cell r="A7">
            <v>2</v>
          </cell>
          <cell r="D7">
            <v>4300000</v>
          </cell>
          <cell r="E7">
            <v>4300000</v>
          </cell>
          <cell r="F7">
            <v>0</v>
          </cell>
          <cell r="G7">
            <v>3100000</v>
          </cell>
          <cell r="H7">
            <v>1908729</v>
          </cell>
          <cell r="I7">
            <v>0</v>
          </cell>
          <cell r="J7">
            <v>144168</v>
          </cell>
          <cell r="K7">
            <v>144168</v>
          </cell>
          <cell r="L7">
            <v>2052897</v>
          </cell>
          <cell r="M7">
            <v>347103</v>
          </cell>
          <cell r="N7">
            <v>700000</v>
          </cell>
          <cell r="O7">
            <v>1200000</v>
          </cell>
          <cell r="P7">
            <v>1047103</v>
          </cell>
          <cell r="Q7">
            <v>0</v>
          </cell>
          <cell r="R7">
            <v>0</v>
          </cell>
          <cell r="S7">
            <v>0</v>
          </cell>
          <cell r="T7">
            <v>700000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</row>
      </sheetData>
      <sheetData sheetId="33"/>
      <sheetData sheetId="34"/>
      <sheetData sheetId="35">
        <row r="26">
          <cell r="A26">
            <v>21</v>
          </cell>
          <cell r="D26">
            <v>44987720</v>
          </cell>
          <cell r="E26">
            <v>38052720</v>
          </cell>
          <cell r="F26">
            <v>6935000</v>
          </cell>
          <cell r="G26">
            <v>12832720</v>
          </cell>
          <cell r="H26">
            <v>7611002</v>
          </cell>
          <cell r="I26">
            <v>1483152</v>
          </cell>
          <cell r="J26">
            <v>1293005</v>
          </cell>
          <cell r="K26">
            <v>2776157</v>
          </cell>
          <cell r="L26">
            <v>10387159</v>
          </cell>
          <cell r="M26">
            <v>2445561</v>
          </cell>
          <cell r="N26">
            <v>6320000</v>
          </cell>
          <cell r="O26">
            <v>25835000</v>
          </cell>
          <cell r="P26">
            <v>2445561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6320000</v>
          </cell>
          <cell r="V26">
            <v>0</v>
          </cell>
          <cell r="W26">
            <v>3496000</v>
          </cell>
          <cell r="X26">
            <v>0</v>
          </cell>
          <cell r="Y26">
            <v>0</v>
          </cell>
          <cell r="Z26">
            <v>0</v>
          </cell>
          <cell r="AA26">
            <v>2824000</v>
          </cell>
          <cell r="AD26">
            <v>0</v>
          </cell>
          <cell r="AE26">
            <v>500000</v>
          </cell>
          <cell r="AF26">
            <v>0</v>
          </cell>
          <cell r="AG26">
            <v>1080000</v>
          </cell>
          <cell r="AH26">
            <v>2680000</v>
          </cell>
          <cell r="AI26">
            <v>0</v>
          </cell>
          <cell r="AJ26">
            <v>0</v>
          </cell>
          <cell r="AK26">
            <v>16000</v>
          </cell>
          <cell r="AM26">
            <v>4576000</v>
          </cell>
          <cell r="AN26">
            <v>1744000</v>
          </cell>
          <cell r="AO26">
            <v>0</v>
          </cell>
          <cell r="AP26">
            <v>3496000</v>
          </cell>
          <cell r="AQ26">
            <v>0</v>
          </cell>
          <cell r="AR26">
            <v>0</v>
          </cell>
          <cell r="AS26">
            <v>0</v>
          </cell>
          <cell r="AT26">
            <v>1080000</v>
          </cell>
        </row>
      </sheetData>
      <sheetData sheetId="36"/>
      <sheetData sheetId="37"/>
      <sheetData sheetId="38">
        <row r="14">
          <cell r="A14">
            <v>9</v>
          </cell>
          <cell r="D14">
            <v>20830594</v>
          </cell>
          <cell r="E14">
            <v>20139594</v>
          </cell>
          <cell r="F14">
            <v>691000</v>
          </cell>
          <cell r="G14">
            <v>14395365</v>
          </cell>
          <cell r="H14">
            <v>12328666</v>
          </cell>
          <cell r="I14">
            <v>0</v>
          </cell>
          <cell r="J14">
            <v>917574</v>
          </cell>
          <cell r="K14">
            <v>917574</v>
          </cell>
          <cell r="L14">
            <v>13246240</v>
          </cell>
          <cell r="M14">
            <v>1149125</v>
          </cell>
          <cell r="N14">
            <v>2570000</v>
          </cell>
          <cell r="O14">
            <v>3865229</v>
          </cell>
          <cell r="P14">
            <v>1149125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2570000</v>
          </cell>
          <cell r="V14">
            <v>0</v>
          </cell>
          <cell r="W14">
            <v>2570000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D14">
            <v>350000</v>
          </cell>
          <cell r="AE14">
            <v>0</v>
          </cell>
          <cell r="AF14">
            <v>380000</v>
          </cell>
          <cell r="AG14">
            <v>0</v>
          </cell>
          <cell r="AH14">
            <v>690000</v>
          </cell>
          <cell r="AI14">
            <v>0</v>
          </cell>
          <cell r="AJ14">
            <v>750000</v>
          </cell>
          <cell r="AK14">
            <v>200000</v>
          </cell>
          <cell r="AM14">
            <v>2570000</v>
          </cell>
          <cell r="AN14">
            <v>0</v>
          </cell>
          <cell r="AO14">
            <v>0</v>
          </cell>
          <cell r="AP14">
            <v>2570000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</row>
      </sheetData>
      <sheetData sheetId="39"/>
      <sheetData sheetId="40"/>
      <sheetData sheetId="41"/>
      <sheetData sheetId="42">
        <row r="42">
          <cell r="A42">
            <v>37</v>
          </cell>
          <cell r="D42">
            <v>263941379</v>
          </cell>
          <cell r="E42">
            <v>232020379</v>
          </cell>
          <cell r="F42">
            <v>31921000</v>
          </cell>
          <cell r="G42">
            <v>203662245</v>
          </cell>
          <cell r="H42">
            <v>185965379</v>
          </cell>
          <cell r="I42">
            <v>0</v>
          </cell>
          <cell r="J42">
            <v>9211704</v>
          </cell>
          <cell r="K42">
            <v>9211704</v>
          </cell>
          <cell r="L42">
            <v>195177083</v>
          </cell>
          <cell r="M42">
            <v>6558162</v>
          </cell>
          <cell r="N42">
            <v>29162000</v>
          </cell>
          <cell r="O42">
            <v>33044134</v>
          </cell>
          <cell r="P42">
            <v>8485162</v>
          </cell>
          <cell r="Q42">
            <v>0</v>
          </cell>
          <cell r="R42">
            <v>0</v>
          </cell>
          <cell r="S42">
            <v>0</v>
          </cell>
          <cell r="T42">
            <v>1927000</v>
          </cell>
          <cell r="U42">
            <v>27235000</v>
          </cell>
          <cell r="V42">
            <v>533000</v>
          </cell>
          <cell r="W42">
            <v>7320000</v>
          </cell>
          <cell r="X42">
            <v>0</v>
          </cell>
          <cell r="Y42">
            <v>0</v>
          </cell>
          <cell r="Z42">
            <v>0</v>
          </cell>
          <cell r="AA42">
            <v>19382000</v>
          </cell>
          <cell r="AD42">
            <v>21000</v>
          </cell>
          <cell r="AE42">
            <v>2800000</v>
          </cell>
          <cell r="AF42">
            <v>4162000</v>
          </cell>
          <cell r="AG42">
            <v>0</v>
          </cell>
          <cell r="AH42">
            <v>150000</v>
          </cell>
          <cell r="AI42">
            <v>3400000</v>
          </cell>
          <cell r="AJ42">
            <v>1500000</v>
          </cell>
          <cell r="AK42">
            <v>2000000</v>
          </cell>
          <cell r="AM42">
            <v>14033000</v>
          </cell>
          <cell r="AN42">
            <v>13202000</v>
          </cell>
          <cell r="AO42">
            <v>-67000</v>
          </cell>
          <cell r="AP42">
            <v>6950000</v>
          </cell>
          <cell r="AQ42">
            <v>0</v>
          </cell>
          <cell r="AR42">
            <v>0</v>
          </cell>
          <cell r="AS42">
            <v>0</v>
          </cell>
          <cell r="AT42">
            <v>7150000</v>
          </cell>
        </row>
      </sheetData>
      <sheetData sheetId="43"/>
      <sheetData sheetId="44"/>
      <sheetData sheetId="45"/>
      <sheetData sheetId="46">
        <row r="19">
          <cell r="A19">
            <v>14</v>
          </cell>
          <cell r="D19">
            <v>8677424</v>
          </cell>
          <cell r="E19">
            <v>6436120</v>
          </cell>
          <cell r="F19">
            <v>2241304</v>
          </cell>
          <cell r="G19">
            <v>6301149</v>
          </cell>
          <cell r="H19">
            <v>5236930</v>
          </cell>
          <cell r="I19">
            <v>484961</v>
          </cell>
          <cell r="J19">
            <v>194526</v>
          </cell>
          <cell r="K19">
            <v>679487</v>
          </cell>
          <cell r="L19">
            <v>5916417</v>
          </cell>
          <cell r="M19">
            <v>369703</v>
          </cell>
          <cell r="N19">
            <v>1791304</v>
          </cell>
          <cell r="O19">
            <v>600000</v>
          </cell>
          <cell r="P19">
            <v>384732</v>
          </cell>
          <cell r="Q19">
            <v>0</v>
          </cell>
          <cell r="R19">
            <v>0</v>
          </cell>
          <cell r="S19">
            <v>0</v>
          </cell>
          <cell r="T19">
            <v>15029</v>
          </cell>
          <cell r="U19">
            <v>1776275</v>
          </cell>
          <cell r="V19">
            <v>0</v>
          </cell>
          <cell r="W19">
            <v>1700000</v>
          </cell>
          <cell r="X19">
            <v>0</v>
          </cell>
          <cell r="Y19">
            <v>0</v>
          </cell>
          <cell r="Z19">
            <v>0</v>
          </cell>
          <cell r="AA19">
            <v>76275</v>
          </cell>
          <cell r="AD19">
            <v>1076275</v>
          </cell>
          <cell r="AE19">
            <v>500000</v>
          </cell>
          <cell r="AF19">
            <v>200000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M19">
            <v>1776275</v>
          </cell>
          <cell r="AN19">
            <v>0</v>
          </cell>
          <cell r="AO19">
            <v>0</v>
          </cell>
          <cell r="AP19">
            <v>1700000</v>
          </cell>
          <cell r="AQ19">
            <v>0</v>
          </cell>
          <cell r="AR19">
            <v>0</v>
          </cell>
          <cell r="AS19">
            <v>0</v>
          </cell>
          <cell r="AT19">
            <v>76275</v>
          </cell>
        </row>
      </sheetData>
      <sheetData sheetId="47"/>
      <sheetData sheetId="48"/>
      <sheetData sheetId="49">
        <row r="11">
          <cell r="A11">
            <v>6</v>
          </cell>
          <cell r="D11">
            <v>20658000</v>
          </cell>
          <cell r="E11">
            <v>20658000</v>
          </cell>
          <cell r="F11">
            <v>0</v>
          </cell>
          <cell r="G11">
            <v>5895000</v>
          </cell>
          <cell r="H11">
            <v>4080804</v>
          </cell>
          <cell r="I11">
            <v>0</v>
          </cell>
          <cell r="J11">
            <v>0</v>
          </cell>
          <cell r="K11">
            <v>0</v>
          </cell>
          <cell r="L11">
            <v>4080804</v>
          </cell>
          <cell r="M11">
            <v>114196</v>
          </cell>
          <cell r="N11">
            <v>2700000</v>
          </cell>
          <cell r="O11">
            <v>13763000</v>
          </cell>
          <cell r="P11">
            <v>1814196</v>
          </cell>
          <cell r="Q11">
            <v>0</v>
          </cell>
          <cell r="R11">
            <v>0</v>
          </cell>
          <cell r="S11">
            <v>0</v>
          </cell>
          <cell r="T11">
            <v>1700000</v>
          </cell>
          <cell r="U11">
            <v>1000000</v>
          </cell>
          <cell r="V11">
            <v>771068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228932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M11">
            <v>0</v>
          </cell>
          <cell r="AN11">
            <v>1000000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</row>
      </sheetData>
      <sheetData sheetId="50"/>
      <sheetData sheetId="51"/>
      <sheetData sheetId="52"/>
      <sheetData sheetId="53">
        <row r="15">
          <cell r="A15">
            <v>10</v>
          </cell>
          <cell r="D15">
            <v>66970000</v>
          </cell>
          <cell r="E15">
            <v>51790000</v>
          </cell>
          <cell r="F15">
            <v>15180000</v>
          </cell>
          <cell r="G15">
            <v>31233000</v>
          </cell>
          <cell r="H15">
            <v>20522166</v>
          </cell>
          <cell r="I15">
            <v>136200</v>
          </cell>
          <cell r="J15">
            <v>5920976</v>
          </cell>
          <cell r="K15">
            <v>6057176</v>
          </cell>
          <cell r="L15">
            <v>26579342</v>
          </cell>
          <cell r="M15">
            <v>5653658</v>
          </cell>
          <cell r="N15">
            <v>8450000</v>
          </cell>
          <cell r="O15">
            <v>26287000</v>
          </cell>
          <cell r="P15">
            <v>4653658</v>
          </cell>
          <cell r="Q15">
            <v>0</v>
          </cell>
          <cell r="R15">
            <v>1000000</v>
          </cell>
          <cell r="S15">
            <v>1000000</v>
          </cell>
          <cell r="T15">
            <v>0</v>
          </cell>
          <cell r="U15">
            <v>8450000</v>
          </cell>
          <cell r="V15">
            <v>5450000</v>
          </cell>
          <cell r="W15">
            <v>2500000</v>
          </cell>
          <cell r="X15">
            <v>0</v>
          </cell>
          <cell r="Y15">
            <v>0</v>
          </cell>
          <cell r="Z15">
            <v>0</v>
          </cell>
          <cell r="AA15">
            <v>500000</v>
          </cell>
          <cell r="AD15">
            <v>6555000</v>
          </cell>
          <cell r="AE15">
            <v>0</v>
          </cell>
          <cell r="AF15">
            <v>200000</v>
          </cell>
          <cell r="AG15">
            <v>0</v>
          </cell>
          <cell r="AH15">
            <v>1575000</v>
          </cell>
          <cell r="AI15">
            <v>0</v>
          </cell>
          <cell r="AJ15">
            <v>0</v>
          </cell>
          <cell r="AK15">
            <v>0</v>
          </cell>
          <cell r="AM15">
            <v>8330000</v>
          </cell>
          <cell r="AN15">
            <v>120000</v>
          </cell>
          <cell r="AO15">
            <v>5450000</v>
          </cell>
          <cell r="AP15">
            <v>2380000</v>
          </cell>
          <cell r="AQ15">
            <v>0</v>
          </cell>
          <cell r="AR15">
            <v>0</v>
          </cell>
          <cell r="AS15">
            <v>0</v>
          </cell>
          <cell r="AT15">
            <v>500000</v>
          </cell>
        </row>
      </sheetData>
      <sheetData sheetId="54"/>
      <sheetData sheetId="55"/>
      <sheetData sheetId="56">
        <row r="20">
          <cell r="A20">
            <v>15</v>
          </cell>
          <cell r="D20">
            <v>126129000</v>
          </cell>
          <cell r="E20">
            <v>125629000</v>
          </cell>
          <cell r="F20">
            <v>500000</v>
          </cell>
          <cell r="G20">
            <v>58352525</v>
          </cell>
          <cell r="H20">
            <v>40157025</v>
          </cell>
          <cell r="I20">
            <v>3336952</v>
          </cell>
          <cell r="J20">
            <v>3597</v>
          </cell>
          <cell r="K20">
            <v>3340549</v>
          </cell>
          <cell r="L20">
            <v>43497574</v>
          </cell>
          <cell r="M20">
            <v>14854951</v>
          </cell>
          <cell r="N20">
            <v>2040000</v>
          </cell>
          <cell r="O20">
            <v>65736475</v>
          </cell>
          <cell r="P20">
            <v>14854951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2040000</v>
          </cell>
          <cell r="V20">
            <v>2040000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2040000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</row>
      </sheetData>
      <sheetData sheetId="57"/>
      <sheetData sheetId="58"/>
      <sheetData sheetId="59">
        <row r="14">
          <cell r="A14">
            <v>9</v>
          </cell>
          <cell r="D14">
            <v>135032955</v>
          </cell>
          <cell r="E14">
            <v>125532955</v>
          </cell>
          <cell r="F14">
            <v>9500000</v>
          </cell>
          <cell r="G14">
            <v>96529849</v>
          </cell>
          <cell r="H14">
            <v>77482409</v>
          </cell>
          <cell r="I14">
            <v>9100</v>
          </cell>
          <cell r="J14">
            <v>3371919</v>
          </cell>
          <cell r="K14">
            <v>3381019</v>
          </cell>
          <cell r="L14">
            <v>80863428</v>
          </cell>
          <cell r="M14">
            <v>11257878</v>
          </cell>
          <cell r="N14">
            <v>8300000</v>
          </cell>
          <cell r="O14">
            <v>34611649</v>
          </cell>
          <cell r="P14">
            <v>15666421</v>
          </cell>
          <cell r="Q14">
            <v>0</v>
          </cell>
          <cell r="R14">
            <v>0</v>
          </cell>
          <cell r="S14">
            <v>0</v>
          </cell>
          <cell r="T14">
            <v>4408543</v>
          </cell>
          <cell r="U14">
            <v>3891457</v>
          </cell>
          <cell r="V14">
            <v>-508725</v>
          </cell>
          <cell r="W14">
            <v>3689887</v>
          </cell>
          <cell r="X14">
            <v>0</v>
          </cell>
          <cell r="Y14">
            <v>0</v>
          </cell>
          <cell r="Z14">
            <v>0</v>
          </cell>
          <cell r="AA14">
            <v>710295</v>
          </cell>
          <cell r="AD14">
            <v>750000</v>
          </cell>
          <cell r="AE14">
            <v>-258543</v>
          </cell>
          <cell r="AF14">
            <v>0</v>
          </cell>
          <cell r="AG14">
            <v>200000</v>
          </cell>
          <cell r="AH14">
            <v>0</v>
          </cell>
          <cell r="AI14">
            <v>200000</v>
          </cell>
          <cell r="AJ14">
            <v>760295</v>
          </cell>
          <cell r="AK14">
            <v>0</v>
          </cell>
          <cell r="AM14">
            <v>2351752</v>
          </cell>
          <cell r="AN14">
            <v>1539705</v>
          </cell>
          <cell r="AO14">
            <v>-508725</v>
          </cell>
          <cell r="AP14">
            <v>2150182</v>
          </cell>
          <cell r="AQ14">
            <v>0</v>
          </cell>
          <cell r="AR14">
            <v>0</v>
          </cell>
          <cell r="AS14">
            <v>0</v>
          </cell>
          <cell r="AT14">
            <v>710295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4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5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7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10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1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12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2.bin"/><Relationship Id="rId4" Type="http://schemas.openxmlformats.org/officeDocument/2006/relationships/comments" Target="../comments13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3.bin"/><Relationship Id="rId4" Type="http://schemas.openxmlformats.org/officeDocument/2006/relationships/comments" Target="../comments14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9.bin"/><Relationship Id="rId4" Type="http://schemas.openxmlformats.org/officeDocument/2006/relationships/comments" Target="../comments1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topLeftCell="A13" zoomScaleNormal="100" workbookViewId="0">
      <selection activeCell="C55" sqref="C55"/>
    </sheetView>
  </sheetViews>
  <sheetFormatPr defaultRowHeight="12.75"/>
  <cols>
    <col min="15" max="15" width="8.85546875" customWidth="1"/>
  </cols>
  <sheetData/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Q59"/>
  <sheetViews>
    <sheetView showZeros="0" rightToLeft="1" topLeftCell="A19" workbookViewId="0">
      <selection activeCell="C55" sqref="C55"/>
    </sheetView>
  </sheetViews>
  <sheetFormatPr defaultColWidth="9.140625" defaultRowHeight="14.25"/>
  <cols>
    <col min="1" max="3" width="4.140625" style="87" customWidth="1"/>
    <col min="4" max="4" width="33" style="87" customWidth="1"/>
    <col min="5" max="9" width="12.140625" style="87" customWidth="1"/>
    <col min="10" max="10" width="7.85546875" style="87" customWidth="1"/>
    <col min="11" max="16384" width="9.140625" style="87"/>
  </cols>
  <sheetData>
    <row r="3" spans="1:17" ht="20.25">
      <c r="E3" s="88"/>
    </row>
    <row r="4" spans="1:17" ht="15.75">
      <c r="A4" s="89">
        <v>3.7</v>
      </c>
      <c r="C4" s="89" t="s">
        <v>213</v>
      </c>
      <c r="D4" s="89"/>
      <c r="E4" s="89"/>
      <c r="F4" s="89"/>
      <c r="G4" s="89"/>
      <c r="H4" s="89"/>
      <c r="I4" s="89"/>
      <c r="J4" s="89"/>
      <c r="K4" s="89"/>
      <c r="L4" s="89"/>
    </row>
    <row r="5" spans="1:17" ht="16.5" thickBot="1"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7" ht="20.100000000000001" customHeight="1">
      <c r="A6" s="89"/>
      <c r="C6" s="108" t="s">
        <v>171</v>
      </c>
      <c r="D6" s="109"/>
      <c r="E6" s="110"/>
      <c r="F6" s="111" t="s">
        <v>1893</v>
      </c>
      <c r="G6" s="132" t="s">
        <v>648</v>
      </c>
      <c r="M6" s="89"/>
      <c r="N6" s="89"/>
      <c r="O6" s="89"/>
    </row>
    <row r="7" spans="1:17" ht="20.100000000000001" customHeight="1">
      <c r="A7" s="89"/>
      <c r="C7" s="113" t="s">
        <v>214</v>
      </c>
      <c r="D7" s="114"/>
      <c r="E7" s="115"/>
      <c r="F7" s="116">
        <f>'פרוט מקורות אחרים'!M16/1000</f>
        <v>2845.6640000000002</v>
      </c>
      <c r="G7" s="117">
        <v>350</v>
      </c>
      <c r="M7" s="89"/>
      <c r="N7" s="89"/>
      <c r="O7" s="89"/>
    </row>
    <row r="8" spans="1:17" ht="20.100000000000001" customHeight="1">
      <c r="A8" s="89"/>
      <c r="C8" s="113" t="s">
        <v>215</v>
      </c>
      <c r="D8" s="119"/>
      <c r="E8" s="115"/>
      <c r="F8" s="116">
        <f>'פרוט מקורות אחרים'!D16/1000</f>
        <v>135303.334</v>
      </c>
      <c r="G8" s="117">
        <v>65422</v>
      </c>
      <c r="M8" s="89"/>
      <c r="N8" s="89"/>
      <c r="O8" s="89"/>
    </row>
    <row r="9" spans="1:17" ht="20.100000000000001" hidden="1" customHeight="1">
      <c r="A9" s="89"/>
      <c r="C9" s="113" t="s">
        <v>216</v>
      </c>
      <c r="D9" s="114"/>
      <c r="E9" s="115"/>
      <c r="F9" s="116"/>
      <c r="G9" s="117"/>
      <c r="M9" s="89"/>
      <c r="N9" s="89"/>
      <c r="O9" s="89"/>
    </row>
    <row r="10" spans="1:17" ht="20.100000000000001" customHeight="1">
      <c r="A10" s="89"/>
      <c r="C10" s="113" t="s">
        <v>217</v>
      </c>
      <c r="D10" s="114"/>
      <c r="E10" s="115"/>
      <c r="F10" s="116">
        <f>'פרוט מקורות אחרים'!B16/1000</f>
        <v>3908.6302500000002</v>
      </c>
      <c r="G10" s="117">
        <v>16457</v>
      </c>
      <c r="M10" s="89"/>
      <c r="N10" s="89"/>
      <c r="O10" s="89"/>
    </row>
    <row r="11" spans="1:17" ht="20.100000000000001" customHeight="1">
      <c r="A11" s="89"/>
      <c r="C11" s="113" t="s">
        <v>200</v>
      </c>
      <c r="D11" s="133"/>
      <c r="E11" s="134"/>
      <c r="F11" s="116">
        <f>('פרוט מקורות אחרים'!C16+'פרוט מקורות אחרים'!E16+'פרוט מקורות אחרים'!F16+'פרוט מקורות אחרים'!I16+'פרוט מקורות אחרים'!J16+'פרוט מקורות אחרים'!K16+'פרוט מקורות אחרים'!L16)/1000+'פרוט מקורות אחרים'!G16/1000</f>
        <v>2141.8580000000002</v>
      </c>
      <c r="G11" s="117">
        <v>25663</v>
      </c>
      <c r="L11" s="123"/>
      <c r="M11" s="89"/>
      <c r="N11" s="89"/>
      <c r="O11" s="89"/>
    </row>
    <row r="12" spans="1:17" ht="20.100000000000001" customHeight="1">
      <c r="A12" s="89"/>
      <c r="C12" s="113" t="s">
        <v>218</v>
      </c>
      <c r="D12" s="114"/>
      <c r="E12" s="115"/>
      <c r="F12" s="116">
        <f>'פרוט מקורות אחרים'!H16/1000</f>
        <v>13000</v>
      </c>
      <c r="G12" s="117">
        <v>7000</v>
      </c>
      <c r="M12" s="89"/>
      <c r="N12" s="89"/>
      <c r="O12" s="89"/>
    </row>
    <row r="13" spans="1:17" ht="20.100000000000001" customHeight="1">
      <c r="A13" s="89"/>
      <c r="C13" s="113" t="s">
        <v>219</v>
      </c>
      <c r="D13" s="119"/>
      <c r="E13" s="115"/>
      <c r="F13" s="116">
        <f>'פרוט מקורות אחרים'!N16/1000</f>
        <v>11000</v>
      </c>
      <c r="G13" s="117">
        <v>19300</v>
      </c>
      <c r="M13" s="89"/>
      <c r="N13" s="89"/>
      <c r="O13" s="89"/>
    </row>
    <row r="14" spans="1:17" ht="20.100000000000001" customHeight="1" thickBot="1">
      <c r="A14" s="89"/>
      <c r="C14" s="124" t="s">
        <v>94</v>
      </c>
      <c r="D14" s="125"/>
      <c r="E14" s="126"/>
      <c r="F14" s="127">
        <f>SUM(F7:F13)</f>
        <v>168199.48624999999</v>
      </c>
      <c r="G14" s="135">
        <f>SUM(G7:G13)</f>
        <v>134192</v>
      </c>
      <c r="M14" s="89"/>
      <c r="N14" s="89"/>
      <c r="O14" s="89"/>
    </row>
    <row r="15" spans="1:17" ht="15.75">
      <c r="C15" s="89"/>
      <c r="D15" s="89"/>
      <c r="E15" s="89"/>
      <c r="F15" s="89"/>
      <c r="G15" s="89"/>
      <c r="H15" s="89"/>
      <c r="I15" s="89"/>
      <c r="J15" s="89"/>
      <c r="K15" s="89"/>
      <c r="L15" s="291"/>
    </row>
    <row r="16" spans="1:17" ht="15.75">
      <c r="B16" s="87" t="s">
        <v>220</v>
      </c>
      <c r="C16" s="89" t="s">
        <v>221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</row>
    <row r="17" spans="1:17" ht="15.75">
      <c r="C17" s="89" t="s">
        <v>222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1:17" ht="15.75"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</row>
    <row r="19" spans="1:17" ht="15.75">
      <c r="A19" s="89"/>
      <c r="B19" s="89"/>
      <c r="C19" s="193" t="s">
        <v>2490</v>
      </c>
      <c r="D19" s="193"/>
      <c r="E19" s="89"/>
      <c r="F19" s="89"/>
      <c r="G19" s="93"/>
      <c r="H19" s="89"/>
      <c r="I19" s="89"/>
      <c r="J19" s="89"/>
      <c r="K19" s="89"/>
      <c r="L19" s="89"/>
      <c r="M19" s="89"/>
      <c r="N19" s="89"/>
      <c r="O19" s="89"/>
      <c r="P19" s="89"/>
      <c r="Q19" s="89"/>
    </row>
    <row r="20" spans="1:17" ht="15.75">
      <c r="A20" s="89"/>
      <c r="B20" s="89"/>
      <c r="C20" s="193"/>
      <c r="D20" s="193"/>
      <c r="E20" s="89"/>
      <c r="F20" s="89"/>
      <c r="G20" s="93"/>
      <c r="H20" s="89"/>
      <c r="I20" s="89"/>
      <c r="J20" s="89"/>
      <c r="K20" s="89"/>
      <c r="L20" s="89"/>
      <c r="M20" s="89"/>
      <c r="N20" s="89"/>
      <c r="O20" s="89"/>
      <c r="P20" s="89"/>
      <c r="Q20" s="89"/>
    </row>
    <row r="21" spans="1:17" ht="15.75">
      <c r="A21" s="89">
        <v>3.8</v>
      </c>
      <c r="B21" s="89"/>
      <c r="C21" s="402" t="s">
        <v>862</v>
      </c>
      <c r="D21" s="193"/>
      <c r="E21" s="89"/>
      <c r="F21" s="89"/>
      <c r="G21" s="93"/>
      <c r="H21" s="89"/>
      <c r="I21" s="89"/>
      <c r="J21" s="89"/>
      <c r="K21" s="89"/>
      <c r="L21" s="89"/>
      <c r="M21" s="89"/>
      <c r="N21" s="89"/>
      <c r="O21" s="89"/>
      <c r="P21" s="89"/>
      <c r="Q21" s="89"/>
    </row>
    <row r="22" spans="1:17" ht="15.75">
      <c r="A22" s="89"/>
      <c r="B22" s="89"/>
      <c r="C22" s="402"/>
      <c r="D22" s="193"/>
      <c r="E22" s="89"/>
      <c r="F22" s="89"/>
      <c r="G22" s="93"/>
      <c r="H22" s="89"/>
      <c r="I22" s="89"/>
      <c r="J22" s="89"/>
      <c r="K22" s="89"/>
      <c r="L22" s="89"/>
      <c r="M22" s="89"/>
      <c r="N22" s="89"/>
      <c r="O22" s="89"/>
      <c r="P22" s="89"/>
      <c r="Q22" s="89"/>
    </row>
    <row r="23" spans="1:17" ht="15.75">
      <c r="A23" s="89"/>
      <c r="B23" s="89"/>
      <c r="C23" s="402" t="s">
        <v>859</v>
      </c>
      <c r="D23" s="193"/>
      <c r="E23" s="89"/>
      <c r="F23" s="89"/>
      <c r="G23" s="93"/>
      <c r="H23" s="89"/>
      <c r="I23" s="89"/>
      <c r="J23" s="89"/>
      <c r="K23" s="89"/>
      <c r="L23" s="89"/>
      <c r="M23" s="89"/>
      <c r="N23" s="89"/>
      <c r="O23" s="89"/>
      <c r="P23" s="89"/>
      <c r="Q23" s="89"/>
    </row>
    <row r="24" spans="1:17" ht="15.75">
      <c r="A24" s="89"/>
      <c r="B24" s="89"/>
      <c r="C24" s="402" t="s">
        <v>861</v>
      </c>
      <c r="D24" s="193"/>
      <c r="E24" s="89"/>
      <c r="F24" s="89"/>
      <c r="G24" s="93"/>
      <c r="H24" s="89"/>
      <c r="I24" s="89"/>
      <c r="J24" s="89"/>
      <c r="K24" s="89"/>
      <c r="L24" s="89"/>
      <c r="M24" s="89"/>
      <c r="N24" s="89"/>
      <c r="O24" s="89"/>
      <c r="P24" s="89"/>
      <c r="Q24" s="89"/>
    </row>
    <row r="25" spans="1:17" ht="15.75">
      <c r="A25" s="89"/>
      <c r="B25" s="89"/>
      <c r="C25" s="402" t="s">
        <v>860</v>
      </c>
      <c r="D25" s="193"/>
      <c r="E25" s="89"/>
      <c r="F25" s="89"/>
      <c r="G25" s="93"/>
      <c r="H25" s="89"/>
      <c r="I25" s="89"/>
      <c r="J25" s="89"/>
      <c r="K25" s="89"/>
      <c r="L25" s="89"/>
      <c r="M25" s="89"/>
      <c r="N25" s="89"/>
      <c r="O25" s="89"/>
      <c r="P25" s="89"/>
      <c r="Q25" s="89"/>
    </row>
    <row r="26" spans="1:17" ht="15.75">
      <c r="A26" s="89"/>
      <c r="B26" s="89"/>
      <c r="C26" s="402"/>
      <c r="D26" s="193"/>
      <c r="E26" s="89"/>
      <c r="F26" s="89"/>
      <c r="G26" s="93"/>
      <c r="H26" s="89"/>
      <c r="I26" s="89"/>
      <c r="J26" s="89"/>
      <c r="K26" s="89"/>
      <c r="L26" s="89"/>
      <c r="M26" s="89"/>
      <c r="N26" s="89"/>
      <c r="O26" s="89"/>
      <c r="P26" s="89"/>
      <c r="Q26" s="89"/>
    </row>
    <row r="27" spans="1:17" ht="15.75">
      <c r="A27" s="89"/>
      <c r="B27" s="89"/>
      <c r="C27" s="402" t="s">
        <v>888</v>
      </c>
      <c r="D27" s="193"/>
      <c r="E27" s="89"/>
      <c r="F27" s="89"/>
      <c r="G27" s="93"/>
      <c r="H27" s="89"/>
      <c r="I27" s="89"/>
      <c r="J27" s="89"/>
      <c r="K27" s="89"/>
      <c r="L27" s="89"/>
      <c r="M27" s="89"/>
      <c r="N27" s="89"/>
      <c r="O27" s="89"/>
      <c r="P27" s="89"/>
      <c r="Q27" s="89"/>
    </row>
    <row r="28" spans="1:17" ht="15.75">
      <c r="A28" s="89"/>
      <c r="B28" s="89"/>
      <c r="C28" s="402" t="s">
        <v>889</v>
      </c>
      <c r="D28" s="193"/>
      <c r="E28" s="89"/>
      <c r="F28" s="89"/>
      <c r="G28" s="93"/>
      <c r="H28" s="89"/>
      <c r="I28" s="89"/>
      <c r="J28" s="89"/>
      <c r="K28" s="89"/>
      <c r="L28" s="89"/>
      <c r="M28" s="89"/>
      <c r="N28" s="89"/>
      <c r="O28" s="89"/>
      <c r="P28" s="89"/>
      <c r="Q28" s="89"/>
    </row>
    <row r="29" spans="1:17" ht="15.75" hidden="1">
      <c r="A29" s="89"/>
      <c r="B29" s="89"/>
      <c r="C29" s="402"/>
      <c r="D29" s="193"/>
      <c r="E29" s="89"/>
      <c r="F29" s="89"/>
      <c r="G29" s="93"/>
      <c r="H29" s="89"/>
      <c r="I29" s="89"/>
      <c r="J29" s="89"/>
      <c r="K29" s="89"/>
      <c r="L29" s="89"/>
      <c r="M29" s="89"/>
      <c r="N29" s="89"/>
      <c r="O29" s="89"/>
      <c r="P29" s="89"/>
      <c r="Q29" s="89"/>
    </row>
    <row r="30" spans="1:17" ht="15.75" hidden="1">
      <c r="A30" s="89"/>
      <c r="B30" s="89"/>
      <c r="C30" s="402"/>
      <c r="D30" s="193"/>
      <c r="E30" s="89"/>
      <c r="F30" s="89"/>
      <c r="G30" s="93"/>
      <c r="H30" s="89"/>
      <c r="I30" s="89"/>
      <c r="J30" s="89"/>
      <c r="K30" s="89"/>
      <c r="L30" s="89"/>
      <c r="M30" s="89"/>
      <c r="N30" s="89"/>
      <c r="O30" s="89"/>
      <c r="P30" s="89"/>
      <c r="Q30" s="89"/>
    </row>
    <row r="31" spans="1:17" ht="15.75" hidden="1">
      <c r="A31" s="89"/>
      <c r="B31" s="89"/>
      <c r="C31" s="402"/>
      <c r="D31" s="193"/>
      <c r="E31" s="89"/>
      <c r="F31" s="89"/>
      <c r="G31" s="93"/>
      <c r="H31" s="89"/>
      <c r="I31" s="89"/>
      <c r="J31" s="89"/>
      <c r="K31" s="89"/>
      <c r="L31" s="89"/>
      <c r="M31" s="89"/>
      <c r="N31" s="89"/>
      <c r="O31" s="89"/>
      <c r="P31" s="89"/>
      <c r="Q31" s="89"/>
    </row>
    <row r="32" spans="1:17" ht="15.75" hidden="1">
      <c r="A32" s="89"/>
      <c r="B32" s="89"/>
      <c r="C32" s="402"/>
      <c r="D32" s="193"/>
      <c r="E32" s="89"/>
      <c r="F32" s="89"/>
      <c r="G32" s="93"/>
      <c r="H32" s="89"/>
      <c r="I32" s="89"/>
      <c r="J32" s="89"/>
      <c r="K32" s="89"/>
      <c r="L32" s="89"/>
      <c r="M32" s="89"/>
      <c r="N32" s="89"/>
      <c r="O32" s="89"/>
      <c r="P32" s="89"/>
      <c r="Q32" s="89"/>
    </row>
    <row r="33" spans="1:17" ht="15.75" hidden="1">
      <c r="A33" s="89"/>
      <c r="B33" s="89"/>
      <c r="C33" s="402"/>
      <c r="D33" s="193"/>
      <c r="E33" s="89"/>
      <c r="F33" s="89"/>
      <c r="G33" s="93"/>
      <c r="H33" s="89"/>
      <c r="I33" s="89"/>
      <c r="J33" s="89"/>
      <c r="K33" s="89"/>
      <c r="L33" s="89"/>
      <c r="M33" s="89"/>
      <c r="N33" s="89"/>
      <c r="O33" s="89"/>
      <c r="P33" s="89"/>
      <c r="Q33" s="89"/>
    </row>
    <row r="34" spans="1:17" ht="15.75" hidden="1">
      <c r="A34" s="95" t="s">
        <v>223</v>
      </c>
      <c r="B34" s="90" t="s">
        <v>224</v>
      </c>
    </row>
    <row r="35" spans="1:17" ht="15.75" hidden="1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</row>
    <row r="36" spans="1:17" ht="23.25" hidden="1">
      <c r="A36" s="89">
        <v>4.0999999999999996</v>
      </c>
      <c r="B36" s="89" t="s">
        <v>225</v>
      </c>
      <c r="C36" s="89"/>
      <c r="D36" s="89"/>
      <c r="E36" s="89"/>
      <c r="F36" s="89"/>
      <c r="G36" s="89"/>
      <c r="H36" s="89"/>
      <c r="I36" s="137"/>
      <c r="J36" s="89"/>
      <c r="K36" s="89"/>
      <c r="L36" s="89"/>
      <c r="M36" s="89"/>
      <c r="N36" s="89"/>
      <c r="O36" s="89"/>
      <c r="P36" s="89"/>
      <c r="Q36" s="89"/>
    </row>
    <row r="37" spans="1:17" ht="15.75" hidden="1">
      <c r="B37" s="89" t="s">
        <v>226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</row>
    <row r="38" spans="1:17" ht="15.75" hidden="1">
      <c r="B38" s="89" t="s">
        <v>227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</row>
    <row r="39" spans="1:17" ht="15.75" hidden="1">
      <c r="B39" s="89" t="s">
        <v>228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</row>
    <row r="40" spans="1:17" ht="15.75" hidden="1">
      <c r="B40" s="89" t="s">
        <v>229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</row>
    <row r="41" spans="1:17" ht="15.75" hidden="1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</row>
    <row r="42" spans="1:17" ht="15.75" hidden="1">
      <c r="A42" s="89">
        <v>4.2</v>
      </c>
      <c r="B42" s="89" t="s">
        <v>230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</row>
    <row r="43" spans="1:17" ht="15.75" hidden="1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</row>
    <row r="44" spans="1:17" ht="15.75" hidden="1">
      <c r="A44" s="89"/>
      <c r="B44" s="89" t="s">
        <v>231</v>
      </c>
      <c r="C44" s="89"/>
      <c r="D44" s="89"/>
      <c r="E44" s="89"/>
      <c r="F44" s="89"/>
      <c r="H44" s="89"/>
      <c r="I44" s="89"/>
      <c r="J44" s="89"/>
      <c r="K44" s="89"/>
      <c r="L44" s="89"/>
      <c r="M44" s="89"/>
      <c r="N44" s="89"/>
      <c r="O44" s="89"/>
      <c r="P44" s="89"/>
      <c r="Q44" s="89"/>
    </row>
    <row r="45" spans="1:17" ht="15.75" hidden="1">
      <c r="A45" s="89"/>
      <c r="B45" s="89"/>
      <c r="C45" s="193" t="s">
        <v>466</v>
      </c>
      <c r="D45" s="193"/>
      <c r="E45" s="89"/>
      <c r="F45" s="89"/>
      <c r="G45" s="93"/>
      <c r="H45" s="89"/>
      <c r="I45" s="89"/>
      <c r="J45" s="89"/>
      <c r="K45" s="89"/>
      <c r="L45" s="89"/>
      <c r="M45" s="89"/>
      <c r="N45" s="89"/>
      <c r="O45" s="89"/>
      <c r="P45" s="89"/>
      <c r="Q45" s="89"/>
    </row>
    <row r="46" spans="1:17" ht="20.100000000000001" customHeight="1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</row>
    <row r="47" spans="1:17" ht="15.75">
      <c r="A47" s="89">
        <v>3.9</v>
      </c>
      <c r="B47" s="90" t="s">
        <v>232</v>
      </c>
    </row>
    <row r="48" spans="1:17" ht="20.100000000000001" customHeight="1">
      <c r="B48" s="89"/>
      <c r="C48" s="89"/>
      <c r="D48" s="89"/>
      <c r="E48" s="402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</row>
    <row r="49" spans="1:17" ht="20.100000000000001" customHeight="1">
      <c r="B49" s="89" t="s">
        <v>233</v>
      </c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</row>
    <row r="50" spans="1:17" ht="20.100000000000001" customHeight="1">
      <c r="B50" s="89" t="s">
        <v>234</v>
      </c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</row>
    <row r="51" spans="1:17" ht="20.100000000000001" customHeight="1">
      <c r="B51" s="89" t="s">
        <v>2377</v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</row>
    <row r="52" spans="1:17" ht="20.100000000000001" customHeight="1"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</row>
    <row r="53" spans="1:17" ht="20.100000000000001" customHeight="1">
      <c r="B53" s="840" t="s">
        <v>2491</v>
      </c>
      <c r="C53" s="840"/>
      <c r="D53" s="840"/>
      <c r="E53" s="193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</row>
    <row r="54" spans="1:17" ht="15.75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</row>
    <row r="55" spans="1:17" ht="15.75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</row>
    <row r="56" spans="1:17" ht="15.75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</row>
    <row r="57" spans="1:17" ht="15.75">
      <c r="A57" s="95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</row>
    <row r="58" spans="1:17" ht="15.75"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</row>
    <row r="59" spans="1:17" ht="15.75"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Q44"/>
  <sheetViews>
    <sheetView rightToLeft="1" topLeftCell="E1" workbookViewId="0">
      <selection activeCell="C55" sqref="C55"/>
    </sheetView>
  </sheetViews>
  <sheetFormatPr defaultColWidth="9.140625" defaultRowHeight="14.25"/>
  <cols>
    <col min="1" max="3" width="4.140625" style="200" customWidth="1"/>
    <col min="4" max="4" width="33" style="200" customWidth="1"/>
    <col min="5" max="9" width="12.140625" style="200" customWidth="1"/>
    <col min="10" max="10" width="7.85546875" style="200" customWidth="1"/>
    <col min="11" max="16384" width="9.140625" style="200"/>
  </cols>
  <sheetData>
    <row r="3" spans="1:17" ht="20.25">
      <c r="E3" s="201"/>
    </row>
    <row r="4" spans="1:17" ht="15.75">
      <c r="A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7" ht="15.75"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7" ht="20.100000000000001" customHeight="1">
      <c r="A6" s="202"/>
      <c r="C6" s="203"/>
      <c r="D6" s="204"/>
      <c r="F6" s="205"/>
      <c r="G6" s="205"/>
      <c r="M6" s="202"/>
      <c r="N6" s="202"/>
      <c r="O6" s="202"/>
    </row>
    <row r="7" spans="1:17" ht="20.100000000000001" customHeight="1">
      <c r="A7" s="202"/>
      <c r="C7" s="202"/>
      <c r="D7" s="202"/>
      <c r="F7" s="206"/>
      <c r="G7" s="206"/>
      <c r="M7" s="202"/>
      <c r="N7" s="202"/>
      <c r="O7" s="202"/>
    </row>
    <row r="8" spans="1:17" ht="20.100000000000001" customHeight="1">
      <c r="A8" s="202"/>
      <c r="C8" s="202"/>
      <c r="D8" s="202"/>
      <c r="F8" s="206"/>
      <c r="G8" s="206"/>
      <c r="M8" s="202"/>
      <c r="N8" s="202"/>
      <c r="O8" s="202"/>
    </row>
    <row r="9" spans="1:17" ht="20.100000000000001" customHeight="1">
      <c r="A9" s="202"/>
      <c r="C9" s="202"/>
      <c r="D9" s="202"/>
      <c r="F9" s="206"/>
      <c r="G9" s="206"/>
      <c r="M9" s="202"/>
      <c r="N9" s="202"/>
      <c r="O9" s="202"/>
    </row>
    <row r="10" spans="1:17" ht="20.100000000000001" customHeight="1">
      <c r="A10" s="202"/>
      <c r="C10" s="202"/>
      <c r="D10" s="202"/>
      <c r="F10" s="206"/>
      <c r="G10" s="206"/>
      <c r="M10" s="202"/>
      <c r="N10" s="202"/>
      <c r="O10" s="202"/>
    </row>
    <row r="11" spans="1:17" ht="20.100000000000001" customHeight="1">
      <c r="A11" s="202"/>
      <c r="C11" s="202"/>
      <c r="D11" s="203"/>
      <c r="E11" s="207"/>
      <c r="F11" s="206"/>
      <c r="G11" s="206"/>
      <c r="L11" s="206"/>
      <c r="M11" s="202"/>
      <c r="N11" s="202"/>
      <c r="O11" s="202"/>
    </row>
    <row r="12" spans="1:17" ht="20.100000000000001" customHeight="1">
      <c r="A12" s="202"/>
      <c r="C12" s="202"/>
      <c r="D12" s="202"/>
      <c r="F12" s="206"/>
      <c r="G12" s="206"/>
      <c r="M12" s="202"/>
      <c r="N12" s="202"/>
      <c r="O12" s="202"/>
    </row>
    <row r="13" spans="1:17" ht="20.100000000000001" customHeight="1">
      <c r="A13" s="202"/>
      <c r="C13" s="202"/>
      <c r="D13" s="202"/>
      <c r="F13" s="206"/>
      <c r="G13" s="206"/>
      <c r="M13" s="202"/>
      <c r="N13" s="202"/>
      <c r="O13" s="202"/>
    </row>
    <row r="14" spans="1:17" ht="20.100000000000001" customHeight="1">
      <c r="A14" s="202"/>
      <c r="C14" s="203"/>
      <c r="D14" s="202"/>
      <c r="F14" s="208"/>
      <c r="G14" s="205"/>
      <c r="M14" s="202"/>
      <c r="N14" s="202"/>
      <c r="O14" s="202"/>
    </row>
    <row r="15" spans="1:17" ht="15.75">
      <c r="C15" s="202"/>
      <c r="D15" s="202"/>
      <c r="E15" s="202"/>
      <c r="F15" s="202"/>
      <c r="G15" s="202"/>
      <c r="H15" s="202"/>
      <c r="I15" s="202"/>
      <c r="J15" s="202"/>
      <c r="K15" s="202"/>
      <c r="L15" s="202"/>
    </row>
    <row r="16" spans="1:17" ht="15.75"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</row>
    <row r="17" spans="1:17" ht="15.75"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</row>
    <row r="18" spans="1:17" ht="15.75"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</row>
    <row r="19" spans="1:17" ht="15.75" hidden="1">
      <c r="A19" s="209"/>
      <c r="B19" s="210"/>
    </row>
    <row r="20" spans="1:17" ht="15.75" hidden="1"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</row>
    <row r="21" spans="1:17" ht="23.25" hidden="1">
      <c r="A21" s="202"/>
      <c r="B21" s="202"/>
      <c r="C21" s="202"/>
      <c r="D21" s="202"/>
      <c r="E21" s="202"/>
      <c r="F21" s="202"/>
      <c r="G21" s="202"/>
      <c r="H21" s="202"/>
      <c r="I21" s="211"/>
      <c r="J21" s="202"/>
      <c r="K21" s="202"/>
      <c r="L21" s="202"/>
      <c r="M21" s="202"/>
      <c r="N21" s="202"/>
      <c r="O21" s="202"/>
      <c r="P21" s="202"/>
      <c r="Q21" s="202"/>
    </row>
    <row r="22" spans="1:17" ht="15.75" hidden="1"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</row>
    <row r="23" spans="1:17" ht="15.75" hidden="1"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</row>
    <row r="24" spans="1:17" ht="15.75" hidden="1"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</row>
    <row r="25" spans="1:17" ht="15.75" hidden="1"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</row>
    <row r="26" spans="1:17" ht="15.75" hidden="1"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</row>
    <row r="27" spans="1:17" ht="15.75" hidden="1">
      <c r="A27" s="202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</row>
    <row r="28" spans="1:17" ht="15.75" hidden="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</row>
    <row r="29" spans="1:17" ht="15.75" hidden="1">
      <c r="A29" s="202"/>
      <c r="B29" s="202"/>
      <c r="C29" s="202"/>
      <c r="D29" s="202"/>
      <c r="E29" s="202"/>
      <c r="F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</row>
    <row r="30" spans="1:17" ht="15.75">
      <c r="A30" s="202"/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</row>
    <row r="31" spans="1:17" ht="20.100000000000001" customHeight="1"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</row>
    <row r="32" spans="1:17" ht="15.75">
      <c r="A32" s="209"/>
      <c r="B32" s="210"/>
    </row>
    <row r="33" spans="1:17" ht="20.100000000000001" customHeight="1"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</row>
    <row r="34" spans="1:17" ht="20.100000000000001" customHeight="1">
      <c r="B34" s="202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</row>
    <row r="35" spans="1:17" ht="20.100000000000001" customHeight="1"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</row>
    <row r="36" spans="1:17" ht="20.100000000000001" customHeight="1"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</row>
    <row r="37" spans="1:17" ht="20.100000000000001" customHeight="1"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</row>
    <row r="38" spans="1:17" ht="20.100000000000001" customHeight="1"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</row>
    <row r="39" spans="1:17" ht="15.75">
      <c r="A39" s="202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</row>
    <row r="40" spans="1:17" ht="15.75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</row>
    <row r="41" spans="1:17" ht="15.75">
      <c r="A41" s="202"/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</row>
    <row r="42" spans="1:17" ht="15.75">
      <c r="A42" s="209"/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</row>
    <row r="43" spans="1:17" ht="15.75"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</row>
    <row r="44" spans="1:17" ht="15.75"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D51"/>
  <sheetViews>
    <sheetView showZeros="0" rightToLeft="1" zoomScaleNormal="100" workbookViewId="0">
      <pane xSplit="1" ySplit="5" topLeftCell="B15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9.140625" defaultRowHeight="15.75"/>
  <cols>
    <col min="1" max="1" width="14.140625" style="49" customWidth="1"/>
    <col min="2" max="3" width="12.7109375" style="50" customWidth="1"/>
    <col min="4" max="4" width="11.140625" style="50" customWidth="1"/>
    <col min="5" max="5" width="12.7109375" style="50" hidden="1" customWidth="1"/>
    <col min="6" max="6" width="14.28515625" style="50" hidden="1" customWidth="1"/>
    <col min="7" max="9" width="11.140625" style="50" hidden="1" customWidth="1"/>
    <col min="10" max="10" width="12.7109375" style="45" customWidth="1"/>
    <col min="11" max="11" width="11.140625" style="50" customWidth="1"/>
    <col min="12" max="12" width="11.5703125" style="50" customWidth="1"/>
    <col min="13" max="13" width="12.7109375" style="50" customWidth="1"/>
    <col min="14" max="14" width="11.140625" style="45" hidden="1" customWidth="1"/>
    <col min="15" max="17" width="11.140625" style="50" hidden="1" customWidth="1"/>
    <col min="18" max="18" width="9.85546875" style="50" customWidth="1"/>
    <col min="19" max="19" width="12.7109375" style="50" customWidth="1"/>
    <col min="20" max="20" width="11.28515625" style="50" customWidth="1"/>
    <col min="21" max="21" width="10.28515625" style="50" customWidth="1"/>
    <col min="22" max="22" width="11.28515625" style="50" hidden="1" customWidth="1"/>
    <col min="23" max="23" width="10.28515625" style="50" customWidth="1"/>
    <col min="24" max="24" width="9.7109375" style="50" customWidth="1"/>
    <col min="25" max="25" width="11.140625" style="50" customWidth="1"/>
    <col min="26" max="26" width="14.140625" style="47" hidden="1" customWidth="1"/>
    <col min="27" max="27" width="11.85546875" style="45" customWidth="1"/>
    <col min="28" max="28" width="10" style="45" customWidth="1"/>
    <col min="29" max="29" width="9.140625" style="47"/>
    <col min="30" max="30" width="10.140625" style="47" customWidth="1"/>
    <col min="31" max="16384" width="9.140625" style="47"/>
  </cols>
  <sheetData>
    <row r="2" spans="1:28" s="37" customFormat="1" ht="23.25">
      <c r="A2" s="247" t="s">
        <v>867</v>
      </c>
      <c r="B2" s="40"/>
      <c r="C2" s="40"/>
      <c r="D2" s="40"/>
      <c r="E2" s="40"/>
      <c r="F2" s="836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AA2" s="45"/>
      <c r="AB2" s="45"/>
    </row>
    <row r="3" spans="1:28" s="287" customFormat="1" ht="20.100000000000001" customHeight="1">
      <c r="A3" s="285"/>
      <c r="B3" s="241"/>
      <c r="C3" s="286"/>
      <c r="D3" s="286"/>
      <c r="E3" s="286"/>
      <c r="F3" s="286"/>
      <c r="G3" s="286"/>
      <c r="H3" s="286"/>
      <c r="I3" s="286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AA3" s="45"/>
      <c r="AB3" s="45"/>
    </row>
    <row r="4" spans="1:28" s="42" customFormat="1">
      <c r="A4" s="41"/>
      <c r="B4" s="857" t="s">
        <v>87</v>
      </c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7"/>
      <c r="O4" s="857"/>
      <c r="P4" s="765"/>
      <c r="Q4" s="765"/>
      <c r="R4" s="857" t="s">
        <v>88</v>
      </c>
      <c r="S4" s="857"/>
      <c r="T4" s="857"/>
      <c r="U4" s="857"/>
      <c r="V4" s="857"/>
      <c r="W4" s="857"/>
      <c r="X4" s="857"/>
      <c r="Y4" s="857"/>
      <c r="Z4" s="427" t="s">
        <v>388</v>
      </c>
      <c r="AA4" s="45"/>
      <c r="AB4" s="45"/>
    </row>
    <row r="5" spans="1:28" s="36" customFormat="1" ht="75">
      <c r="A5" s="41" t="s">
        <v>866</v>
      </c>
      <c r="B5" s="41" t="s">
        <v>89</v>
      </c>
      <c r="C5" s="41" t="s">
        <v>4</v>
      </c>
      <c r="D5" s="41" t="s">
        <v>90</v>
      </c>
      <c r="E5" s="20" t="s">
        <v>98</v>
      </c>
      <c r="F5" s="20" t="s">
        <v>7</v>
      </c>
      <c r="G5" s="20" t="s">
        <v>8</v>
      </c>
      <c r="H5" s="20" t="s">
        <v>9</v>
      </c>
      <c r="I5" s="20" t="s">
        <v>10</v>
      </c>
      <c r="J5" s="9" t="s">
        <v>11</v>
      </c>
      <c r="K5" s="9" t="s">
        <v>891</v>
      </c>
      <c r="L5" s="9" t="s">
        <v>892</v>
      </c>
      <c r="M5" s="9" t="s">
        <v>893</v>
      </c>
      <c r="N5" s="9" t="s">
        <v>12</v>
      </c>
      <c r="O5" s="9" t="s">
        <v>894</v>
      </c>
      <c r="P5" s="9" t="s">
        <v>895</v>
      </c>
      <c r="Q5" s="9" t="s">
        <v>896</v>
      </c>
      <c r="R5" s="9" t="s">
        <v>897</v>
      </c>
      <c r="S5" s="9" t="s">
        <v>898</v>
      </c>
      <c r="T5" s="20" t="s">
        <v>13</v>
      </c>
      <c r="U5" s="20" t="s">
        <v>14</v>
      </c>
      <c r="V5" s="20" t="s">
        <v>15</v>
      </c>
      <c r="W5" s="20" t="s">
        <v>265</v>
      </c>
      <c r="X5" s="20" t="s">
        <v>749</v>
      </c>
      <c r="Y5" s="16" t="s">
        <v>84</v>
      </c>
      <c r="Z5" s="428"/>
      <c r="AA5" s="45"/>
      <c r="AB5" s="45"/>
    </row>
    <row r="6" spans="1:28" s="36" customFormat="1">
      <c r="A6" s="41"/>
      <c r="B6" s="41"/>
      <c r="C6" s="41"/>
      <c r="D6" s="41"/>
      <c r="E6" s="41"/>
      <c r="F6" s="20"/>
      <c r="G6" s="20"/>
      <c r="H6" s="20"/>
      <c r="I6" s="20"/>
      <c r="J6" s="34"/>
      <c r="K6" s="9"/>
      <c r="L6" s="41"/>
      <c r="M6" s="41"/>
      <c r="N6" s="34"/>
      <c r="O6" s="20"/>
      <c r="P6" s="20"/>
      <c r="Q6" s="20"/>
      <c r="R6" s="20"/>
      <c r="S6" s="41"/>
      <c r="T6" s="41"/>
      <c r="U6" s="41"/>
      <c r="V6" s="20"/>
      <c r="W6" s="20"/>
      <c r="X6" s="20"/>
      <c r="Y6" s="41"/>
      <c r="Z6" s="428"/>
      <c r="AA6" s="45"/>
      <c r="AB6" s="45"/>
    </row>
    <row r="7" spans="1:28" s="36" customFormat="1" ht="34.9" customHeight="1">
      <c r="A7" s="9" t="s">
        <v>413</v>
      </c>
      <c r="B7" s="11">
        <f>'תקציב הנדסה 2022 '!D77</f>
        <v>527779791</v>
      </c>
      <c r="C7" s="11">
        <f>'תקציב הנדסה 2022 '!E77</f>
        <v>483168791</v>
      </c>
      <c r="D7" s="11">
        <f>'תקציב הנדסה 2022 '!F77</f>
        <v>44611000</v>
      </c>
      <c r="E7" s="11">
        <f>'תקציב הנדסה 2022 '!G77</f>
        <v>205226071</v>
      </c>
      <c r="F7" s="11">
        <f>'תקציב הנדסה 2022 '!H77</f>
        <v>168574056</v>
      </c>
      <c r="G7" s="11">
        <f>'תקציב הנדסה 2022 '!I77</f>
        <v>6019848</v>
      </c>
      <c r="H7" s="11">
        <f>'תקציב הנדסה 2022 '!J77</f>
        <v>5752801</v>
      </c>
      <c r="I7" s="11">
        <f>'תקציב הנדסה 2022 '!K77</f>
        <v>11772649</v>
      </c>
      <c r="J7" s="11">
        <f>'תקציב הנדסה 2022 '!L77</f>
        <v>180346705</v>
      </c>
      <c r="K7" s="11">
        <f>'תקציב הנדסה 2022 '!M77</f>
        <v>6759366</v>
      </c>
      <c r="L7" s="11">
        <f>'תקציב הנדסה 2022 '!N77</f>
        <v>29150000</v>
      </c>
      <c r="M7" s="11">
        <f>'תקציב הנדסה 2022 '!O77</f>
        <v>311523720</v>
      </c>
      <c r="N7" s="11">
        <f>'תקציב הנדסה 2022 '!P77</f>
        <v>24879366</v>
      </c>
      <c r="O7" s="11">
        <f>'תקציב הנדסה 2022 '!Q77</f>
        <v>1450000</v>
      </c>
      <c r="P7" s="11">
        <f>'תקציב הנדסה 2022 '!R77</f>
        <v>0</v>
      </c>
      <c r="Q7" s="11">
        <f>'תקציב הנדסה 2022 '!S77</f>
        <v>1450000</v>
      </c>
      <c r="R7" s="11">
        <f>'תקציב הנדסה 2022 '!T77</f>
        <v>19570000</v>
      </c>
      <c r="S7" s="11">
        <f>'תקציב הנדסה 2022 '!U77</f>
        <v>9580000</v>
      </c>
      <c r="T7" s="11">
        <f>'תקציב הנדסה 2022 '!V77</f>
        <v>8005774</v>
      </c>
      <c r="U7" s="11">
        <f>'תקציב הנדסה 2022 '!W77</f>
        <v>0</v>
      </c>
      <c r="V7" s="11">
        <f>'תקציב הנדסה 2022 '!X77</f>
        <v>0</v>
      </c>
      <c r="W7" s="11">
        <f>'תקציב הנדסה 2022 '!Y77</f>
        <v>0</v>
      </c>
      <c r="X7" s="11">
        <f>'תקציב הנדסה 2022 '!Z77</f>
        <v>0</v>
      </c>
      <c r="Y7" s="11">
        <f>'תקציב הנדסה 2022 '!AA77</f>
        <v>1574226</v>
      </c>
      <c r="Z7" s="429">
        <f>'תקציב הנדסה 2022 '!A77</f>
        <v>72</v>
      </c>
      <c r="AA7" s="44"/>
      <c r="AB7" s="45"/>
    </row>
    <row r="8" spans="1:28" s="45" customFormat="1" ht="34.9" customHeight="1">
      <c r="A8" s="9" t="s">
        <v>208</v>
      </c>
      <c r="B8" s="43">
        <f>'תקציב החברה לפיתוח 2022'!D130</f>
        <v>3217044339</v>
      </c>
      <c r="C8" s="43">
        <f>'תקציב החברה לפיתוח 2022'!E130</f>
        <v>3022650187</v>
      </c>
      <c r="D8" s="43">
        <f>'תקציב החברה לפיתוח 2022'!F130</f>
        <v>194394152</v>
      </c>
      <c r="E8" s="43">
        <f>'תקציב החברה לפיתוח 2022'!G130</f>
        <v>1377988129</v>
      </c>
      <c r="F8" s="43">
        <f>'תקציב החברה לפיתוח 2022'!H130</f>
        <v>1147601818</v>
      </c>
      <c r="G8" s="43">
        <f>'תקציב החברה לפיתוח 2022'!I130</f>
        <v>3316292</v>
      </c>
      <c r="H8" s="43">
        <f>'תקציב החברה לפיתוח 2022'!J130</f>
        <v>56856826</v>
      </c>
      <c r="I8" s="43">
        <f>'תקציב החברה לפיתוח 2022'!K130</f>
        <v>60173118</v>
      </c>
      <c r="J8" s="43">
        <f>'תקציב החברה לפיתוח 2022'!L130</f>
        <v>1207774936</v>
      </c>
      <c r="K8" s="43">
        <f>'תקציב החברה לפיתוח 2022'!M130</f>
        <v>340006362</v>
      </c>
      <c r="L8" s="43">
        <f>'תקציב החברה לפיתוח 2022'!N130</f>
        <v>355265805</v>
      </c>
      <c r="M8" s="43">
        <f>'תקציב החברה לפיתוח 2022'!O130</f>
        <v>1313997236</v>
      </c>
      <c r="N8" s="43">
        <f>'תקציב החברה לפיתוח 2022'!P130</f>
        <v>170213193</v>
      </c>
      <c r="O8" s="43">
        <f>'תקציב החברה לפיתוח 2022'!Q130</f>
        <v>167330610</v>
      </c>
      <c r="P8" s="43">
        <f>'תקציב החברה לפיתוח 2022'!R130</f>
        <v>10226895</v>
      </c>
      <c r="Q8" s="43">
        <f>'תקציב החברה לפיתוח 2022'!S130</f>
        <v>177557505</v>
      </c>
      <c r="R8" s="43">
        <f>'תקציב החברה לפיתוח 2022'!T130</f>
        <v>7764336</v>
      </c>
      <c r="S8" s="43">
        <f>'תקציב החברה לפיתוח 2022'!U130</f>
        <v>347501469</v>
      </c>
      <c r="T8" s="43">
        <f>'תקציב החברה לפיתוח 2022'!V130</f>
        <v>184998584</v>
      </c>
      <c r="U8" s="43">
        <f>'תקציב החברה לפיתוח 2022'!W130</f>
        <v>1500000</v>
      </c>
      <c r="V8" s="43">
        <f>'תקציב החברה לפיתוח 2022'!X130</f>
        <v>0</v>
      </c>
      <c r="W8" s="43">
        <f>'תקציב החברה לפיתוח 2022'!Y130</f>
        <v>9000000</v>
      </c>
      <c r="X8" s="43">
        <f>'תקציב החברה לפיתוח 2022'!Z130</f>
        <v>7100000</v>
      </c>
      <c r="Y8" s="43">
        <f>'תקציב החברה לפיתוח 2022'!AA130</f>
        <v>144902885</v>
      </c>
      <c r="Z8" s="430">
        <f>'תקציב החברה לפיתוח 2022'!A130</f>
        <v>120</v>
      </c>
      <c r="AA8" s="44"/>
    </row>
    <row r="9" spans="1:28" s="45" customFormat="1" ht="34.9" customHeight="1">
      <c r="A9" s="9" t="s">
        <v>1892</v>
      </c>
      <c r="B9" s="43">
        <f>'תקציב מינהל תפעול 2022'!D127</f>
        <v>806482978</v>
      </c>
      <c r="C9" s="43">
        <f>'תקציב מינהל תפעול 2022'!E127</f>
        <v>702118212</v>
      </c>
      <c r="D9" s="43">
        <f>'תקציב מינהל תפעול 2022'!F127</f>
        <v>104364766</v>
      </c>
      <c r="E9" s="43">
        <f>'תקציב מינהל תפעול 2022'!G127</f>
        <v>518658778</v>
      </c>
      <c r="F9" s="43">
        <f>'תקציב מינהל תפעול 2022'!H127</f>
        <v>421111924</v>
      </c>
      <c r="G9" s="43">
        <f>'תקציב מינהל תפעול 2022'!I127</f>
        <v>23248948</v>
      </c>
      <c r="H9" s="43">
        <f>'תקציב מינהל תפעול 2022'!J127</f>
        <v>45388313</v>
      </c>
      <c r="I9" s="43">
        <f>'תקציב מינהל תפעול 2022'!K127</f>
        <v>68637261</v>
      </c>
      <c r="J9" s="43">
        <f>'תקציב מינהל תפעול 2022'!L127</f>
        <v>489749185</v>
      </c>
      <c r="K9" s="43">
        <f>'תקציב מינהל תפעול 2022'!M127</f>
        <v>31121559</v>
      </c>
      <c r="L9" s="43">
        <f>'תקציב מינהל תפעול 2022'!N127</f>
        <v>84404800</v>
      </c>
      <c r="M9" s="43">
        <f>'תקציב מינהל תפעול 2022'!O127</f>
        <v>201207434</v>
      </c>
      <c r="N9" s="43">
        <f>'תקציב מינהל תפעול 2022'!P127</f>
        <v>28909593</v>
      </c>
      <c r="O9" s="43">
        <f>'תקציב מינהל תפעול 2022'!Q127</f>
        <v>2020000</v>
      </c>
      <c r="P9" s="43">
        <f>'תקציב מינהל תפעול 2022'!R127</f>
        <v>300000</v>
      </c>
      <c r="Q9" s="43">
        <f>'תקציב מינהל תפעול 2022'!S127</f>
        <v>2320000</v>
      </c>
      <c r="R9" s="43">
        <f>'תקציב מינהל תפעול 2022'!T127</f>
        <v>108034</v>
      </c>
      <c r="S9" s="43">
        <f>'תקציב מינהל תפעול 2022'!U127</f>
        <v>84296766</v>
      </c>
      <c r="T9" s="43">
        <f>'תקציב מינהל תפעול 2022'!V127</f>
        <v>22084574</v>
      </c>
      <c r="U9" s="43">
        <f>'תקציב מינהל תפעול 2022'!W127</f>
        <v>44644649</v>
      </c>
      <c r="V9" s="43">
        <f>'תקציב מינהל תפעול 2022'!X127</f>
        <v>0</v>
      </c>
      <c r="W9" s="43">
        <f>'תקציב מינהל תפעול 2022'!Y127</f>
        <v>0</v>
      </c>
      <c r="X9" s="43">
        <f>'תקציב מינהל תפעול 2022'!Z127</f>
        <v>0</v>
      </c>
      <c r="Y9" s="43">
        <f>'תקציב מינהל תפעול 2022'!AA127</f>
        <v>17567543</v>
      </c>
      <c r="Z9" s="430">
        <f>'תקציב מינהל תפעול 2022'!A127</f>
        <v>122</v>
      </c>
      <c r="AA9" s="44"/>
    </row>
    <row r="10" spans="1:28" s="45" customFormat="1" ht="34.9" customHeight="1">
      <c r="A10" s="243" t="s">
        <v>168</v>
      </c>
      <c r="B10" s="43">
        <f>'תקציב אגף חינוך 2022'!D28</f>
        <v>46031820</v>
      </c>
      <c r="C10" s="43">
        <f>'תקציב אגף חינוך 2022'!E28</f>
        <v>44194820</v>
      </c>
      <c r="D10" s="43">
        <f>'תקציב אגף חינוך 2022'!F28</f>
        <v>1837000</v>
      </c>
      <c r="E10" s="43">
        <f>'תקציב אגף חינוך 2022'!G28</f>
        <v>16315820</v>
      </c>
      <c r="F10" s="43">
        <f>'תקציב אגף חינוך 2022'!H28</f>
        <v>9746009</v>
      </c>
      <c r="G10" s="43">
        <f>'תקציב אגף חינוך 2022'!I28</f>
        <v>173897</v>
      </c>
      <c r="H10" s="43">
        <f>'תקציב אגף חינוך 2022'!J28</f>
        <v>3179518</v>
      </c>
      <c r="I10" s="43">
        <f>'תקציב אגף חינוך 2022'!K28</f>
        <v>3353415</v>
      </c>
      <c r="J10" s="43">
        <f>'תקציב אגף חינוך 2022'!L28</f>
        <v>13099424</v>
      </c>
      <c r="K10" s="43">
        <f>'תקציב אגף חינוך 2022'!M28</f>
        <v>3246396</v>
      </c>
      <c r="L10" s="43">
        <f>'תקציב אגף חינוך 2022'!N28</f>
        <v>6486000</v>
      </c>
      <c r="M10" s="43">
        <f>'תקציב אגף חינוך 2022'!O28</f>
        <v>23200000</v>
      </c>
      <c r="N10" s="43">
        <f>'תקציב אגף חינוך 2022'!P28</f>
        <v>3216396</v>
      </c>
      <c r="O10" s="43">
        <f>'תקציב אגף חינוך 2022'!Q28</f>
        <v>300000</v>
      </c>
      <c r="P10" s="43">
        <f>'תקציב אגף חינוך 2022'!R28</f>
        <v>0</v>
      </c>
      <c r="Q10" s="43">
        <f>'תקציב אגף חינוך 2022'!S28</f>
        <v>300000</v>
      </c>
      <c r="R10" s="43">
        <f>'תקציב אגף חינוך 2022'!T28</f>
        <v>270000</v>
      </c>
      <c r="S10" s="43">
        <f>'תקציב אגף חינוך 2022'!U28</f>
        <v>6216000</v>
      </c>
      <c r="T10" s="43">
        <f>'תקציב אגף חינוך 2022'!V28</f>
        <v>0</v>
      </c>
      <c r="U10" s="43">
        <f>'תקציב אגף חינוך 2022'!W28</f>
        <v>4590100</v>
      </c>
      <c r="V10" s="43">
        <f>'תקציב אגף חינוך 2022'!X28</f>
        <v>0</v>
      </c>
      <c r="W10" s="43">
        <f>'תקציב אגף חינוך 2022'!Y28</f>
        <v>0</v>
      </c>
      <c r="X10" s="43">
        <f>'תקציב אגף חינוך 2022'!Z28</f>
        <v>0</v>
      </c>
      <c r="Y10" s="43">
        <f>'תקציב אגף חינוך 2022'!AA28</f>
        <v>1625900</v>
      </c>
      <c r="Z10" s="430">
        <f>'תקציב אגף חינוך 2022'!A28</f>
        <v>23</v>
      </c>
    </row>
    <row r="11" spans="1:28" s="45" customFormat="1" ht="34.9" customHeight="1">
      <c r="A11" s="243" t="s">
        <v>381</v>
      </c>
      <c r="B11" s="43">
        <f>'תקציב אגף תנוס 2022 '!D15</f>
        <v>20966365</v>
      </c>
      <c r="C11" s="43">
        <f>'תקציב אגף תנוס 2022 '!E15</f>
        <v>19516365</v>
      </c>
      <c r="D11" s="43">
        <f>'תקציב אגף תנוס 2022 '!F15</f>
        <v>1450000</v>
      </c>
      <c r="E11" s="43">
        <f>'תקציב אגף תנוס 2022 '!G15</f>
        <v>15655365</v>
      </c>
      <c r="F11" s="43">
        <f>'תקציב אגף תנוס 2022 '!H15</f>
        <v>12951229</v>
      </c>
      <c r="G11" s="43">
        <f>'תקציב אגף תנוס 2022 '!I15</f>
        <v>0</v>
      </c>
      <c r="H11" s="43">
        <f>'תקציב אגף תנוס 2022 '!J15</f>
        <v>2204670</v>
      </c>
      <c r="I11" s="43">
        <f>'תקציב אגף תנוס 2022 '!K15</f>
        <v>2204670</v>
      </c>
      <c r="J11" s="43">
        <f>'תקציב אגף תנוס 2022 '!L15</f>
        <v>15155899</v>
      </c>
      <c r="K11" s="43">
        <f>'תקציב אגף תנוס 2022 '!M15</f>
        <v>699466</v>
      </c>
      <c r="L11" s="43">
        <f>'תקציב אגף תנוס 2022 '!N15</f>
        <v>2970000</v>
      </c>
      <c r="M11" s="43">
        <f>'תקציב אגף תנוס 2022 '!O15</f>
        <v>2141000</v>
      </c>
      <c r="N11" s="43">
        <f>'תקציב אגף תנוס 2022 '!P15</f>
        <v>499466</v>
      </c>
      <c r="O11" s="43">
        <f>'תקציב אגף תנוס 2022 '!Q15</f>
        <v>200000</v>
      </c>
      <c r="P11" s="43">
        <f>'תקציב אגף תנוס 2022 '!R15</f>
        <v>0</v>
      </c>
      <c r="Q11" s="43">
        <f>'תקציב אגף תנוס 2022 '!S15</f>
        <v>200000</v>
      </c>
      <c r="R11" s="43">
        <f>'תקציב אגף תנוס 2022 '!T15</f>
        <v>0</v>
      </c>
      <c r="S11" s="43">
        <f>'תקציב אגף תנוס 2022 '!U15</f>
        <v>2970000</v>
      </c>
      <c r="T11" s="43">
        <f>'תקציב אגף תנוס 2022 '!V15</f>
        <v>210000</v>
      </c>
      <c r="U11" s="43">
        <f>'תקציב אגף תנוס 2022 '!W15</f>
        <v>2760000</v>
      </c>
      <c r="V11" s="43">
        <f>'תקציב אגף תנוס 2022 '!X15</f>
        <v>0</v>
      </c>
      <c r="W11" s="43">
        <f>'תקציב אגף תנוס 2022 '!Y15</f>
        <v>0</v>
      </c>
      <c r="X11" s="43">
        <f>'תקציב אגף תנוס 2022 '!Z15</f>
        <v>0</v>
      </c>
      <c r="Y11" s="43">
        <f>'תקציב אגף תנוס 2022 '!AA15</f>
        <v>0</v>
      </c>
      <c r="Z11" s="430">
        <f>'תקציב אגף תנוס 2022 '!A15</f>
        <v>10</v>
      </c>
    </row>
    <row r="12" spans="1:28" s="45" customFormat="1" ht="34.9" customHeight="1">
      <c r="A12" s="9" t="s">
        <v>93</v>
      </c>
      <c r="B12" s="43">
        <f>'תקציב החברה לתירות 2022 '!D10</f>
        <v>12458000</v>
      </c>
      <c r="C12" s="43">
        <f>'תקציב החברה לתירות 2022 '!E10</f>
        <v>12458000</v>
      </c>
      <c r="D12" s="43">
        <f>'תקציב החברה לתירות 2022 '!F10</f>
        <v>0</v>
      </c>
      <c r="E12" s="43">
        <f>'תקציב החברה לתירות 2022 '!G10</f>
        <v>5695000</v>
      </c>
      <c r="F12" s="43">
        <f>'תקציב החברה לתירות 2022 '!H10</f>
        <v>4690909</v>
      </c>
      <c r="G12" s="43">
        <f>'תקציב החברה לתירות 2022 '!I10</f>
        <v>0</v>
      </c>
      <c r="H12" s="43">
        <f>'תקציב החברה לתירות 2022 '!J10</f>
        <v>0</v>
      </c>
      <c r="I12" s="43">
        <f>'תקציב החברה לתירות 2022 '!K10</f>
        <v>0</v>
      </c>
      <c r="J12" s="43">
        <f>'תקציב החברה לתירות 2022 '!L10</f>
        <v>4690909</v>
      </c>
      <c r="K12" s="43">
        <f>'תקציב החברה לתירות 2022 '!M10</f>
        <v>414091</v>
      </c>
      <c r="L12" s="43">
        <f>'תקציב החברה לתירות 2022 '!N10</f>
        <v>1000000</v>
      </c>
      <c r="M12" s="43">
        <f>'תקציב החברה לתירות 2022 '!O10</f>
        <v>6353000</v>
      </c>
      <c r="N12" s="43">
        <f>'תקציב החברה לתירות 2022 '!P10</f>
        <v>1004091</v>
      </c>
      <c r="O12" s="43">
        <f>'תקציב החברה לתירות 2022 '!Q10</f>
        <v>0</v>
      </c>
      <c r="P12" s="43"/>
      <c r="Q12" s="43">
        <f>'תקציב החברה לתירות 2022 '!S10</f>
        <v>0</v>
      </c>
      <c r="R12" s="43">
        <f>'תקציב החברה לתירות 2022 '!T10</f>
        <v>590000</v>
      </c>
      <c r="S12" s="43">
        <f>'תקציב החברה לתירות 2022 '!U10</f>
        <v>410000</v>
      </c>
      <c r="T12" s="43">
        <f>'תקציב החברה לתירות 2022 '!V10</f>
        <v>181067.75</v>
      </c>
      <c r="U12" s="43">
        <f>'תקציב החברה לתירות 2022 '!W10</f>
        <v>0</v>
      </c>
      <c r="V12" s="43">
        <f>'תקציב החברה לתירות 2022 '!X10</f>
        <v>0</v>
      </c>
      <c r="W12" s="43">
        <f>'תקציב החברה לתירות 2022 '!Y10</f>
        <v>0</v>
      </c>
      <c r="X12" s="43">
        <f>'תקציב החברה לתירות 2022 '!Z10</f>
        <v>0</v>
      </c>
      <c r="Y12" s="43">
        <f>'תקציב החברה לתירות 2022 '!AA10</f>
        <v>228932.25</v>
      </c>
      <c r="Z12" s="46">
        <f>'תקציב החברה לתירות 2022 '!A10</f>
        <v>5</v>
      </c>
    </row>
    <row r="13" spans="1:28" s="45" customFormat="1" ht="34.9" customHeight="1">
      <c r="A13" s="9" t="s">
        <v>468</v>
      </c>
      <c r="B13" s="43">
        <f>'תקציב אגף המיחשוב 2022'!D14</f>
        <v>74318000</v>
      </c>
      <c r="C13" s="43">
        <f>'תקציב אגף המיחשוב 2022'!E14</f>
        <v>58798000</v>
      </c>
      <c r="D13" s="43">
        <f>'תקציב אגף המיחשוב 2022'!F14</f>
        <v>15520000</v>
      </c>
      <c r="E13" s="43">
        <f>'תקציב אגף המיחשוב 2022'!G14</f>
        <v>42391000</v>
      </c>
      <c r="F13" s="43">
        <f>'תקציב אגף המיחשוב 2022'!H14</f>
        <v>30329540</v>
      </c>
      <c r="G13" s="43">
        <f>'תקציב אגף המיחשוב 2022'!I14</f>
        <v>54300</v>
      </c>
      <c r="H13" s="43">
        <f>'תקציב אגף המיחשוב 2022'!J14</f>
        <v>7304816</v>
      </c>
      <c r="I13" s="43">
        <f>'תקציב אגף המיחשוב 2022'!K14</f>
        <v>7359116</v>
      </c>
      <c r="J13" s="43">
        <f>'תקציב אגף המיחשוב 2022'!L14</f>
        <v>37688656</v>
      </c>
      <c r="K13" s="43">
        <f>'תקציב אגף המיחשוב 2022'!M14</f>
        <v>4702344</v>
      </c>
      <c r="L13" s="43">
        <f>'תקציב אגף המיחשוב 2022'!N14</f>
        <v>14650000</v>
      </c>
      <c r="M13" s="43">
        <f>'תקציב אגף המיחשוב 2022'!O14</f>
        <v>17277000</v>
      </c>
      <c r="N13" s="43">
        <f>'תקציב אגף המיחשוב 2022'!P14</f>
        <v>4702344</v>
      </c>
      <c r="O13" s="43">
        <f>'תקציב אגף המיחשוב 2022'!Q14</f>
        <v>0</v>
      </c>
      <c r="P13" s="43">
        <f>'תקציב אגף המיחשוב 2022'!R14</f>
        <v>0</v>
      </c>
      <c r="Q13" s="43">
        <f>'תקציב אגף המיחשוב 2022'!S14</f>
        <v>0</v>
      </c>
      <c r="R13" s="43">
        <f>'תקציב אגף המיחשוב 2022'!T14</f>
        <v>0</v>
      </c>
      <c r="S13" s="43">
        <f>'תקציב אגף המיחשוב 2022'!U14</f>
        <v>14650000</v>
      </c>
      <c r="T13" s="43">
        <f>'תקציב אגף המיחשוב 2022'!V14</f>
        <v>8900000</v>
      </c>
      <c r="U13" s="43">
        <f>'תקציב אגף המיחשוב 2022'!W14</f>
        <v>3450000</v>
      </c>
      <c r="V13" s="43">
        <f>'תקציב אגף המיחשוב 2022'!X14</f>
        <v>0</v>
      </c>
      <c r="W13" s="43">
        <f>'תקציב אגף המיחשוב 2022'!Y14</f>
        <v>0</v>
      </c>
      <c r="X13" s="43">
        <f>'תקציב אגף המיחשוב 2022'!Z14</f>
        <v>0</v>
      </c>
      <c r="Y13" s="43">
        <f>'תקציב אגף המיחשוב 2022'!AA14</f>
        <v>2300000</v>
      </c>
      <c r="Z13" s="46">
        <f>'תקציב אגף המיחשוב 2022'!A14</f>
        <v>9</v>
      </c>
    </row>
    <row r="14" spans="1:28" s="45" customFormat="1" ht="34.9" customHeight="1">
      <c r="A14" s="9" t="s">
        <v>467</v>
      </c>
      <c r="B14" s="43">
        <f>'תקציב אגף נכסים וביטוח 2022 '!D17</f>
        <v>121909000</v>
      </c>
      <c r="C14" s="43">
        <f>'תקציב אגף נכסים וביטוח 2022 '!E17</f>
        <v>121809000</v>
      </c>
      <c r="D14" s="43">
        <f>'תקציב אגף נכסים וביטוח 2022 '!F17</f>
        <v>100000</v>
      </c>
      <c r="E14" s="43">
        <f>'תקציב אגף נכסים וביטוח 2022 '!G17</f>
        <v>57751825</v>
      </c>
      <c r="F14" s="43">
        <f>'תקציב אגף נכסים וביטוח 2022 '!H17</f>
        <v>39852303</v>
      </c>
      <c r="G14" s="43">
        <f>'תקציב אגף נכסים וביטוח 2022 '!I17</f>
        <v>2630028</v>
      </c>
      <c r="H14" s="43">
        <f>'תקציב אגף נכסים וביטוח 2022 '!J17</f>
        <v>12003</v>
      </c>
      <c r="I14" s="43">
        <f>'תקציב אגף נכסים וביטוח 2022 '!K17</f>
        <v>2642031</v>
      </c>
      <c r="J14" s="43">
        <f>'תקציב אגף נכסים וביטוח 2022 '!L17</f>
        <v>42494334</v>
      </c>
      <c r="K14" s="43">
        <f>'תקציב אגף נכסים וביטוח 2022 '!M17</f>
        <v>227491</v>
      </c>
      <c r="L14" s="43">
        <f>'תקציב אגף נכסים וביטוח 2022 '!N17</f>
        <v>16120000</v>
      </c>
      <c r="M14" s="43">
        <f>'תקציב אגף נכסים וביטוח 2022 '!O17</f>
        <v>63067175</v>
      </c>
      <c r="N14" s="43">
        <f>'תקציב אגף נכסים וביטוח 2022 '!P17</f>
        <v>15257491</v>
      </c>
      <c r="O14" s="43">
        <f>'תקציב אגף נכסים וביטוח 2022 '!Q17</f>
        <v>0</v>
      </c>
      <c r="P14" s="43">
        <f>'תקציב אגף נכסים וביטוח 2022 '!R17</f>
        <v>0</v>
      </c>
      <c r="Q14" s="43">
        <f>'תקציב אגף נכסים וביטוח 2022 '!S17</f>
        <v>0</v>
      </c>
      <c r="R14" s="43">
        <f>'תקציב אגף נכסים וביטוח 2022 '!T17</f>
        <v>15030000</v>
      </c>
      <c r="S14" s="43">
        <f>'תקציב אגף נכסים וביטוח 2022 '!U17</f>
        <v>1090000</v>
      </c>
      <c r="T14" s="43">
        <f>'תקציב אגף נכסים וביטוח 2022 '!V17</f>
        <v>1090000</v>
      </c>
      <c r="U14" s="43">
        <f>'תקציב אגף נכסים וביטוח 2022 '!W17</f>
        <v>0</v>
      </c>
      <c r="V14" s="43">
        <f>'תקציב אגף נכסים וביטוח 2022 '!X17</f>
        <v>0</v>
      </c>
      <c r="W14" s="43">
        <f>'תקציב אגף נכסים וביטוח 2022 '!Y17</f>
        <v>0</v>
      </c>
      <c r="X14" s="43">
        <f>'תקציב אגף נכסים וביטוח 2022 '!Z17</f>
        <v>0</v>
      </c>
      <c r="Y14" s="43">
        <f>'תקציב אגף נכסים וביטוח 2022 '!AA17</f>
        <v>0</v>
      </c>
      <c r="Z14" s="430">
        <f>'תקציב אגף נכסים וביטוח 2022 '!A17</f>
        <v>12</v>
      </c>
    </row>
    <row r="15" spans="1:28" s="45" customFormat="1" ht="34.9" customHeight="1">
      <c r="A15" s="243" t="s">
        <v>252</v>
      </c>
      <c r="B15" s="43">
        <f>'תקציב מינהל כללי 2022  '!D14</f>
        <v>129079663</v>
      </c>
      <c r="C15" s="43">
        <f>'תקציב מינהל כללי 2022  '!E14</f>
        <v>135032955</v>
      </c>
      <c r="D15" s="43">
        <f>'תקציב מינהל כללי 2022  '!F14</f>
        <v>-5953292</v>
      </c>
      <c r="E15" s="43">
        <f>'תקציב מינהל כללי 2022  '!G14</f>
        <v>98744274</v>
      </c>
      <c r="F15" s="43">
        <f>'תקציב מינהל כללי 2022  '!H14</f>
        <v>83548684.189999998</v>
      </c>
      <c r="G15" s="43">
        <f>'תקציב מינהל כללי 2022  '!I14</f>
        <v>56221</v>
      </c>
      <c r="H15" s="43">
        <f>'תקציב מינהל כללי 2022  '!J14</f>
        <v>3476204</v>
      </c>
      <c r="I15" s="43">
        <f>'תקציב מינהל כללי 2022  '!K14</f>
        <v>3532425</v>
      </c>
      <c r="J15" s="43">
        <f>'תקציב מינהל כללי 2022  '!L14</f>
        <v>87081109.189999998</v>
      </c>
      <c r="K15" s="43">
        <f>'תקציב מינהל כללי 2022  '!M14</f>
        <v>11318415.810000001</v>
      </c>
      <c r="L15" s="43">
        <f>'תקציב מינהל כללי 2022  '!N14</f>
        <v>9300000</v>
      </c>
      <c r="M15" s="43">
        <f>'תקציב מינהל כללי 2022  '!O14</f>
        <v>21380138</v>
      </c>
      <c r="N15" s="43">
        <f>'תקציב מינהל כללי 2022  '!P14</f>
        <v>11663164.810000001</v>
      </c>
      <c r="O15" s="43">
        <f>'תקציב מינהל כללי 2022  '!Q14</f>
        <v>700000</v>
      </c>
      <c r="P15" s="43">
        <f>'תקציב מינהל כללי 2022  '!R14</f>
        <v>0</v>
      </c>
      <c r="Q15" s="43">
        <f>'תקציב מינהל כללי 2022  '!S14</f>
        <v>700000</v>
      </c>
      <c r="R15" s="43">
        <f>'תקציב מינהל כללי 2022  '!T14</f>
        <v>1044749</v>
      </c>
      <c r="S15" s="43">
        <f>'תקציב מינהל כללי 2022  '!U14</f>
        <v>8255251</v>
      </c>
      <c r="T15" s="43">
        <f>'תקציב מינהל כללי 2022  '!V14</f>
        <v>5200000</v>
      </c>
      <c r="U15" s="43">
        <f>'תקציב מינהל כללי 2022  '!W14</f>
        <v>3055251</v>
      </c>
      <c r="V15" s="43">
        <f>'תקציב מינהל כללי 2022  '!X14</f>
        <v>0</v>
      </c>
      <c r="W15" s="43">
        <f>'תקציב מינהל כללי 2022  '!Y14</f>
        <v>0</v>
      </c>
      <c r="X15" s="43">
        <f>'תקציב מינהל כללי 2022  '!Z14</f>
        <v>0</v>
      </c>
      <c r="Y15" s="43">
        <f>'תקציב מינהל כללי 2022  '!AA14</f>
        <v>0</v>
      </c>
      <c r="Z15" s="430">
        <f>'תקציב מינהל כללי 2022  '!A14</f>
        <v>9</v>
      </c>
    </row>
    <row r="16" spans="1:28" s="45" customFormat="1" ht="34.9" customHeight="1">
      <c r="A16" s="243" t="s">
        <v>204</v>
      </c>
      <c r="B16" s="43">
        <f t="shared" ref="B16:Z16" si="0">SUM(B7:B15)</f>
        <v>4956069956</v>
      </c>
      <c r="C16" s="43">
        <f t="shared" si="0"/>
        <v>4599746330</v>
      </c>
      <c r="D16" s="43">
        <f t="shared" si="0"/>
        <v>356323626</v>
      </c>
      <c r="E16" s="43">
        <f t="shared" si="0"/>
        <v>2338426262</v>
      </c>
      <c r="F16" s="43">
        <f t="shared" si="0"/>
        <v>1918406472.1900001</v>
      </c>
      <c r="G16" s="43">
        <f t="shared" si="0"/>
        <v>35499534</v>
      </c>
      <c r="H16" s="43">
        <f t="shared" si="0"/>
        <v>124175151</v>
      </c>
      <c r="I16" s="43">
        <f t="shared" si="0"/>
        <v>159674685</v>
      </c>
      <c r="J16" s="43">
        <f t="shared" si="0"/>
        <v>2078081157.1900001</v>
      </c>
      <c r="K16" s="43">
        <f t="shared" si="0"/>
        <v>398495490.81</v>
      </c>
      <c r="L16" s="43">
        <f t="shared" si="0"/>
        <v>519346605</v>
      </c>
      <c r="M16" s="43">
        <f t="shared" si="0"/>
        <v>1960146703</v>
      </c>
      <c r="N16" s="43">
        <f t="shared" si="0"/>
        <v>260345104.81</v>
      </c>
      <c r="O16" s="43">
        <f t="shared" si="0"/>
        <v>172000610</v>
      </c>
      <c r="P16" s="43">
        <f t="shared" si="0"/>
        <v>10526895</v>
      </c>
      <c r="Q16" s="43">
        <f t="shared" si="0"/>
        <v>182527505</v>
      </c>
      <c r="R16" s="43">
        <f t="shared" si="0"/>
        <v>44377119</v>
      </c>
      <c r="S16" s="43">
        <f t="shared" si="0"/>
        <v>474969486</v>
      </c>
      <c r="T16" s="43">
        <f t="shared" si="0"/>
        <v>230669999.75</v>
      </c>
      <c r="U16" s="43">
        <f t="shared" si="0"/>
        <v>60000000</v>
      </c>
      <c r="V16" s="43">
        <f t="shared" si="0"/>
        <v>0</v>
      </c>
      <c r="W16" s="43">
        <f t="shared" si="0"/>
        <v>9000000</v>
      </c>
      <c r="X16" s="43">
        <f t="shared" si="0"/>
        <v>7100000</v>
      </c>
      <c r="Y16" s="43">
        <f t="shared" si="0"/>
        <v>168199486.25</v>
      </c>
      <c r="Z16" s="430">
        <f t="shared" si="0"/>
        <v>382</v>
      </c>
    </row>
    <row r="17" spans="1:30" s="45" customFormat="1" hidden="1">
      <c r="A17" s="283"/>
      <c r="B17" s="431">
        <f>SUM(C16:D16)</f>
        <v>4956069956</v>
      </c>
      <c r="C17" s="44"/>
      <c r="D17" s="44"/>
      <c r="E17" s="44"/>
      <c r="F17" s="44"/>
      <c r="G17" s="44"/>
      <c r="H17" s="44"/>
      <c r="I17" s="431">
        <f>SUM(G16:H16)</f>
        <v>159674685</v>
      </c>
      <c r="J17" s="431">
        <f>I16+F16</f>
        <v>2078081157.1900001</v>
      </c>
      <c r="K17" s="431">
        <f>N16+Q16-R16</f>
        <v>398495490.81</v>
      </c>
      <c r="L17" s="44"/>
      <c r="M17" s="44"/>
      <c r="N17" s="431">
        <f>E16-J16</f>
        <v>260345104.80999994</v>
      </c>
      <c r="O17" s="44"/>
      <c r="P17" s="44"/>
      <c r="Q17" s="431">
        <f>SUM(O16:P16)</f>
        <v>182527505</v>
      </c>
      <c r="R17" s="431">
        <f>N16+Q16-K16</f>
        <v>44377119</v>
      </c>
      <c r="S17" s="431">
        <f>L16-R16</f>
        <v>474969486</v>
      </c>
      <c r="T17" s="44">
        <f>SUM(T16:Y16)</f>
        <v>474969486</v>
      </c>
      <c r="U17" s="44"/>
      <c r="V17" s="44"/>
      <c r="W17" s="44"/>
      <c r="X17" s="44"/>
      <c r="Y17" s="44"/>
    </row>
    <row r="18" spans="1:30" s="45" customFormat="1" hidden="1">
      <c r="A18" s="283"/>
      <c r="B18" s="43">
        <f>SUM(J16:M16)</f>
        <v>4956069956</v>
      </c>
      <c r="C18" s="44"/>
      <c r="D18" s="44"/>
      <c r="E18" s="44"/>
      <c r="F18" s="44"/>
      <c r="G18" s="44"/>
      <c r="H18" s="44"/>
      <c r="I18" s="43">
        <f>I16-I17</f>
        <v>0</v>
      </c>
      <c r="J18" s="43">
        <f>J16-J17</f>
        <v>0</v>
      </c>
      <c r="K18" s="44"/>
      <c r="L18" s="44"/>
      <c r="M18" s="44"/>
      <c r="N18" s="43">
        <f>N16-N17</f>
        <v>0</v>
      </c>
      <c r="O18" s="44"/>
      <c r="P18" s="44"/>
      <c r="Q18" s="43">
        <f>Q16-Q17</f>
        <v>0</v>
      </c>
      <c r="R18" s="43">
        <f>R16-R17</f>
        <v>0</v>
      </c>
      <c r="S18" s="43">
        <f>S16-S17</f>
        <v>0</v>
      </c>
      <c r="T18" s="43">
        <f>S17-T17</f>
        <v>0</v>
      </c>
      <c r="U18" s="44"/>
      <c r="V18" s="44"/>
      <c r="W18" s="44"/>
      <c r="X18" s="44"/>
      <c r="Y18" s="44"/>
    </row>
    <row r="19" spans="1:30" s="45" customFormat="1" hidden="1">
      <c r="A19" s="283"/>
      <c r="B19" s="44"/>
      <c r="C19" s="44"/>
      <c r="D19" s="44"/>
      <c r="E19" s="44"/>
      <c r="F19" s="44"/>
      <c r="G19" s="44"/>
      <c r="H19" s="44"/>
      <c r="I19" s="44"/>
      <c r="J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30" hidden="1">
      <c r="J20" s="44"/>
      <c r="K20" s="44"/>
      <c r="M20" s="51"/>
      <c r="N20" s="52"/>
      <c r="O20" s="51"/>
      <c r="P20" s="53"/>
      <c r="Q20" s="53"/>
      <c r="R20" s="52"/>
      <c r="S20" s="54" t="s">
        <v>94</v>
      </c>
      <c r="T20" s="54" t="s">
        <v>83</v>
      </c>
      <c r="U20" s="54" t="s">
        <v>95</v>
      </c>
      <c r="V20" s="54" t="s">
        <v>15</v>
      </c>
      <c r="W20" s="54" t="s">
        <v>265</v>
      </c>
      <c r="X20" s="54" t="s">
        <v>749</v>
      </c>
      <c r="Y20" s="54" t="s">
        <v>84</v>
      </c>
    </row>
    <row r="21" spans="1:30" s="409" customFormat="1" hidden="1">
      <c r="A21" s="404"/>
      <c r="B21" s="352"/>
      <c r="C21" s="352"/>
      <c r="D21" s="352"/>
      <c r="E21" s="352"/>
      <c r="F21" s="352"/>
      <c r="G21" s="352"/>
      <c r="H21" s="352"/>
      <c r="I21" s="352"/>
      <c r="J21" s="400"/>
      <c r="K21" s="352"/>
      <c r="L21" s="352"/>
      <c r="M21" s="405" t="s">
        <v>96</v>
      </c>
      <c r="N21" s="406"/>
      <c r="O21" s="405" t="s">
        <v>96</v>
      </c>
      <c r="P21" s="407"/>
      <c r="Q21" s="407"/>
      <c r="R21" s="408"/>
      <c r="S21" s="401">
        <f>SUM(T21:Y21)</f>
        <v>474969486.25</v>
      </c>
      <c r="T21" s="401">
        <f>'תקציב 2022 קרנות הרשות'!C21*1000</f>
        <v>230670000</v>
      </c>
      <c r="U21" s="401">
        <f>'תקציב 2022 קרנות הרשות'!D21*1000</f>
        <v>60000000</v>
      </c>
      <c r="V21" s="401">
        <f>'תקציב 2022  מקורות '!F10*1000</f>
        <v>0</v>
      </c>
      <c r="W21" s="401">
        <f>'תקציב 2022  מקורות '!F11*1000</f>
        <v>9000000</v>
      </c>
      <c r="X21" s="401">
        <f>'תקציב 2022  מקורות '!F12*1000</f>
        <v>7100000</v>
      </c>
      <c r="Y21" s="401">
        <f>'פרוט מקורות אחרים'!O16</f>
        <v>168199486.25</v>
      </c>
      <c r="AA21" s="400"/>
      <c r="AB21" s="400"/>
    </row>
    <row r="22" spans="1:30" hidden="1">
      <c r="M22" s="54" t="s">
        <v>97</v>
      </c>
      <c r="N22" s="55"/>
      <c r="O22" s="54" t="s">
        <v>97</v>
      </c>
      <c r="P22" s="56"/>
      <c r="Q22" s="56"/>
      <c r="R22" s="46"/>
      <c r="S22" s="57">
        <f t="shared" ref="S22:Y22" si="1">S21-S16</f>
        <v>0.25</v>
      </c>
      <c r="T22" s="57">
        <f t="shared" si="1"/>
        <v>0.25</v>
      </c>
      <c r="U22" s="57">
        <f t="shared" si="1"/>
        <v>0</v>
      </c>
      <c r="V22" s="57">
        <f t="shared" si="1"/>
        <v>0</v>
      </c>
      <c r="W22" s="57">
        <f>W21-W16</f>
        <v>0</v>
      </c>
      <c r="X22" s="57">
        <f t="shared" si="1"/>
        <v>0</v>
      </c>
      <c r="Y22" s="57">
        <f t="shared" si="1"/>
        <v>0</v>
      </c>
    </row>
    <row r="23" spans="1:30">
      <c r="M23" s="60"/>
      <c r="O23" s="60"/>
      <c r="P23" s="60"/>
      <c r="Q23" s="60"/>
      <c r="R23" s="45"/>
      <c r="S23" s="58"/>
      <c r="T23" s="58"/>
      <c r="U23" s="58"/>
      <c r="V23" s="58"/>
      <c r="W23" s="58"/>
      <c r="X23" s="58"/>
      <c r="Y23" s="58"/>
    </row>
    <row r="24" spans="1:30">
      <c r="S24" s="61"/>
      <c r="Z24" s="48"/>
      <c r="AD24" s="410"/>
    </row>
    <row r="25" spans="1:30">
      <c r="S25" s="61"/>
      <c r="Y25" s="61"/>
      <c r="AD25" s="410"/>
    </row>
    <row r="26" spans="1:30">
      <c r="S26" s="61"/>
    </row>
    <row r="27" spans="1:30">
      <c r="K27" s="61"/>
      <c r="S27" s="61"/>
    </row>
    <row r="28" spans="1:30">
      <c r="J28" s="61"/>
      <c r="S28" s="61"/>
    </row>
    <row r="29" spans="1:30">
      <c r="J29" s="61"/>
      <c r="S29" s="61"/>
    </row>
    <row r="30" spans="1:30">
      <c r="J30" s="61"/>
      <c r="S30" s="61"/>
    </row>
    <row r="31" spans="1:30">
      <c r="J31" s="61"/>
      <c r="S31" s="61"/>
    </row>
    <row r="32" spans="1:30">
      <c r="J32" s="61"/>
      <c r="S32" s="61"/>
    </row>
    <row r="33" spans="10:30">
      <c r="J33" s="61"/>
      <c r="S33" s="61"/>
    </row>
    <row r="34" spans="10:30">
      <c r="J34" s="61"/>
      <c r="S34" s="61"/>
    </row>
    <row r="35" spans="10:30">
      <c r="J35" s="61"/>
      <c r="S35" s="61"/>
      <c r="AD35" s="410"/>
    </row>
    <row r="36" spans="10:30">
      <c r="K36" s="61"/>
      <c r="S36" s="61"/>
      <c r="AD36" s="410"/>
    </row>
    <row r="37" spans="10:30">
      <c r="K37" s="61"/>
      <c r="S37" s="61"/>
      <c r="AD37" s="410"/>
    </row>
    <row r="38" spans="10:30">
      <c r="K38" s="61"/>
      <c r="S38" s="61"/>
      <c r="AD38" s="410"/>
    </row>
    <row r="39" spans="10:30">
      <c r="K39" s="47"/>
      <c r="S39" s="61"/>
      <c r="T39" s="47"/>
    </row>
    <row r="40" spans="10:30">
      <c r="K40" s="61"/>
      <c r="S40" s="61"/>
    </row>
    <row r="41" spans="10:30">
      <c r="K41" s="61"/>
      <c r="S41" s="61"/>
    </row>
    <row r="42" spans="10:30">
      <c r="K42" s="61"/>
      <c r="S42" s="61"/>
    </row>
    <row r="43" spans="10:30">
      <c r="K43" s="61"/>
      <c r="S43" s="61"/>
    </row>
    <row r="44" spans="10:30">
      <c r="K44" s="61"/>
      <c r="S44" s="61"/>
    </row>
    <row r="45" spans="10:30">
      <c r="K45" s="61"/>
      <c r="S45" s="61"/>
    </row>
    <row r="46" spans="10:30">
      <c r="K46" s="61"/>
      <c r="S46" s="61"/>
    </row>
    <row r="47" spans="10:30">
      <c r="K47" s="61"/>
      <c r="S47" s="61"/>
    </row>
    <row r="48" spans="10:30">
      <c r="K48" s="61"/>
      <c r="S48" s="61"/>
    </row>
    <row r="49" spans="11:19">
      <c r="K49" s="61"/>
      <c r="S49" s="61"/>
    </row>
    <row r="50" spans="11:19">
      <c r="S50" s="61"/>
    </row>
    <row r="51" spans="11:19">
      <c r="S51" s="61"/>
    </row>
  </sheetData>
  <sheetProtection formatCells="0" formatColumns="0" formatRows="0" insertColumns="0" insertRows="0" insertHyperlinks="0" deleteColumns="0" deleteRows="0" sort="0" autoFilter="0" pivotTables="0"/>
  <mergeCells count="3">
    <mergeCell ref="B4:M4"/>
    <mergeCell ref="N4:O4"/>
    <mergeCell ref="R4:Y4"/>
  </mergeCells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U4"/>
  <sheetViews>
    <sheetView rightToLeft="1" workbookViewId="0">
      <selection activeCell="C55" sqref="C55"/>
    </sheetView>
  </sheetViews>
  <sheetFormatPr defaultRowHeight="12.75"/>
  <sheetData>
    <row r="4" spans="21:21">
      <c r="U4" s="432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A41"/>
  <sheetViews>
    <sheetView showZeros="0" rightToLeft="1" zoomScaleNormal="100" workbookViewId="0">
      <pane xSplit="1" ySplit="5" topLeftCell="B15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9.140625" defaultRowHeight="15.75"/>
  <cols>
    <col min="1" max="1" width="13.28515625" style="49" customWidth="1"/>
    <col min="2" max="2" width="13.7109375" style="50" customWidth="1"/>
    <col min="3" max="3" width="12.85546875" style="50" customWidth="1"/>
    <col min="4" max="4" width="10.85546875" style="50" customWidth="1"/>
    <col min="5" max="6" width="13.7109375" style="50" hidden="1" customWidth="1"/>
    <col min="7" max="7" width="11" style="50" hidden="1" customWidth="1"/>
    <col min="8" max="9" width="12" style="50" hidden="1" customWidth="1"/>
    <col min="10" max="10" width="13.140625" style="45" customWidth="1"/>
    <col min="11" max="12" width="11.140625" style="50" customWidth="1"/>
    <col min="13" max="13" width="12.42578125" style="50" customWidth="1"/>
    <col min="14" max="14" width="12" style="45" hidden="1" customWidth="1"/>
    <col min="15" max="15" width="18.140625" style="50" hidden="1" customWidth="1"/>
    <col min="16" max="16" width="11" style="50" hidden="1" customWidth="1"/>
    <col min="17" max="17" width="12" style="50" hidden="1" customWidth="1"/>
    <col min="18" max="18" width="10.28515625" style="50" customWidth="1"/>
    <col min="19" max="19" width="11.140625" style="50" customWidth="1"/>
    <col min="20" max="20" width="11.28515625" style="50" customWidth="1"/>
    <col min="21" max="21" width="10.7109375" style="50" customWidth="1"/>
    <col min="22" max="22" width="8.7109375" style="50" hidden="1" customWidth="1"/>
    <col min="23" max="23" width="9.85546875" style="50" customWidth="1"/>
    <col min="24" max="24" width="10" style="50" bestFit="1" customWidth="1"/>
    <col min="25" max="25" width="11.28515625" style="50" customWidth="1"/>
    <col min="26" max="26" width="13.42578125" style="47" customWidth="1"/>
    <col min="27" max="27" width="11.85546875" style="47" customWidth="1"/>
    <col min="28" max="28" width="10" style="47" customWidth="1"/>
    <col min="29" max="29" width="9.140625" style="47"/>
    <col min="30" max="30" width="10.140625" style="47" customWidth="1"/>
    <col min="31" max="16384" width="9.140625" style="47"/>
  </cols>
  <sheetData>
    <row r="2" spans="1:26" s="37" customFormat="1" ht="23.25">
      <c r="A2" s="247" t="s">
        <v>290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6" s="37" customFormat="1" ht="23.25">
      <c r="A3" s="38"/>
      <c r="B3" s="39"/>
      <c r="C3" s="39"/>
      <c r="D3" s="39"/>
      <c r="E3" s="39"/>
      <c r="F3" s="39"/>
      <c r="G3" s="39"/>
      <c r="H3" s="39"/>
      <c r="I3" s="39"/>
      <c r="J3" s="40"/>
      <c r="K3" s="39"/>
      <c r="L3" s="39"/>
      <c r="M3" s="39"/>
      <c r="N3" s="40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</row>
    <row r="4" spans="1:26" s="42" customFormat="1">
      <c r="A4" s="41"/>
      <c r="B4" s="857" t="s">
        <v>87</v>
      </c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7"/>
      <c r="O4" s="857"/>
      <c r="P4" s="766"/>
      <c r="Q4" s="766"/>
      <c r="R4" s="857" t="s">
        <v>88</v>
      </c>
      <c r="S4" s="857"/>
      <c r="T4" s="857"/>
      <c r="U4" s="858"/>
      <c r="V4" s="858"/>
      <c r="W4" s="858"/>
      <c r="X4" s="857"/>
      <c r="Y4" s="857"/>
    </row>
    <row r="5" spans="1:26" s="36" customFormat="1" ht="63">
      <c r="A5" s="41" t="s">
        <v>294</v>
      </c>
      <c r="B5" s="41" t="s">
        <v>89</v>
      </c>
      <c r="C5" s="41" t="s">
        <v>4</v>
      </c>
      <c r="D5" s="41" t="s">
        <v>90</v>
      </c>
      <c r="E5" s="41" t="s">
        <v>98</v>
      </c>
      <c r="F5" s="20" t="s">
        <v>7</v>
      </c>
      <c r="G5" s="20" t="s">
        <v>8</v>
      </c>
      <c r="H5" s="20" t="s">
        <v>9</v>
      </c>
      <c r="I5" s="20" t="s">
        <v>10</v>
      </c>
      <c r="J5" s="34" t="s">
        <v>11</v>
      </c>
      <c r="K5" s="9" t="s">
        <v>891</v>
      </c>
      <c r="L5" s="41" t="s">
        <v>892</v>
      </c>
      <c r="M5" s="41" t="s">
        <v>893</v>
      </c>
      <c r="N5" s="34" t="s">
        <v>91</v>
      </c>
      <c r="O5" s="20" t="s">
        <v>2325</v>
      </c>
      <c r="P5" s="20" t="s">
        <v>2326</v>
      </c>
      <c r="Q5" s="20" t="s">
        <v>896</v>
      </c>
      <c r="R5" s="20" t="s">
        <v>897</v>
      </c>
      <c r="S5" s="41" t="s">
        <v>898</v>
      </c>
      <c r="T5" s="41" t="s">
        <v>13</v>
      </c>
      <c r="U5" s="41" t="s">
        <v>14</v>
      </c>
      <c r="V5" s="20" t="s">
        <v>15</v>
      </c>
      <c r="W5" s="20" t="s">
        <v>265</v>
      </c>
      <c r="X5" s="20" t="s">
        <v>749</v>
      </c>
      <c r="Y5" s="41" t="s">
        <v>84</v>
      </c>
      <c r="Z5" s="24"/>
    </row>
    <row r="6" spans="1:26" s="36" customFormat="1" ht="25.15" customHeight="1">
      <c r="A6" s="243" t="s">
        <v>452</v>
      </c>
      <c r="B6" s="11">
        <f>'תקציב מינהל תפעול 2022 פרקים'!D6+'תקציב אגף המיחשוב 2022 פרקים'!D6</f>
        <v>28400000</v>
      </c>
      <c r="C6" s="11">
        <f>'תקציב מינהל תפעול 2022 פרקים'!E6+'תקציב אגף המיחשוב 2022 פרקים'!E6</f>
        <v>16160000</v>
      </c>
      <c r="D6" s="11">
        <f>'תקציב מינהל תפעול 2022 פרקים'!F6+'תקציב אגף המיחשוב 2022 פרקים'!F6</f>
        <v>12240000</v>
      </c>
      <c r="E6" s="11">
        <f>'תקציב מינהל תפעול 2022 פרקים'!G6+'תקציב אגף המיחשוב 2022 פרקים'!G6</f>
        <v>10600000</v>
      </c>
      <c r="F6" s="11">
        <f>'תקציב מינהל תפעול 2022 פרקים'!H6+'תקציב אגף המיחשוב 2022 פרקים'!H6</f>
        <v>5755592</v>
      </c>
      <c r="G6" s="11">
        <f>'תקציב מינהל תפעול 2022 פרקים'!I6+'תקציב אגף המיחשוב 2022 פרקים'!I6</f>
        <v>0</v>
      </c>
      <c r="H6" s="11">
        <f>'תקציב מינהל תפעול 2022 פרקים'!J6+'תקציב אגף המיחשוב 2022 פרקים'!J6</f>
        <v>3443356</v>
      </c>
      <c r="I6" s="11">
        <f>'תקציב מינהל תפעול 2022 פרקים'!K6+'תקציב אגף המיחשוב 2022 פרקים'!K6</f>
        <v>3443356</v>
      </c>
      <c r="J6" s="11">
        <f>'תקציב מינהל תפעול 2022 פרקים'!L6+'תקציב אגף המיחשוב 2022 פרקים'!L6</f>
        <v>9198948</v>
      </c>
      <c r="K6" s="11">
        <f>'תקציב מינהל תפעול 2022 פרקים'!M6+'תקציב אגף המיחשוב 2022 פרקים'!M6</f>
        <v>1401052</v>
      </c>
      <c r="L6" s="11">
        <f>'תקציב מינהל תפעול 2022 פרקים'!N6+'תקציב אגף המיחשוב 2022 פרקים'!N6</f>
        <v>8900000</v>
      </c>
      <c r="M6" s="11">
        <f>'תקציב מינהל תפעול 2022 פרקים'!O6+'תקציב אגף המיחשוב 2022 פרקים'!O6</f>
        <v>8900000</v>
      </c>
      <c r="N6" s="11">
        <f>'תקציב מינהל תפעול 2022 פרקים'!P6+'תקציב אגף המיחשוב 2022 פרקים'!P6</f>
        <v>1401052</v>
      </c>
      <c r="O6" s="11">
        <f>'תקציב מינהל תפעול 2022 פרקים'!Q6+'תקציב אגף המיחשוב 2022 פרקים'!Q6</f>
        <v>0</v>
      </c>
      <c r="P6" s="11">
        <f>'תקציב מינהל תפעול 2022 פרקים'!R6+'תקציב אגף המיחשוב 2022 פרקים'!R6</f>
        <v>0</v>
      </c>
      <c r="Q6" s="11">
        <f>'תקציב מינהל תפעול 2022 פרקים'!S6+'תקציב אגף המיחשוב 2022 פרקים'!S6</f>
        <v>0</v>
      </c>
      <c r="R6" s="11">
        <f>'תקציב מינהל תפעול 2022 פרקים'!T6+'תקציב אגף המיחשוב 2022 פרקים'!T6</f>
        <v>0</v>
      </c>
      <c r="S6" s="11">
        <f>'תקציב מינהל תפעול 2022 פרקים'!U6+'תקציב אגף המיחשוב 2022 פרקים'!U6</f>
        <v>8900000</v>
      </c>
      <c r="T6" s="11">
        <f>'תקציב מינהל תפעול 2022 פרקים'!V6+'תקציב אגף המיחשוב 2022 פרקים'!V6</f>
        <v>8900000</v>
      </c>
      <c r="U6" s="11">
        <f>'תקציב מינהל תפעול 2022 פרקים'!W6+'תקציב אגף המיחשוב 2022 פרקים'!W6</f>
        <v>0</v>
      </c>
      <c r="V6" s="11">
        <f>'תקציב מינהל תפעול 2022 פרקים'!X6+'תקציב אגף המיחשוב 2022 פרקים'!X6</f>
        <v>0</v>
      </c>
      <c r="W6" s="11">
        <f>'תקציב מינהל תפעול 2022 פרקים'!Y6+'תקציב אגף המיחשוב 2022 פרקים'!Y6</f>
        <v>0</v>
      </c>
      <c r="X6" s="11">
        <f>'תקציב מינהל תפעול 2022 פרקים'!Z6+'תקציב אגף המיחשוב 2022 פרקים'!Z6</f>
        <v>0</v>
      </c>
      <c r="Y6" s="11">
        <f>'תקציב מינהל תפעול 2022 פרקים'!AA6+'תקציב אגף המיחשוב 2022 פרקים'!AA6</f>
        <v>0</v>
      </c>
      <c r="Z6" s="25"/>
    </row>
    <row r="7" spans="1:26" s="45" customFormat="1" ht="27" customHeight="1">
      <c r="A7" s="9" t="s">
        <v>453</v>
      </c>
      <c r="B7" s="43">
        <f>'תקציב הנדסה 2022 פרקים'!D39+'תקציב החברה לפיתוח 2022 פרקים'!D10+'תקציב מינהל תפעול 2022 פרקים'!D16+'תקציב החברה לתירות 2022  פרקים'!D10+'תקציב מינהל כללי 2022 פרקים'!D6</f>
        <v>229231511</v>
      </c>
      <c r="C7" s="43">
        <f>'תקציב הנדסה 2022 פרקים'!E39+'תקציב החברה לפיתוח 2022 פרקים'!E10+'תקציב מינהל תפעול 2022 פרקים'!E16+'תקציב החברה לתירות 2022  פרקים'!E10+'תקציב מינהל כללי 2022 פרקים'!E6</f>
        <v>222655847</v>
      </c>
      <c r="D7" s="43">
        <f>'תקציב הנדסה 2022 פרקים'!F39+'תקציב החברה לפיתוח 2022 פרקים'!F10+'תקציב מינהל תפעול 2022 פרקים'!F16+'תקציב החברה לתירות 2022  פרקים'!F10+'תקציב מינהל כללי 2022 פרקים'!F6</f>
        <v>6575664</v>
      </c>
      <c r="E7" s="43">
        <f>'תקציב הנדסה 2022 פרקים'!G39+'תקציב החברה לפיתוח 2022 פרקים'!G10+'תקציב מינהל תפעול 2022 פרקים'!G16+'תקציב החברה לתירות 2022  פרקים'!G10+'תקציב מינהל כללי 2022 פרקים'!G6</f>
        <v>153109837</v>
      </c>
      <c r="F7" s="43">
        <f>'תקציב הנדסה 2022 פרקים'!H39+'תקציב החברה לפיתוח 2022 פרקים'!H10+'תקציב מינהל תפעול 2022 פרקים'!H16+'תקציב החברה לתירות 2022  פרקים'!H10+'תקציב מינהל כללי 2022 פרקים'!H6</f>
        <v>122271627</v>
      </c>
      <c r="G7" s="43">
        <f>'תקציב הנדסה 2022 פרקים'!I39+'תקציב החברה לפיתוח 2022 פרקים'!I10+'תקציב מינהל תפעול 2022 פרקים'!I16+'תקציב החברה לתירות 2022  פרקים'!I10+'תקציב מינהל כללי 2022 פרקים'!I6</f>
        <v>3881952</v>
      </c>
      <c r="H7" s="43">
        <f>'תקציב הנדסה 2022 פרקים'!J39+'תקציב החברה לפיתוח 2022 פרקים'!J10+'תקציב מינהל תפעול 2022 פרקים'!J16+'תקציב החברה לתירות 2022  פרקים'!J10+'תקציב מינהל כללי 2022 פרקים'!J6</f>
        <v>3923162</v>
      </c>
      <c r="I7" s="43">
        <f>'תקציב הנדסה 2022 פרקים'!K39+'תקציב החברה לפיתוח 2022 פרקים'!K10+'תקציב מינהל תפעול 2022 פרקים'!K16+'תקציב החברה לתירות 2022  פרקים'!K10+'תקציב מינהל כללי 2022 פרקים'!K6</f>
        <v>7805114</v>
      </c>
      <c r="J7" s="43">
        <f>'תקציב הנדסה 2022 פרקים'!L39+'תקציב החברה לפיתוח 2022 פרקים'!L10+'תקציב מינהל תפעול 2022 פרקים'!L16+'תקציב החברה לתירות 2022  פרקים'!L10+'תקציב מינהל כללי 2022 פרקים'!L6</f>
        <v>130076741</v>
      </c>
      <c r="K7" s="43">
        <f>'תקציב הנדסה 2022 פרקים'!M39+'תקציב החברה לפיתוח 2022 פרקים'!M10+'תקציב מינהל תפעול 2022 פרקים'!M16+'תקציב החברה לתירות 2022  פרקים'!M10+'תקציב מינהל כללי 2022 פרקים'!M6</f>
        <v>15148760</v>
      </c>
      <c r="L7" s="43">
        <f>'תקציב הנדסה 2022 פרקים'!N39+'תקציב החברה לפיתוח 2022 פרקים'!N10+'תקציב מינהל תפעול 2022 פרקים'!N16+'תקציב החברה לתירות 2022  פרקים'!N10+'תקציב מינהל כללי 2022 פרקים'!N6</f>
        <v>16081222</v>
      </c>
      <c r="M7" s="43">
        <f>'תקציב הנדסה 2022 פרקים'!O39+'תקציב החברה לפיתוח 2022 פרקים'!O10+'תקציב מינהל תפעול 2022 פרקים'!O16+'תקציב החברה לתירות 2022  פרקים'!O10+'תקציב מינהל כללי 2022 פרקים'!O6</f>
        <v>67924788</v>
      </c>
      <c r="N7" s="43">
        <f>'תקציב הנדסה 2022 פרקים'!P39+'תקציב החברה לפיתוח 2022 פרקים'!P10+'תקציב מינהל תפעול 2022 פרקים'!P16+'תקציב החברה לתירות 2022  פרקים'!P10+'תקציב מינהל כללי 2022 פרקים'!P6</f>
        <v>23033096</v>
      </c>
      <c r="O7" s="43">
        <f>'תקציב הנדסה 2022 פרקים'!Q39+'תקציב החברה לפיתוח 2022 פרקים'!Q10+'תקציב מינהל תפעול 2022 פרקים'!Q16+'תקציב החברה לתירות 2022  פרקים'!Q10+'תקציב מינהל כללי 2022 פרקים'!Q6</f>
        <v>2100000</v>
      </c>
      <c r="P7" s="43">
        <f>'תקציב הנדסה 2022 פרקים'!R39+'תקציב החברה לפיתוח 2022 פרקים'!R10+'תקציב מינהל תפעול 2022 פרקים'!R16+'תקציב החברה לתירות 2022  פרקים'!R10+'תקציב מינהל כללי 2022 פרקים'!R6</f>
        <v>0</v>
      </c>
      <c r="Q7" s="43">
        <f>'תקציב הנדסה 2022 פרקים'!S39+'תקציב החברה לפיתוח 2022 פרקים'!S10+'תקציב מינהל תפעול 2022 פרקים'!S16+'תקציב החברה לתירות 2022  פרקים'!S10+'תקציב מינהל כללי 2022 פרקים'!S6</f>
        <v>2100000</v>
      </c>
      <c r="R7" s="43">
        <f>'תקציב הנדסה 2022 פרקים'!T39+'תקציב החברה לפיתוח 2022 פרקים'!T10+'תקציב מינהל תפעול 2022 פרקים'!T16+'תקציב החברה לתירות 2022  פרקים'!T10+'תקציב מינהל כללי 2022 פרקים'!T6</f>
        <v>9984336</v>
      </c>
      <c r="S7" s="43">
        <f>'תקציב הנדסה 2022 פרקים'!U39+'תקציב החברה לפיתוח 2022 פרקים'!U10+'תקציב מינהל תפעול 2022 פרקים'!U16+'תקציב החברה לתירות 2022  פרקים'!U10+'תקציב מינהל כללי 2022 פרקים'!U6</f>
        <v>6096886</v>
      </c>
      <c r="T7" s="43">
        <f>'תקציב הנדסה 2022 פרקים'!V39+'תקציב החברה לפיתוח 2022 פרקים'!V10+'תקציב מינהל תפעול 2022 פרקים'!V16+'תקציב החברה לתירות 2022  פרקים'!V10+'תקציב מינהל כללי 2022 פרקים'!V6</f>
        <v>3486841.75</v>
      </c>
      <c r="U7" s="43">
        <f>'תקציב הנדסה 2022 פרקים'!W39+'תקציב החברה לפיתוח 2022 פרקים'!W10+'תקציב מינהל תפעול 2022 פרקים'!W16+'תקציב החברה לתירות 2022  פרקים'!W10+'תקציב מינהל כללי 2022 פרקים'!W6</f>
        <v>200000</v>
      </c>
      <c r="V7" s="43">
        <f>'תקציב הנדסה 2022 פרקים'!X39+'תקציב החברה לפיתוח 2022 פרקים'!X10+'תקציב מינהל תפעול 2022 פרקים'!X16+'תקציב החברה לתירות 2022  פרקים'!X10+'תקציב מינהל כללי 2022 פרקים'!X6</f>
        <v>0</v>
      </c>
      <c r="W7" s="43">
        <f>'תקציב הנדסה 2022 פרקים'!Y39+'תקציב החברה לפיתוח 2022 פרקים'!Y10+'תקציב מינהל תפעול 2022 פרקים'!Y16+'תקציב החברה לתירות 2022  פרקים'!Y10+'תקציב מינהל כללי 2022 פרקים'!Y6</f>
        <v>0</v>
      </c>
      <c r="X7" s="43">
        <f>'תקציב הנדסה 2022 פרקים'!Z39+'תקציב החברה לפיתוח 2022 פרקים'!Z10+'תקציב מינהל תפעול 2022 פרקים'!Z16+'תקציב החברה לתירות 2022  פרקים'!Z10+'תקציב מינהל כללי 2022 פרקים'!Z6</f>
        <v>0</v>
      </c>
      <c r="Y7" s="43">
        <f>'תקציב הנדסה 2022 פרקים'!AA39+'תקציב החברה לפיתוח 2022 פרקים'!AA10+'תקציב מינהל תפעול 2022 פרקים'!AA16+'תקציב החברה לתירות 2022  פרקים'!AA10+'תקציב מינהל כללי 2022 פרקים'!AA6</f>
        <v>2410044.25</v>
      </c>
      <c r="Z7" s="44"/>
    </row>
    <row r="8" spans="1:26" s="45" customFormat="1" ht="27" customHeight="1">
      <c r="A8" s="9" t="s">
        <v>454</v>
      </c>
      <c r="B8" s="43">
        <f>'תקציב הנדסה 2022 פרקים'!D77+'תקציב החברה לפיתוח 2022 פרקים'!D64+'תקציב מינהל תפעול 2022 פרקים'!D41+'תקציב מינהל כללי 2022 פרקים'!D11</f>
        <v>2278003294</v>
      </c>
      <c r="C8" s="43">
        <f>'תקציב הנדסה 2022 פרקים'!E77+'תקציב החברה לפיתוח 2022 פרקים'!E64+'תקציב מינהל תפעול 2022 פרקים'!E41+'תקציב מינהל כללי 2022 פרקים'!E11</f>
        <v>2111820586</v>
      </c>
      <c r="D8" s="43">
        <f>'תקציב הנדסה 2022 פרקים'!F77+'תקציב החברה לפיתוח 2022 פרקים'!F64+'תקציב מינהל תפעול 2022 פרקים'!F41+'תקציב מינהל כללי 2022 פרקים'!F11</f>
        <v>166182708</v>
      </c>
      <c r="E8" s="43">
        <f>'תקציב הנדסה 2022 פרקים'!G77+'תקציב החברה לפיתוח 2022 פרקים'!G64+'תקציב מינהל תפעול 2022 פרקים'!G41+'תקציב מינהל כללי 2022 פרקים'!G11</f>
        <v>1150119258</v>
      </c>
      <c r="F8" s="43">
        <f>'תקציב הנדסה 2022 פרקים'!H77+'תקציב החברה לפיתוח 2022 פרקים'!H64+'תקציב מינהל תפעול 2022 פרקים'!H41+'תקציב מינהל כללי 2022 פרקים'!H11</f>
        <v>987048466.19000006</v>
      </c>
      <c r="G8" s="43">
        <f>'תקציב הנדסה 2022 פרקים'!I77+'תקציב החברה לפיתוח 2022 פרקים'!I64+'תקציב מינהל תפעול 2022 פרקים'!I41+'תקציב מינהל כללי 2022 פרקים'!I11</f>
        <v>3686834</v>
      </c>
      <c r="H8" s="43">
        <f>'תקציב הנדסה 2022 פרקים'!J77+'תקציב החברה לפיתוח 2022 פרקים'!J64+'תקציב מינהל תפעול 2022 פרקים'!J41+'תקציב מינהל כללי 2022 פרקים'!J11</f>
        <v>43961346</v>
      </c>
      <c r="I8" s="43">
        <f>'תקציב הנדסה 2022 פרקים'!K77+'תקציב החברה לפיתוח 2022 פרקים'!K64+'תקציב מינהל תפעול 2022 פרקים'!K41+'תקציב מינהל כללי 2022 פרקים'!K11</f>
        <v>47648180</v>
      </c>
      <c r="J8" s="43">
        <f>'תקציב הנדסה 2022 פרקים'!L77+'תקציב החברה לפיתוח 2022 פרקים'!L64+'תקציב מינהל תפעול 2022 פרקים'!L41+'תקציב מינהל כללי 2022 פרקים'!L11</f>
        <v>1034696646.1900001</v>
      </c>
      <c r="K8" s="43">
        <f>'תקציב הנדסה 2022 פרקים'!M77+'תקציב החברה לפיתוח 2022 פרקים'!M64+'תקציב מינהל תפעול 2022 פרקים'!M41+'תקציב מינהל כללי 2022 פרקים'!M11</f>
        <v>162014757.81</v>
      </c>
      <c r="L8" s="43">
        <f>'תקציב הנדסה 2022 פרקים'!N77+'תקציב החברה לפיתוח 2022 פרקים'!N64+'תקציב מינהל תפעול 2022 פרקים'!N41+'תקציב מינהל כללי 2022 פרקים'!N11</f>
        <v>98420000</v>
      </c>
      <c r="M8" s="43">
        <f>'תקציב הנדסה 2022 פרקים'!O77+'תקציב החברה לפיתוח 2022 פרקים'!O64+'תקציב מינהל תפעול 2022 פרקים'!O41+'תקציב מינהל כללי 2022 פרקים'!O11</f>
        <v>982871890</v>
      </c>
      <c r="N8" s="43">
        <f>'תקציב הנדסה 2022 פרקים'!P77+'תקציב החברה לפיתוח 2022 פרקים'!P64+'תקציב מינהל תפעול 2022 פרקים'!P41+'תקציב מינהל כללי 2022 פרקים'!P11</f>
        <v>115422611.81</v>
      </c>
      <c r="O8" s="43">
        <f>'תקציב הנדסה 2022 פרקים'!Q77+'תקציב החברה לפיתוח 2022 פרקים'!Q64+'תקציב מינהל תפעול 2022 פרקים'!Q41+'תקציב מינהל כללי 2022 פרקים'!Q11</f>
        <v>55050000</v>
      </c>
      <c r="P8" s="43">
        <f>'תקציב הנדסה 2022 פרקים'!R77+'תקציב החברה לפיתוח 2022 פרקים'!R64+'תקציב מינהל תפעול 2022 פרקים'!R41+'תקציב מינהל כללי 2022 פרקים'!R11</f>
        <v>7526895</v>
      </c>
      <c r="Q8" s="43">
        <f>'תקציב הנדסה 2022 פרקים'!S77+'תקציב החברה לפיתוח 2022 פרקים'!S64+'תקציב מינהל תפעול 2022 פרקים'!S41+'תקציב מינהל כללי 2022 פרקים'!S11</f>
        <v>62576895</v>
      </c>
      <c r="R8" s="43">
        <f>'תקציב הנדסה 2022 פרקים'!T77+'תקציב החברה לפיתוח 2022 פרקים'!T64+'תקציב מינהל תפעול 2022 פרקים'!T41+'תקציב מינהל כללי 2022 פרקים'!T11</f>
        <v>15984749</v>
      </c>
      <c r="S8" s="43">
        <f>'תקציב הנדסה 2022 פרקים'!U77+'תקציב החברה לפיתוח 2022 פרקים'!U64+'תקציב מינהל תפעול 2022 פרקים'!U41+'תקציב מינהל כללי 2022 פרקים'!U11</f>
        <v>82435251</v>
      </c>
      <c r="T8" s="43">
        <f>'תקציב הנדסה 2022 פרקים'!V77+'תקציב החברה לפיתוח 2022 פרקים'!V64+'תקציב מינהל תפעול 2022 פרקים'!V41+'תקציב מינהל כללי 2022 פרקים'!V11</f>
        <v>59670302</v>
      </c>
      <c r="U8" s="43">
        <f>'תקציב הנדסה 2022 פרקים'!W77+'תקציב החברה לפיתוח 2022 פרקים'!W64+'תקציב מינהל תפעול 2022 פרקים'!W41+'תקציב מינהל כללי 2022 פרקים'!W11</f>
        <v>17575251</v>
      </c>
      <c r="V8" s="43">
        <f>'תקציב הנדסה 2022 פרקים'!X77+'תקציב החברה לפיתוח 2022 פרקים'!X64+'תקציב מינהל תפעול 2022 פרקים'!X41+'תקציב מינהל כללי 2022 פרקים'!X11</f>
        <v>0</v>
      </c>
      <c r="W8" s="43">
        <f>'תקציב הנדסה 2022 פרקים'!Y77+'תקציב החברה לפיתוח 2022 פרקים'!Y64+'תקציב מינהל תפעול 2022 פרקים'!Y41+'תקציב מינהל כללי 2022 פרקים'!Y11</f>
        <v>0</v>
      </c>
      <c r="X8" s="43">
        <f>'תקציב הנדסה 2022 פרקים'!Z77+'תקציב החברה לפיתוח 2022 פרקים'!Z64+'תקציב מינהל תפעול 2022 פרקים'!Z41+'תקציב מינהל כללי 2022 פרקים'!Z11</f>
        <v>0</v>
      </c>
      <c r="Y8" s="43">
        <f>'תקציב הנדסה 2022 פרקים'!AA77+'תקציב החברה לפיתוח 2022 פרקים'!AA64+'תקציב מינהל תפעול 2022 פרקים'!AA41+'תקציב מינהל כללי 2022 פרקים'!AA11</f>
        <v>5189698</v>
      </c>
    </row>
    <row r="9" spans="1:26" s="45" customFormat="1" ht="25.15" customHeight="1">
      <c r="A9" s="829" t="s">
        <v>455</v>
      </c>
      <c r="B9" s="43">
        <f>'תקציב החברה לפיתוח 2022 פרקים'!D66+'תקציב מינהל תפעול 2022 פרקים'!D62</f>
        <v>20934528</v>
      </c>
      <c r="C9" s="43">
        <f>'תקציב החברה לפיתוח 2022 פרקים'!E66+'תקציב מינהל תפעול 2022 פרקים'!E62</f>
        <v>15171728</v>
      </c>
      <c r="D9" s="43">
        <f>'תקציב החברה לפיתוח 2022 פרקים'!F66+'תקציב מינהל תפעול 2022 פרקים'!F62</f>
        <v>5762800</v>
      </c>
      <c r="E9" s="43">
        <f>'תקציב החברה לפיתוח 2022 פרקים'!G66+'תקציב מינהל תפעול 2022 פרקים'!G62</f>
        <v>13312728</v>
      </c>
      <c r="F9" s="43">
        <f>'תקציב החברה לפיתוח 2022 פרקים'!H66+'תקציב מינהל תפעול 2022 פרקים'!H62</f>
        <v>8755930</v>
      </c>
      <c r="G9" s="43">
        <f>'תקציב החברה לפיתוח 2022 פרקים'!I66+'תקציב מינהל תפעול 2022 פרקים'!I62</f>
        <v>527347</v>
      </c>
      <c r="H9" s="43">
        <f>'תקציב החברה לפיתוח 2022 פרקים'!J66+'תקציב מינהל תפעול 2022 פרקים'!J62</f>
        <v>1813772</v>
      </c>
      <c r="I9" s="43">
        <f>'תקציב החברה לפיתוח 2022 פרקים'!K66+'תקציב מינהל תפעול 2022 פרקים'!K62</f>
        <v>2341119</v>
      </c>
      <c r="J9" s="43">
        <f>'תקציב החברה לפיתוח 2022 פרקים'!L66+'תקציב מינהל תפעול 2022 פרקים'!L62</f>
        <v>11097049</v>
      </c>
      <c r="K9" s="43">
        <f>'תקציב החברה לפיתוח 2022 פרקים'!M66+'תקציב מינהל תפעול 2022 פרקים'!M62</f>
        <v>2215679</v>
      </c>
      <c r="L9" s="43">
        <f>'תקציב החברה לפיתוח 2022 פרקים'!N66+'תקציב מינהל תפעול 2022 פרקים'!N62</f>
        <v>7221800</v>
      </c>
      <c r="M9" s="43">
        <f>'תקציב החברה לפיתוח 2022 פרקים'!O66+'תקציב מינהל תפעול 2022 פרקים'!O62</f>
        <v>400000</v>
      </c>
      <c r="N9" s="43">
        <f>'תקציב החברה לפיתוח 2022 פרקים'!P66+'תקציב מינהל תפעול 2022 פרקים'!P62</f>
        <v>2215679</v>
      </c>
      <c r="O9" s="43">
        <f>'תקציב החברה לפיתוח 2022 פרקים'!Q66+'תקציב מינהל תפעול 2022 פרקים'!Q62</f>
        <v>0</v>
      </c>
      <c r="P9" s="43">
        <f>'תקציב החברה לפיתוח 2022 פרקים'!R66+'תקציב מינהל תפעול 2022 פרקים'!R62</f>
        <v>0</v>
      </c>
      <c r="Q9" s="43">
        <f>'תקציב החברה לפיתוח 2022 פרקים'!S66+'תקציב מינהל תפעול 2022 פרקים'!S62</f>
        <v>0</v>
      </c>
      <c r="R9" s="43">
        <f>'תקציב החברה לפיתוח 2022 פרקים'!T66+'תקציב מינהל תפעול 2022 פרקים'!T62</f>
        <v>0</v>
      </c>
      <c r="S9" s="43">
        <f>'תקציב החברה לפיתוח 2022 פרקים'!U66+'תקציב מינהל תפעול 2022 פרקים'!U62</f>
        <v>7221800</v>
      </c>
      <c r="T9" s="43">
        <f>'תקציב החברה לפיתוח 2022 פרקים'!V66+'תקציב מינהל תפעול 2022 פרקים'!V62</f>
        <v>2000000</v>
      </c>
      <c r="U9" s="43">
        <f>'תקציב החברה לפיתוח 2022 פרקים'!W66+'תקציב מינהל תפעול 2022 פרקים'!W62</f>
        <v>3466971</v>
      </c>
      <c r="V9" s="43">
        <f>'תקציב החברה לפיתוח 2022 פרקים'!X66+'תקציב מינהל תפעול 2022 פרקים'!X62</f>
        <v>0</v>
      </c>
      <c r="W9" s="43">
        <f>'תקציב החברה לפיתוח 2022 פרקים'!Y66+'תקציב מינהל תפעול 2022 פרקים'!Y62</f>
        <v>0</v>
      </c>
      <c r="X9" s="43">
        <f>'תקציב החברה לפיתוח 2022 פרקים'!Z66+'תקציב מינהל תפעול 2022 פרקים'!Z62</f>
        <v>0</v>
      </c>
      <c r="Y9" s="43">
        <f>'תקציב החברה לפיתוח 2022 פרקים'!AA66+'תקציב מינהל תפעול 2022 פרקים'!AA62</f>
        <v>1754829</v>
      </c>
    </row>
    <row r="10" spans="1:26" s="45" customFormat="1" ht="45">
      <c r="A10" s="9" t="s">
        <v>2432</v>
      </c>
      <c r="B10" s="43">
        <f>'תקציב הנדסה 2022 פרקים'!D79+'תקציב החברה לפיתוח 2022 פרקים'!D68+'תקציב מינהל תפעול 2022 פרקים'!D64+'תקציב אגף המיחשוב 2022 פרקים'!D13+'תקציב מינהל כללי 2022 פרקים'!D14+'תקציב מינהל תפעול 2022 פרקים'!D13+'תקציב אגף המיחשוב 2022 פרקים'!D8</f>
        <v>158736000</v>
      </c>
      <c r="C10" s="43">
        <f>'תקציב הנדסה 2022 פרקים'!E79+'תקציב החברה לפיתוח 2022 פרקים'!E68+'תקציב מינהל תפעול 2022 פרקים'!E64+'תקציב אגף המיחשוב 2022 פרקים'!E13+'תקציב מינהל כללי 2022 פרקים'!E14+'תקציב מינהל תפעול 2022 פרקים'!E13+'תקציב אגף המיחשוב 2022 פרקים'!E8</f>
        <v>144606000</v>
      </c>
      <c r="D10" s="43">
        <f>'תקציב הנדסה 2022 פרקים'!F79+'תקציב החברה לפיתוח 2022 פרקים'!F68+'תקציב מינהל תפעול 2022 פרקים'!F64+'תקציב אגף המיחשוב 2022 פרקים'!F13+'תקציב מינהל כללי 2022 פרקים'!F14+'תקציב מינהל תפעול 2022 פרקים'!F13+'תקציב אגף המיחשוב 2022 פרקים'!F8</f>
        <v>14130000</v>
      </c>
      <c r="E10" s="43">
        <f>'תקציב הנדסה 2022 פרקים'!G79+'תקציב החברה לפיתוח 2022 פרקים'!G68+'תקציב מינהל תפעול 2022 פרקים'!G64+'תקציב אגף המיחשוב 2022 פרקים'!G13+'תקציב מינהל כללי 2022 פרקים'!G14+'תקציב מינהל תפעול 2022 פרקים'!G13+'תקציב אגף המיחשוב 2022 פרקים'!G8</f>
        <v>102579000</v>
      </c>
      <c r="F10" s="43">
        <f>'תקציב הנדסה 2022 פרקים'!H79+'תקציב החברה לפיתוח 2022 פרקים'!H68+'תקציב מינהל תפעול 2022 פרקים'!H64+'תקציב אגף המיחשוב 2022 פרקים'!H13+'תקציב מינהל כללי 2022 פרקים'!H14+'תקציב מינהל תפעול 2022 פרקים'!H13+'תקציב אגף המיחשוב 2022 פרקים'!H8</f>
        <v>91100732</v>
      </c>
      <c r="G10" s="43">
        <f>'תקציב הנדסה 2022 פרקים'!I79+'תקציב החברה לפיתוח 2022 פרקים'!I68+'תקציב מינהל תפעול 2022 פרקים'!I64+'תקציב אגף המיחשוב 2022 פרקים'!I13+'תקציב מינהל כללי 2022 פרקים'!I14+'תקציב מינהל תפעול 2022 פרקים'!I13+'תקציב אגף המיחשוב 2022 פרקים'!I8</f>
        <v>54300</v>
      </c>
      <c r="H10" s="43">
        <f>'תקציב הנדסה 2022 פרקים'!J79+'תקציב החברה לפיתוח 2022 פרקים'!J68+'תקציב מינהל תפעול 2022 פרקים'!J64+'תקציב אגף המיחשוב 2022 פרקים'!J13+'תקציב מינהל כללי 2022 פרקים'!J14+'תקציב מינהל תפעול 2022 פרקים'!J13+'תקציב אגף המיחשוב 2022 פרקים'!J8</f>
        <v>7209896</v>
      </c>
      <c r="I10" s="43">
        <f>'תקציב הנדסה 2022 פרקים'!K79+'תקציב החברה לפיתוח 2022 פרקים'!K68+'תקציב מינהל תפעול 2022 פרקים'!K64+'תקציב אגף המיחשוב 2022 פרקים'!K13+'תקציב מינהל כללי 2022 פרקים'!K14+'תקציב מינהל תפעול 2022 פרקים'!K13+'תקציב אגף המיחשוב 2022 פרקים'!K8</f>
        <v>7264196</v>
      </c>
      <c r="J10" s="43">
        <f>'תקציב הנדסה 2022 פרקים'!L79+'תקציב החברה לפיתוח 2022 פרקים'!L68+'תקציב מינהל תפעול 2022 פרקים'!L64+'תקציב אגף המיחשוב 2022 פרקים'!L13+'תקציב מינהל כללי 2022 פרקים'!L14+'תקציב מינהל תפעול 2022 פרקים'!L13+'תקציב אגף המיחשוב 2022 פרקים'!L8</f>
        <v>98364928</v>
      </c>
      <c r="K10" s="43">
        <f>'תקציב הנדסה 2022 פרקים'!M79+'תקציב החברה לפיתוח 2022 פרקים'!M68+'תקציב מינהל תפעול 2022 פרקים'!M64+'תקציב אגף המיחשוב 2022 פרקים'!M13+'תקציב מינהל כללי 2022 פרקים'!M14+'תקציב מינהל תפעול 2022 פרקים'!M13+'תקציב אגף המיחשוב 2022 פרקים'!M8</f>
        <v>4864072</v>
      </c>
      <c r="L10" s="43">
        <f>'תקציב הנדסה 2022 פרקים'!N79+'תקציב החברה לפיתוח 2022 פרקים'!N68+'תקציב מינהל תפעול 2022 פרקים'!N64+'תקציב אגף המיחשוב 2022 פרקים'!N13+'תקציב מינהל כללי 2022 פרקים'!N14+'תקציב מינהל תפעול 2022 פרקים'!N13+'תקציב אגף המיחשוב 2022 פרקים'!N8</f>
        <v>17680000</v>
      </c>
      <c r="M10" s="43">
        <f>'תקציב הנדסה 2022 פרקים'!O79+'תקציב החברה לפיתוח 2022 פרקים'!O68+'תקציב מינהל תפעול 2022 פרקים'!O64+'תקציב אגף המיחשוב 2022 פרקים'!O13+'תקציב מינהל כללי 2022 פרקים'!O14+'תקציב מינהל תפעול 2022 פרקים'!O13+'תקציב אגף המיחשוב 2022 פרקים'!O8</f>
        <v>37827000</v>
      </c>
      <c r="N10" s="43">
        <f>'תקציב הנדסה 2022 פרקים'!P79+'תקציב החברה לפיתוח 2022 פרקים'!P68+'תקציב מינהל תפעול 2022 פרקים'!P64+'תקציב אגף המיחשוב 2022 פרקים'!P13+'תקציב מינהל כללי 2022 פרקים'!P14+'תקציב מינהל תפעול 2022 פרקים'!P13+'תקציב אגף המיחשוב 2022 פרקים'!P8</f>
        <v>4214072</v>
      </c>
      <c r="O10" s="43">
        <f>'תקציב הנדסה 2022 פרקים'!Q79+'תקציב החברה לפיתוח 2022 פרקים'!Q68+'תקציב מינהל תפעול 2022 פרקים'!Q64+'תקציב אגף המיחשוב 2022 פרקים'!Q13+'תקציב מינהל כללי 2022 פרקים'!Q14+'תקציב מינהל תפעול 2022 פרקים'!Q13+'תקציב אגף המיחשוב 2022 פרקים'!Q8</f>
        <v>550000</v>
      </c>
      <c r="P10" s="43">
        <f>'תקציב הנדסה 2022 פרקים'!R79+'תקציב החברה לפיתוח 2022 פרקים'!R68+'תקציב מינהל תפעול 2022 פרקים'!R64+'תקציב אגף המיחשוב 2022 פרקים'!R13+'תקציב מינהל כללי 2022 פרקים'!R14+'תקציב מינהל תפעול 2022 פרקים'!R13+'תקציב אגף המיחשוב 2022 פרקים'!R8</f>
        <v>100000</v>
      </c>
      <c r="Q10" s="43">
        <f>'תקציב הנדסה 2022 פרקים'!S79+'תקציב החברה לפיתוח 2022 פרקים'!S68+'תקציב מינהל תפעול 2022 פרקים'!S64+'תקציב אגף המיחשוב 2022 פרקים'!S13+'תקציב מינהל כללי 2022 פרקים'!S14+'תקציב מינהל תפעול 2022 פרקים'!S13+'תקציב אגף המיחשוב 2022 פרקים'!S8</f>
        <v>650000</v>
      </c>
      <c r="R10" s="43">
        <f>'תקציב הנדסה 2022 פרקים'!T79+'תקציב החברה לפיתוח 2022 פרקים'!T68+'תקציב מינהל תפעול 2022 פרקים'!T64+'תקציב אגף המיחשוב 2022 פרקים'!T13+'תקציב מינהל כללי 2022 פרקים'!T14+'תקציב מינהל תפעול 2022 פרקים'!T13+'תקציב אגף המיחשוב 2022 פרקים'!T8</f>
        <v>0</v>
      </c>
      <c r="S10" s="43">
        <f>'תקציב הנדסה 2022 פרקים'!U79+'תקציב החברה לפיתוח 2022 פרקים'!U68+'תקציב מינהל תפעול 2022 פרקים'!U64+'תקציב אגף המיחשוב 2022 פרקים'!U13+'תקציב מינהל כללי 2022 פרקים'!U14+'תקציב מינהל תפעול 2022 פרקים'!U13+'תקציב אגף המיחשוב 2022 פרקים'!U8</f>
        <v>17680000</v>
      </c>
      <c r="T10" s="43">
        <f>'תקציב הנדסה 2022 פרקים'!V79+'תקציב החברה לפיתוח 2022 פרקים'!V68+'תקציב מינהל תפעול 2022 פרקים'!V64+'תקציב אגף המיחשוב 2022 פרקים'!V13+'תקציב מינהל כללי 2022 פרקים'!V14+'תקציב מינהל תפעול 2022 פרקים'!V13+'תקציב אגף המיחשוב 2022 פרקים'!V8</f>
        <v>4000000</v>
      </c>
      <c r="U10" s="43">
        <f>'תקציב הנדסה 2022 פרקים'!W79+'תקציב החברה לפיתוח 2022 פרקים'!W68+'תקציב מינהל תפעול 2022 פרקים'!W64+'תקציב אגף המיחשוב 2022 פרקים'!W13+'תקציב מינהל כללי 2022 פרקים'!W14+'תקציב מינהל תפעול 2022 פרקים'!W13+'תקציב אגף המיחשוב 2022 פרקים'!W8</f>
        <v>7980000</v>
      </c>
      <c r="V10" s="43">
        <f>'תקציב הנדסה 2022 פרקים'!X79+'תקציב החברה לפיתוח 2022 פרקים'!X68+'תקציב מינהל תפעול 2022 פרקים'!X64+'תקציב אגף המיחשוב 2022 פרקים'!X13+'תקציב מינהל כללי 2022 פרקים'!X14+'תקציב מינהל תפעול 2022 פרקים'!X13+'תקציב אגף המיחשוב 2022 פרקים'!X8</f>
        <v>0</v>
      </c>
      <c r="W10" s="43">
        <f>'תקציב הנדסה 2022 פרקים'!Y79+'תקציב החברה לפיתוח 2022 פרקים'!Y68+'תקציב מינהל תפעול 2022 פרקים'!Y64+'תקציב אגף המיחשוב 2022 פרקים'!Y13+'תקציב מינהל כללי 2022 פרקים'!Y14+'תקציב מינהל תפעול 2022 פרקים'!Y13+'תקציב אגף המיחשוב 2022 פרקים'!Y8</f>
        <v>0</v>
      </c>
      <c r="X10" s="43">
        <f>'תקציב הנדסה 2022 פרקים'!Z79+'תקציב החברה לפיתוח 2022 פרקים'!Z68+'תקציב מינהל תפעול 2022 פרקים'!Z64+'תקציב אגף המיחשוב 2022 פרקים'!Z13+'תקציב מינהל כללי 2022 פרקים'!Z14+'תקציב מינהל תפעול 2022 פרקים'!Z13+'תקציב אגף המיחשוב 2022 פרקים'!Z8</f>
        <v>0</v>
      </c>
      <c r="Y10" s="43">
        <f>'תקציב הנדסה 2022 פרקים'!AA79+'תקציב החברה לפיתוח 2022 פרקים'!AA68+'תקציב מינהל תפעול 2022 פרקים'!AA64+'תקציב אגף המיחשוב 2022 פרקים'!AA13+'תקציב מינהל כללי 2022 פרקים'!AA14+'תקציב מינהל תפעול 2022 פרקים'!AA13+'תקציב אגף המיחשוב 2022 פרקים'!AA8</f>
        <v>5700000</v>
      </c>
    </row>
    <row r="11" spans="1:26" s="45" customFormat="1" ht="25.15" customHeight="1">
      <c r="A11" s="829" t="s">
        <v>456</v>
      </c>
      <c r="B11" s="43">
        <f>'תקציב החברה לפיתוח 2022 פרקים'!D100+'תקציב מינהל תפעול 2022 פרקים'!D99+'תקציב אגף חינוך 2022 פרקים'!D28+'תקציב אגף המיחשוב 2022 פרקים'!D17</f>
        <v>1419056413</v>
      </c>
      <c r="C11" s="43">
        <f>'תקציב החברה לפיתוח 2022 פרקים'!E100+'תקציב מינהל תפעול 2022 פרקים'!E99+'תקציב אגף חינוך 2022 פרקים'!E28+'תקציב אגף המיחשוב 2022 פרקים'!E17</f>
        <v>1280915925</v>
      </c>
      <c r="D11" s="43">
        <f>'תקציב החברה לפיתוח 2022 פרקים'!F100+'תקציב מינהל תפעול 2022 פרקים'!F99+'תקציב אגף חינוך 2022 פרקים'!F28+'תקציב אגף המיחשוב 2022 פרקים'!F17</f>
        <v>138140488</v>
      </c>
      <c r="E11" s="43">
        <f>'תקציב החברה לפיתוח 2022 פרקים'!G100+'תקציב מינהל תפעול 2022 פרקים'!G99+'תקציב אגף חינוך 2022 פרקים'!G28+'תקציב אגף המיחשוב 2022 פרקים'!G17</f>
        <v>427939697</v>
      </c>
      <c r="F11" s="43">
        <f>'תקציב החברה לפיתוח 2022 פרקים'!H100+'תקציב מינהל תפעול 2022 פרקים'!H99+'תקציב אגף חינוך 2022 פרקים'!H28+'תקציב אגף המיחשוב 2022 פרקים'!H17</f>
        <v>308846479</v>
      </c>
      <c r="G11" s="43">
        <f>'תקציב החברה לפיתוח 2022 פרקים'!I100+'תקציב מינהל תפעול 2022 פרקים'!I99+'תקציב אגף חינוך 2022 פרקים'!I28+'תקציב אגף המיחשוב 2022 פרקים'!I17</f>
        <v>21130716</v>
      </c>
      <c r="H11" s="43">
        <f>'תקציב החברה לפיתוח 2022 פרקים'!J100+'תקציב מינהל תפעול 2022 פרקים'!J99+'תקציב אגף חינוך 2022 פרקים'!J28+'תקציב אגף המיחשוב 2022 פרקים'!J17</f>
        <v>45331206</v>
      </c>
      <c r="I11" s="43">
        <f>'תקציב החברה לפיתוח 2022 פרקים'!K100+'תקציב מינהל תפעול 2022 פרקים'!K99+'תקציב אגף חינוך 2022 פרקים'!K28+'תקציב אגף המיחשוב 2022 פרקים'!K17</f>
        <v>66461922</v>
      </c>
      <c r="J11" s="43">
        <f>'תקציב החברה לפיתוח 2022 פרקים'!L100+'תקציב מינהל תפעול 2022 פרקים'!L99+'תקציב אגף חינוך 2022 פרקים'!L28+'תקציב אגף המיחשוב 2022 פרקים'!L17</f>
        <v>375308401</v>
      </c>
      <c r="K11" s="43">
        <f>'תקציב החברה לפיתוח 2022 פרקים'!M100+'תקציב מינהל תפעול 2022 פרקים'!M99+'תקציב אגף חינוך 2022 פרקים'!M28+'תקציב אגף המיחשוב 2022 פרקים'!M17</f>
        <v>129341906</v>
      </c>
      <c r="L11" s="43">
        <f>'תקציב החברה לפיתוח 2022 פרקים'!N100+'תקציב מינהל תפעול 2022 פרקים'!N99+'תקציב אגף חינוך 2022 פרקים'!N28+'תקציב אגף המיחשוב 2022 פרקים'!N17</f>
        <v>282206256</v>
      </c>
      <c r="M11" s="43">
        <f>'תקציב החברה לפיתוח 2022 פרקים'!O100+'תקציב מינהל תפעול 2022 פרקים'!O99+'תקציב אגף חינוך 2022 פרקים'!O28+'תקציב אגף המיחשוב 2022 פרקים'!O17</f>
        <v>632199850</v>
      </c>
      <c r="N11" s="43">
        <f>'תקציב החברה לפיתוח 2022 פרקים'!P100+'תקציב מינהל תפעול 2022 פרקים'!P99+'תקציב אגף חינוך 2022 פרקים'!P28+'תקציב אגף המיחשוב 2022 פרקים'!P17</f>
        <v>52631296</v>
      </c>
      <c r="O11" s="43">
        <f>'תקציב החברה לפיתוח 2022 פרקים'!Q100+'תקציב מינהל תפעול 2022 פרקים'!Q99+'תקציב אגף חינוך 2022 פרקים'!Q28+'תקציב אגף המיחשוב 2022 פרקים'!Q17</f>
        <v>75280610</v>
      </c>
      <c r="P11" s="43">
        <f>'תקציב החברה לפיתוח 2022 פרקים'!R100+'תקציב מינהל תפעול 2022 פרקים'!R99+'תקציב אגף חינוך 2022 פרקים'!R28+'תקציב אגף המיחשוב 2022 פרקים'!R17</f>
        <v>2700000</v>
      </c>
      <c r="Q11" s="43">
        <f>'תקציב החברה לפיתוח 2022 פרקים'!S100+'תקציב מינהל תפעול 2022 פרקים'!S99+'תקציב אגף חינוך 2022 פרקים'!S28+'תקציב אגף המיחשוב 2022 פרקים'!S17</f>
        <v>77980610</v>
      </c>
      <c r="R11" s="43">
        <f>'תקציב החברה לפיתוח 2022 פרקים'!T100+'תקציב מינהל תפעול 2022 פרקים'!T99+'תקציב אגף חינוך 2022 פרקים'!T28+'תקציב אגף המיחשוב 2022 פרקים'!T17</f>
        <v>1270000</v>
      </c>
      <c r="S11" s="43">
        <f>'תקציב החברה לפיתוח 2022 פרקים'!U100+'תקציב מינהל תפעול 2022 פרקים'!U99+'תקציב אגף חינוך 2022 פרקים'!U28+'תקציב אגף המיחשוב 2022 פרקים'!U17</f>
        <v>280936256</v>
      </c>
      <c r="T11" s="43">
        <f>'תקציב החברה לפיתוח 2022 פרקים'!V100+'תקציב מינהל תפעול 2022 פרקים'!V99+'תקציב אגף חינוך 2022 פרקים'!V28+'תקציב אגף המיחשוב 2022 פרקים'!V17</f>
        <v>119165529</v>
      </c>
      <c r="U11" s="43">
        <f>'תקציב החברה לפיתוח 2022 פרקים'!W100+'תקציב מינהל תפעול 2022 פרקים'!W99+'תקציב אגף חינוך 2022 פרקים'!W28+'תקציב אגף המיחשוב 2022 פרקים'!W17</f>
        <v>14685393</v>
      </c>
      <c r="V11" s="43">
        <f>'תקציב החברה לפיתוח 2022 פרקים'!X100+'תקציב מינהל תפעול 2022 פרקים'!X99+'תקציב אגף חינוך 2022 פרקים'!X28+'תקציב אגף המיחשוב 2022 פרקים'!X17</f>
        <v>0</v>
      </c>
      <c r="W11" s="43">
        <f>'תקציב החברה לפיתוח 2022 פרקים'!Y100+'תקציב מינהל תפעול 2022 פרקים'!Y99+'תקציב אגף חינוך 2022 פרקים'!Y28+'תקציב אגף המיחשוב 2022 פרקים'!Y17</f>
        <v>9000000</v>
      </c>
      <c r="X11" s="43">
        <f>'תקציב החברה לפיתוח 2022 פרקים'!Z100+'תקציב מינהל תפעול 2022 פרקים'!Z99+'תקציב אגף חינוך 2022 פרקים'!Z28+'תקציב אגף המיחשוב 2022 פרקים'!Z17</f>
        <v>0</v>
      </c>
      <c r="Y11" s="43">
        <f>'תקציב החברה לפיתוח 2022 פרקים'!AA100+'תקציב מינהל תפעול 2022 פרקים'!AA99+'תקציב אגף חינוך 2022 פרקים'!AA28+'תקציב אגף המיחשוב 2022 פרקים'!AA17</f>
        <v>138085334</v>
      </c>
    </row>
    <row r="12" spans="1:26" s="45" customFormat="1" ht="27" customHeight="1">
      <c r="A12" s="9" t="s">
        <v>2311</v>
      </c>
      <c r="B12" s="43">
        <f>'תקציב החברה לפיתוח 2022 פרקים'!D119+'תקציב מינהל תפעול 2022 פרקים'!D108+'תקציב אגף תנוס 2022 פרקים'!D14</f>
        <v>298323000</v>
      </c>
      <c r="C12" s="43">
        <f>'תקציב החברה לפיתוח 2022 פרקים'!E119+'תקציב מינהל תפעול 2022 פרקים'!E108+'תקציב אגף תנוס 2022 פרקים'!E14</f>
        <v>302373000</v>
      </c>
      <c r="D12" s="43">
        <f>'תקציב החברה לפיתוח 2022 פרקים'!F119+'תקציב מינהל תפעול 2022 פרקים'!F108+'תקציב אגף תנוס 2022 פרקים'!F14</f>
        <v>-4050000</v>
      </c>
      <c r="E12" s="43">
        <f>'תקציב החברה לפיתוח 2022 פרקים'!G119+'תקציב מינהל תפעול 2022 פרקים'!G108+'תקציב אגף תנוס 2022 פרקים'!G14</f>
        <v>131179673</v>
      </c>
      <c r="F12" s="43">
        <f>'תקציב החברה לפיתוח 2022 פרקים'!H119+'תקציב מינהל תפעול 2022 פרקים'!H108+'תקציב אגף תנוס 2022 פרקים'!H14</f>
        <v>89528110</v>
      </c>
      <c r="G12" s="43">
        <f>'תקציב החברה לפיתוח 2022 פרקים'!I119+'תקציב מינהל תפעול 2022 פרקים'!I108+'תקציב אגף תנוס 2022 פרקים'!I14</f>
        <v>1828643</v>
      </c>
      <c r="H12" s="43">
        <f>'תקציב החברה לפיתוח 2022 פרקים'!J119+'תקציב מינהל תפעול 2022 פרקים'!J108+'תקציב אגף תנוס 2022 פרקים'!J14</f>
        <v>10197057</v>
      </c>
      <c r="I12" s="43">
        <f>'תקציב החברה לפיתוח 2022 פרקים'!K119+'תקציב מינהל תפעול 2022 פרקים'!K108+'תקציב אגף תנוס 2022 פרקים'!K14</f>
        <v>12025700</v>
      </c>
      <c r="J12" s="43">
        <f>'תקציב החברה לפיתוח 2022 פרקים'!L119+'תקציב מינהל תפעול 2022 פרקים'!L108+'תקציב אגף תנוס 2022 פרקים'!L14</f>
        <v>101553810</v>
      </c>
      <c r="K12" s="43">
        <f>'תקציב החברה לפיתוח 2022 פרקים'!M119+'תקציב מינהל תפעול 2022 פרקים'!M108+'תקציב אגף תנוס 2022 פרקים'!M14</f>
        <v>64075863</v>
      </c>
      <c r="L12" s="43">
        <f>'תקציב החברה לפיתוח 2022 פרקים'!N119+'תקציב מינהל תפעול 2022 פרקים'!N108+'תקציב אגף תנוס 2022 פרקים'!N14</f>
        <v>41367327</v>
      </c>
      <c r="M12" s="43">
        <f>'תקציב החברה לפיתוח 2022 פרקים'!O119+'תקציב מינהל תפעול 2022 פרקים'!O108+'תקציב אגף תנוס 2022 פרקים'!O14</f>
        <v>91326000</v>
      </c>
      <c r="N12" s="43">
        <f>'תקציב החברה לפיתוח 2022 פרקים'!P119+'תקציב מינהל תפעול 2022 פרקים'!P108+'תקציב אגף תנוס 2022 פרקים'!P14</f>
        <v>29625863</v>
      </c>
      <c r="O12" s="43">
        <f>'תקציב החברה לפיתוח 2022 פרקים'!Q119+'תקציב מינהל תפעול 2022 פרקים'!Q108+'תקציב אגף תנוס 2022 פרקים'!Q14</f>
        <v>34450000</v>
      </c>
      <c r="P12" s="43">
        <f>'תקציב החברה לפיתוח 2022 פרקים'!R119+'תקציב מינהל תפעול 2022 פרקים'!R108+'תקציב אגף תנוס 2022 פרקים'!R14</f>
        <v>0</v>
      </c>
      <c r="Q12" s="43">
        <f>'תקציב החברה לפיתוח 2022 פרקים'!S119+'תקציב מינהל תפעול 2022 פרקים'!S108+'תקציב אגף תנוס 2022 פרקים'!S14</f>
        <v>34450000</v>
      </c>
      <c r="R12" s="43">
        <f>'תקציב החברה לפיתוח 2022 פרקים'!T119+'תקציב מינהל תפעול 2022 פרקים'!T108+'תקציב אגף תנוס 2022 פרקים'!T14</f>
        <v>0</v>
      </c>
      <c r="S12" s="43">
        <f>'תקציב החברה לפיתוח 2022 פרקים'!U119+'תקציב מינהל תפעול 2022 פרקים'!U108+'תקציב אגף תנוס 2022 פרקים'!U14</f>
        <v>41367327</v>
      </c>
      <c r="T12" s="43">
        <f>'תקציב החברה לפיתוח 2022 פרקים'!V119+'תקציב מינהל תפעול 2022 פרקים'!V108+'תקציב אגף תנוס 2022 פרקים'!V14</f>
        <v>32457327</v>
      </c>
      <c r="U12" s="43">
        <f>'תקציב החברה לפיתוח 2022 פרקים'!W119+'תקציב מינהל תפעול 2022 פרקים'!W108+'תקציב אגף תנוס 2022 פרקים'!W14</f>
        <v>4910000</v>
      </c>
      <c r="V12" s="43">
        <f>'תקציב החברה לפיתוח 2022 פרקים'!X119+'תקציב מינהל תפעול 2022 פרקים'!X108+'תקציב אגף תנוס 2022 פרקים'!X14</f>
        <v>0</v>
      </c>
      <c r="W12" s="43">
        <f>'תקציב החברה לפיתוח 2022 פרקים'!Y119+'תקציב מינהל תפעול 2022 פרקים'!Y108+'תקציב אגף תנוס 2022 פרקים'!Y14</f>
        <v>0</v>
      </c>
      <c r="X12" s="43">
        <f>'תקציב החברה לפיתוח 2022 פרקים'!Z119+'תקציב מינהל תפעול 2022 פרקים'!Z108+'תקציב אגף תנוס 2022 פרקים'!Z14</f>
        <v>0</v>
      </c>
      <c r="Y12" s="43">
        <f>'תקציב החברה לפיתוח 2022 פרקים'!AA119+'תקציב מינהל תפעול 2022 פרקים'!AA108+'תקציב אגף תנוס 2022 פרקים'!AA14</f>
        <v>4000000</v>
      </c>
    </row>
    <row r="13" spans="1:26" s="45" customFormat="1" ht="25.15" customHeight="1">
      <c r="A13" s="829" t="s">
        <v>460</v>
      </c>
      <c r="B13" s="43">
        <f>'תקציב החברה לפיתוח 2022 פרקים'!D122+'תקציב מינהל תפעול 2022 פרקים'!D111+'תקציב מינהל כללי 2022 פרקים'!D16</f>
        <v>28970000</v>
      </c>
      <c r="C13" s="43">
        <f>'תקציב החברה לפיתוח 2022 פרקים'!E122+'תקציב מינהל תפעול 2022 פרקים'!E111+'תקציב מינהל כללי 2022 פרקים'!E16</f>
        <v>28970000</v>
      </c>
      <c r="D13" s="43">
        <f>'תקציב החברה לפיתוח 2022 פרקים'!F122+'תקציב מינהל תפעול 2022 פרקים'!F111+'תקציב מינהל כללי 2022 פרקים'!F16</f>
        <v>0</v>
      </c>
      <c r="E13" s="43">
        <f>'תקציב החברה לפיתוח 2022 פרקים'!G122+'תקציב מינהל תפעול 2022 פרקים'!G111+'תקציב מינהל כללי 2022 פרקים'!G16</f>
        <v>4270000</v>
      </c>
      <c r="F13" s="43">
        <f>'תקציב החברה לפיתוח 2022 פרקים'!H122+'תקציב מינהל תפעול 2022 פרקים'!H111+'תקציב מינהל כללי 2022 פרקים'!H16</f>
        <v>1509843</v>
      </c>
      <c r="G13" s="43">
        <f>'תקציב החברה לפיתוח 2022 פרקים'!I122+'תקציב מינהל תפעול 2022 פרקים'!I111+'תקציב מינהל כללי 2022 פרקים'!I16</f>
        <v>0</v>
      </c>
      <c r="H13" s="43">
        <f>'תקציב החברה לפיתוח 2022 פרקים'!J122+'תקציב מינהל תפעול 2022 פרקים'!J111+'תקציב מינהל כללי 2022 פרקים'!J16</f>
        <v>415675</v>
      </c>
      <c r="I13" s="43">
        <f>'תקציב החברה לפיתוח 2022 פרקים'!K122+'תקציב מינהל תפעול 2022 פרקים'!K111+'תקציב מינהל כללי 2022 פרקים'!K16</f>
        <v>415675</v>
      </c>
      <c r="J13" s="43">
        <f>'תקציב החברה לפיתוח 2022 פרקים'!L122+'תקציב מינהל תפעול 2022 פרקים'!L111+'תקציב מינהל כללי 2022 פרקים'!L16</f>
        <v>1925518</v>
      </c>
      <c r="K13" s="43">
        <f>'תקציב החברה לפיתוח 2022 פרקים'!M122+'תקציב מינהל תפעול 2022 פרקים'!M111+'תקציב מינהל כללי 2022 פרקים'!M16</f>
        <v>3944482</v>
      </c>
      <c r="L13" s="43">
        <f>'תקציב החברה לפיתוח 2022 פרקים'!N122+'תקציב מינהל תפעול 2022 פרקים'!N111+'תקציב מינהל כללי 2022 פרקים'!N16</f>
        <v>400000</v>
      </c>
      <c r="M13" s="43">
        <f>'תקציב החברה לפיתוח 2022 פרקים'!O122+'תקציב מינהל תפעול 2022 פרקים'!O111+'תקציב מינהל כללי 2022 פרקים'!O16</f>
        <v>22700000</v>
      </c>
      <c r="N13" s="43">
        <f>'תקציב החברה לפיתוח 2022 פרקים'!P122+'תקציב מינהל תפעול 2022 פרקים'!P111+'תקציב מינהל כללי 2022 פרקים'!P16</f>
        <v>2344482</v>
      </c>
      <c r="O13" s="43">
        <f>'תקציב החברה לפיתוח 2022 פרקים'!Q122+'תקציב מינהל תפעול 2022 פרקים'!Q111+'תקציב מינהל כללי 2022 פרקים'!Q16</f>
        <v>1400000</v>
      </c>
      <c r="P13" s="43">
        <f>'תקציב החברה לפיתוח 2022 פרקים'!R122+'תקציב מינהל תפעול 2022 פרקים'!R111+'תקציב מינהל כללי 2022 פרקים'!R16</f>
        <v>200000</v>
      </c>
      <c r="Q13" s="43">
        <f>'תקציב החברה לפיתוח 2022 פרקים'!S122+'תקציב מינהל תפעול 2022 פרקים'!S111+'תקציב מינהל כללי 2022 פרקים'!S16</f>
        <v>1600000</v>
      </c>
      <c r="R13" s="43">
        <f>'תקציב החברה לפיתוח 2022 פרקים'!T122+'תקציב מינהל תפעול 2022 פרקים'!T111+'תקציב מינהל כללי 2022 פרקים'!T16</f>
        <v>0</v>
      </c>
      <c r="S13" s="43">
        <f>'תקציב החברה לפיתוח 2022 פרקים'!U122+'תקציב מינהל תפעול 2022 פרקים'!U111+'תקציב מינהל כללי 2022 פרקים'!U16</f>
        <v>400000</v>
      </c>
      <c r="T13" s="43">
        <f>'תקציב החברה לפיתוח 2022 פרקים'!V122+'תקציב מינהל תפעול 2022 פרקים'!V111+'תקציב מינהל כללי 2022 פרקים'!V16</f>
        <v>300000</v>
      </c>
      <c r="U13" s="43">
        <f>'תקציב החברה לפיתוח 2022 פרקים'!W122+'תקציב מינהל תפעול 2022 פרקים'!W111+'תקציב מינהל כללי 2022 פרקים'!W16</f>
        <v>100000</v>
      </c>
      <c r="V13" s="43">
        <f>'תקציב החברה לפיתוח 2022 פרקים'!X122+'תקציב מינהל תפעול 2022 פרקים'!X111+'תקציב מינהל כללי 2022 פרקים'!X16</f>
        <v>0</v>
      </c>
      <c r="W13" s="43">
        <f>'תקציב החברה לפיתוח 2022 פרקים'!Y122+'תקציב מינהל תפעול 2022 פרקים'!Y111+'תקציב מינהל כללי 2022 פרקים'!Y16</f>
        <v>0</v>
      </c>
      <c r="X13" s="43">
        <f>'תקציב החברה לפיתוח 2022 פרקים'!Z122+'תקציב מינהל תפעול 2022 פרקים'!Z111+'תקציב מינהל כללי 2022 פרקים'!Z16</f>
        <v>0</v>
      </c>
      <c r="Y13" s="43">
        <f>'תקציב החברה לפיתוח 2022 פרקים'!AA122+'תקציב מינהל תפעול 2022 פרקים'!AA111+'תקציב מינהל כללי 2022 פרקים'!AA16</f>
        <v>0</v>
      </c>
    </row>
    <row r="14" spans="1:26" s="45" customFormat="1" ht="27" customHeight="1">
      <c r="A14" s="9" t="s">
        <v>457</v>
      </c>
      <c r="B14" s="43">
        <f>'תקציב החברה לפיתוח 2022 פרקים'!D130+'תקציב מינהל תפעול 2022 פרקים'!D119</f>
        <v>21120000</v>
      </c>
      <c r="C14" s="43">
        <f>'תקציב החברה לפיתוח 2022 פרקים'!E130+'תקציב מינהל תפעול 2022 פרקים'!E119</f>
        <v>20220000</v>
      </c>
      <c r="D14" s="43">
        <f>'תקציב החברה לפיתוח 2022 פרקים'!F130+'תקציב מינהל תפעול 2022 פרקים'!F119</f>
        <v>900000</v>
      </c>
      <c r="E14" s="43">
        <f>'תקציב החברה לפיתוח 2022 פרקים'!G130+'תקציב מינהל תפעול 2022 פרקים'!G119</f>
        <v>10170000</v>
      </c>
      <c r="F14" s="43">
        <f>'תקציב החברה לפיתוח 2022 פרקים'!H130+'תקציב מינהל תפעול 2022 פרקים'!H119</f>
        <v>5808411</v>
      </c>
      <c r="G14" s="43">
        <f>'תקציב החברה לפיתוח 2022 פרקים'!I130+'תקציב מינהל תפעול 2022 פרקים'!I119</f>
        <v>864100</v>
      </c>
      <c r="H14" s="43">
        <f>'תקציב החברה לפיתוח 2022 פרקים'!J130+'תקציב מינהל תפעול 2022 פרקים'!J119</f>
        <v>202368</v>
      </c>
      <c r="I14" s="43">
        <f>'תקציב החברה לפיתוח 2022 פרקים'!K130+'תקציב מינהל תפעול 2022 פרקים'!K119</f>
        <v>1066468</v>
      </c>
      <c r="J14" s="43">
        <f>'תקציב החברה לפיתוח 2022 פרקים'!L130+'תקציב מינהל תפעול 2022 פרקים'!L119</f>
        <v>6874879</v>
      </c>
      <c r="K14" s="43">
        <f>'תקציב החברה לפיתוח 2022 פרקים'!M130+'תקציב מינהל תפעול 2022 פרקים'!M119</f>
        <v>4295121</v>
      </c>
      <c r="L14" s="43">
        <f>'תקציב החברה לפיתוח 2022 פרקים'!N130+'תקציב מינהל תפעול 2022 פרקים'!N119</f>
        <v>600000</v>
      </c>
      <c r="M14" s="43">
        <f>'תקציב החברה לפיתוח 2022 פרקים'!O130+'תקציב מינהל תפעול 2022 פרקים'!O119</f>
        <v>9350000</v>
      </c>
      <c r="N14" s="43">
        <f>'תקציב החברה לפיתוח 2022 פרקים'!P130+'תקציב מינהל תפעול 2022 פרקים'!P119</f>
        <v>3295121</v>
      </c>
      <c r="O14" s="43">
        <f>'תקציב החברה לפיתוח 2022 פרקים'!Q130+'תקציב מינהל תפעול 2022 פרקים'!Q119</f>
        <v>1000000</v>
      </c>
      <c r="P14" s="43">
        <f>'תקציב החברה לפיתוח 2022 פרקים'!R130+'תקציב מינהל תפעול 2022 פרקים'!R119</f>
        <v>0</v>
      </c>
      <c r="Q14" s="43">
        <f>'תקציב החברה לפיתוח 2022 פרקים'!S130+'תקציב מינהל תפעול 2022 פרקים'!S119</f>
        <v>1000000</v>
      </c>
      <c r="R14" s="43">
        <f>'תקציב החברה לפיתוח 2022 פרקים'!T130+'תקציב מינהל תפעול 2022 פרקים'!T119</f>
        <v>0</v>
      </c>
      <c r="S14" s="43">
        <f>'תקציב החברה לפיתוח 2022 פרקים'!U130+'תקציב מינהל תפעול 2022 פרקים'!U119</f>
        <v>600000</v>
      </c>
      <c r="T14" s="43">
        <f>'תקציב החברה לפיתוח 2022 פרקים'!V130+'תקציב מינהל תפעול 2022 פרקים'!V119</f>
        <v>100000</v>
      </c>
      <c r="U14" s="43">
        <f>'תקציב החברה לפיתוח 2022 פרקים'!W130+'תקציב מינהל תפעול 2022 פרקים'!W119</f>
        <v>500000</v>
      </c>
      <c r="V14" s="43">
        <f>'תקציב החברה לפיתוח 2022 פרקים'!X130+'תקציב מינהל תפעול 2022 פרקים'!X119</f>
        <v>0</v>
      </c>
      <c r="W14" s="43">
        <f>'תקציב החברה לפיתוח 2022 פרקים'!Y130+'תקציב מינהל תפעול 2022 פרקים'!Y119</f>
        <v>0</v>
      </c>
      <c r="X14" s="43">
        <f>'תקציב החברה לפיתוח 2022 פרקים'!Z130+'תקציב מינהל תפעול 2022 פרקים'!Z119</f>
        <v>0</v>
      </c>
      <c r="Y14" s="43">
        <f>'תקציב החברה לפיתוח 2022 פרקים'!AA130+'תקציב מינהל תפעול 2022 פרקים'!AA119</f>
        <v>0</v>
      </c>
    </row>
    <row r="15" spans="1:26" s="45" customFormat="1" ht="30">
      <c r="A15" s="9" t="s">
        <v>458</v>
      </c>
      <c r="B15" s="43">
        <f>'תקציב החברה לפיתוח 2022 פרקים'!D133+'תקציב מינהל תפעול 2022 פרקים'!D131</f>
        <v>39322525</v>
      </c>
      <c r="C15" s="43">
        <f>'תקציב החברה לפיתוח 2022 פרקים'!E133+'תקציב מינהל תפעול 2022 פרקים'!E131</f>
        <v>39880559</v>
      </c>
      <c r="D15" s="43">
        <f>'תקציב החברה לפיתוח 2022 פרקים'!F133+'תקציב מינהל תפעול 2022 פרקים'!F131</f>
        <v>-558034</v>
      </c>
      <c r="E15" s="43">
        <f>'תקציב החברה לפיתוח 2022 פרקים'!G133+'תקציב מינהל תפעול 2022 פרקים'!G131</f>
        <v>10140559</v>
      </c>
      <c r="F15" s="43">
        <f>'תקציב החברה לפיתוח 2022 פרקים'!H133+'תקציב מינהל תפעול 2022 פרקים'!H131</f>
        <v>6919442</v>
      </c>
      <c r="G15" s="43">
        <f>'תקציב החברה לפיתוח 2022 פרקים'!I133+'תקציב מינהל תפעול 2022 פרקים'!I131</f>
        <v>895614</v>
      </c>
      <c r="H15" s="43">
        <f>'תקציב החברה לפיתוח 2022 פרקים'!J133+'תקציב מינהל תפעול 2022 פרקים'!J131</f>
        <v>942068</v>
      </c>
      <c r="I15" s="43">
        <f>'תקציב החברה לפיתוח 2022 פרקים'!K133+'תקציב מינהל תפעול 2022 פרקים'!K131</f>
        <v>1837682</v>
      </c>
      <c r="J15" s="43">
        <f>'תקציב החברה לפיתוח 2022 פרקים'!L133+'תקציב מינהל תפעול 2022 פרקים'!L131</f>
        <v>8757124</v>
      </c>
      <c r="K15" s="43">
        <f>'תקציב החברה לפיתוח 2022 פרקים'!M133+'תקציב מינהל תפעול 2022 פרקים'!M131</f>
        <v>3225401</v>
      </c>
      <c r="L15" s="43">
        <f>'תקציב החברה לפיתוח 2022 פרקים'!N133+'תקציב מינהל תפעול 2022 פרקים'!N131</f>
        <v>9250000</v>
      </c>
      <c r="M15" s="43">
        <f>'תקציב החברה לפיתוח 2022 פרקים'!O133+'תקציב מינהל תפעול 2022 פרקים'!O131</f>
        <v>18090000</v>
      </c>
      <c r="N15" s="43">
        <f>'תקציב החברה לפיתוח 2022 פרקים'!P133+'תקציב מינהל תפעול 2022 פרקים'!P131</f>
        <v>1383435</v>
      </c>
      <c r="O15" s="43">
        <f>'תקציב החברה לפיתוח 2022 פרקים'!Q133+'תקציב מינהל תפעול 2022 פרקים'!Q131</f>
        <v>1950000</v>
      </c>
      <c r="P15" s="43">
        <f>'תקציב החברה לפיתוח 2022 פרקים'!R133+'תקציב מינהל תפעול 2022 פרקים'!R131</f>
        <v>0</v>
      </c>
      <c r="Q15" s="43">
        <f>'תקציב החברה לפיתוח 2022 פרקים'!S133+'תקציב מינהל תפעול 2022 פרקים'!S131</f>
        <v>1950000</v>
      </c>
      <c r="R15" s="43">
        <f>'תקציב החברה לפיתוח 2022 פרקים'!T133+'תקציב מינהל תפעול 2022 פרקים'!T131</f>
        <v>108034</v>
      </c>
      <c r="S15" s="43">
        <f>'תקציב החברה לפיתוח 2022 פרקים'!U133+'תקציב מינהל תפעול 2022 פרקים'!U131</f>
        <v>9141966</v>
      </c>
      <c r="T15" s="43">
        <f>'תקציב החברה לפיתוח 2022 פרקים'!V133+'תקציב מינהל תפעול 2022 פרקים'!V131</f>
        <v>1500000</v>
      </c>
      <c r="U15" s="43">
        <f>'תקציב החברה לפיתוח 2022 פרקים'!W133+'תקציב מינהל תפעול 2022 פרקים'!W131</f>
        <v>650000</v>
      </c>
      <c r="V15" s="43">
        <f>'תקציב החברה לפיתוח 2022 פרקים'!X133+'תקציב מינהל תפעול 2022 פרקים'!X131</f>
        <v>0</v>
      </c>
      <c r="W15" s="43">
        <f>'תקציב החברה לפיתוח 2022 פרקים'!Y133+'תקציב מינהל תפעול 2022 פרקים'!Y131</f>
        <v>0</v>
      </c>
      <c r="X15" s="43">
        <f>'תקציב החברה לפיתוח 2022 פרקים'!Z133+'תקציב מינהל תפעול 2022 פרקים'!Z131</f>
        <v>7100000</v>
      </c>
      <c r="Y15" s="43">
        <f>'תקציב החברה לפיתוח 2022 פרקים'!AA133+'תקציב מינהל תפעול 2022 פרקים'!AA131</f>
        <v>-108034</v>
      </c>
    </row>
    <row r="16" spans="1:26" s="45" customFormat="1" ht="27" customHeight="1">
      <c r="A16" s="9" t="s">
        <v>463</v>
      </c>
      <c r="B16" s="43">
        <f>'תקציב החברה לפיתוח 2022 פרקים'!D124+'תקציב מינהל תפעול 2022 פרקים'!D115</f>
        <v>43744320</v>
      </c>
      <c r="C16" s="43">
        <f>'תקציב החברה לפיתוח 2022 פרקים'!E124+'תקציב מינהל תפעול 2022 פרקים'!E115</f>
        <v>37244320</v>
      </c>
      <c r="D16" s="43">
        <f>'תקציב החברה לפיתוח 2022 פרקים'!F124+'תקציב מינהל תפעול 2022 פרקים'!F115</f>
        <v>6500000</v>
      </c>
      <c r="E16" s="43">
        <f>'תקציב החברה לפיתוח 2022 פרקים'!G124+'תקציב מינהל תפעול 2022 פרקים'!G115</f>
        <v>35044320</v>
      </c>
      <c r="F16" s="43">
        <f>'תקציב החברה לפיתוח 2022 פרקים'!H124+'תקציב מינהל תפעול 2022 פרקים'!H115</f>
        <v>29922208</v>
      </c>
      <c r="G16" s="43">
        <f>'תקציב החברה לפיתוח 2022 פרקים'!I124+'תקציב מינהל תפעול 2022 פרקים'!I115</f>
        <v>0</v>
      </c>
      <c r="H16" s="43">
        <f>'תקציב החברה לפיתוח 2022 פרקים'!J124+'תקציב מינהל תפעול 2022 פרקים'!J115</f>
        <v>3084027</v>
      </c>
      <c r="I16" s="43">
        <f>'תקציב החברה לפיתוח 2022 פרקים'!K124+'תקציב מינהל תפעול 2022 פרקים'!K115</f>
        <v>3084027</v>
      </c>
      <c r="J16" s="43">
        <f>'תקציב החברה לפיתוח 2022 פרקים'!L124+'תקציב מינהל תפעול 2022 פרקים'!L115</f>
        <v>33006235</v>
      </c>
      <c r="K16" s="43">
        <f>'תקציב החברה לפיתוח 2022 פרקים'!M124+'תקציב מינהל תפעול 2022 פרקים'!M115</f>
        <v>2038085</v>
      </c>
      <c r="L16" s="43">
        <f>'תקציב החברה לפיתוח 2022 פרקים'!N124+'תקציב מינהל תפעול 2022 פרקים'!N115</f>
        <v>6000000</v>
      </c>
      <c r="M16" s="43">
        <f>'תקציב החברה לפיתוח 2022 פרקים'!O124+'תקציב מינהל תפעול 2022 פרקים'!O115</f>
        <v>2700000</v>
      </c>
      <c r="N16" s="43">
        <f>'תקציב החברה לפיתוח 2022 פרקים'!P124+'תקציב מינהל תפעול 2022 פרקים'!P115</f>
        <v>2038085</v>
      </c>
      <c r="O16" s="43">
        <f>'תקציב החברה לפיתוח 2022 פרקים'!Q124+'תקציב מינהל תפעול 2022 פרקים'!Q115</f>
        <v>0</v>
      </c>
      <c r="P16" s="43">
        <f>'תקציב החברה לפיתוח 2022 פרקים'!R124+'תקציב מינהל תפעול 2022 פרקים'!R115</f>
        <v>0</v>
      </c>
      <c r="Q16" s="43">
        <f>'תקציב החברה לפיתוח 2022 פרקים'!S124+'תקציב מינהל תפעול 2022 פרקים'!S115</f>
        <v>0</v>
      </c>
      <c r="R16" s="43">
        <f>'תקציב החברה לפיתוח 2022 פרקים'!T124+'תקציב מינהל תפעול 2022 פרקים'!T115</f>
        <v>0</v>
      </c>
      <c r="S16" s="43">
        <f>'תקציב החברה לפיתוח 2022 פרקים'!U124+'תקציב מינהל תפעול 2022 פרקים'!U115</f>
        <v>6000000</v>
      </c>
      <c r="T16" s="43">
        <f>'תקציב החברה לפיתוח 2022 פרקים'!V124+'תקציב מינהל תפעול 2022 פרקים'!V115</f>
        <v>0</v>
      </c>
      <c r="U16" s="43">
        <f>'תקציב החברה לפיתוח 2022 פרקים'!W124+'תקציב מינהל תפעול 2022 פרקים'!W115</f>
        <v>6000000</v>
      </c>
      <c r="V16" s="43">
        <f>'תקציב החברה לפיתוח 2022 פרקים'!X124+'תקציב מינהל תפעול 2022 פרקים'!X115</f>
        <v>0</v>
      </c>
      <c r="W16" s="43">
        <f>'תקציב החברה לפיתוח 2022 פרקים'!Y124+'תקציב מינהל תפעול 2022 פרקים'!Y115</f>
        <v>0</v>
      </c>
      <c r="X16" s="43">
        <f>'תקציב החברה לפיתוח 2022 פרקים'!Z124+'תקציב מינהל תפעול 2022 פרקים'!Z115</f>
        <v>0</v>
      </c>
      <c r="Y16" s="43">
        <f>'תקציב החברה לפיתוח 2022 פרקים'!AA124+'תקציב מינהל תפעול 2022 פרקים'!AA115</f>
        <v>0</v>
      </c>
    </row>
    <row r="17" spans="1:27" s="45" customFormat="1" ht="27" customHeight="1">
      <c r="A17" s="9" t="s">
        <v>469</v>
      </c>
      <c r="B17" s="43">
        <f>'תקציב מינהל תפעול 2022 פרקים'!D67</f>
        <v>123550000</v>
      </c>
      <c r="C17" s="43">
        <f>'תקציב מינהל תפעול 2022 פרקים'!E67</f>
        <v>113550000</v>
      </c>
      <c r="D17" s="43">
        <f>'תקציב מינהל תפעול 2022 פרקים'!F67</f>
        <v>10000000</v>
      </c>
      <c r="E17" s="43">
        <f>'תקציב מינהל תפעול 2022 פרקים'!G67</f>
        <v>92400000</v>
      </c>
      <c r="F17" s="43">
        <f>'תקציב מינהל תפעול 2022 פרקים'!H67</f>
        <v>89559774</v>
      </c>
      <c r="G17" s="43">
        <f>'תקציב מינהל תפעול 2022 פרקים'!I67</f>
        <v>0</v>
      </c>
      <c r="H17" s="43">
        <f>'תקציב מינהל תפעול 2022 פרקים'!J67</f>
        <v>638005</v>
      </c>
      <c r="I17" s="43">
        <f>'תקציב מינהל תפעול 2022 פרקים'!K67</f>
        <v>638005</v>
      </c>
      <c r="J17" s="43">
        <f>'תקציב מינהל תפעול 2022 פרקים'!L67</f>
        <v>90197779</v>
      </c>
      <c r="K17" s="43">
        <f>'תקציב מינהל תפעול 2022 פרקים'!M67</f>
        <v>2202221</v>
      </c>
      <c r="L17" s="43">
        <f>'תקציב מינהל תפעול 2022 פרקים'!N67</f>
        <v>11000000</v>
      </c>
      <c r="M17" s="43">
        <f>'תקציב מינהל תפעול 2022 פרקים'!O67</f>
        <v>20150000</v>
      </c>
      <c r="N17" s="43">
        <f>'תקציב מינהל תפעול 2022 פרקים'!P67</f>
        <v>2202221</v>
      </c>
      <c r="O17" s="43">
        <f>'תקציב מינהל תפעול 2022 פרקים'!Q67</f>
        <v>0</v>
      </c>
      <c r="P17" s="43">
        <f>'תקציב מינהל תפעול 2022 פרקים'!R67</f>
        <v>0</v>
      </c>
      <c r="Q17" s="43">
        <f>'תקציב מינהל תפעול 2022 פרקים'!S67</f>
        <v>0</v>
      </c>
      <c r="R17" s="43">
        <f>'תקציב מינהל תפעול 2022 פרקים'!T67</f>
        <v>0</v>
      </c>
      <c r="S17" s="43">
        <f>'תקציב מינהל תפעול 2022 פרקים'!U67</f>
        <v>11000000</v>
      </c>
      <c r="T17" s="43">
        <f>'תקציב מינהל תפעול 2022 פרקים'!V67</f>
        <v>0</v>
      </c>
      <c r="U17" s="43">
        <f>'תקציב מינהל תפעול 2022 פרקים'!W67</f>
        <v>0</v>
      </c>
      <c r="V17" s="43">
        <f>'תקציב מינהל תפעול 2022 פרקים'!X67</f>
        <v>0</v>
      </c>
      <c r="W17" s="43">
        <f>'תקציב מינהל תפעול 2022 פרקים'!Y67</f>
        <v>0</v>
      </c>
      <c r="X17" s="43">
        <f>'תקציב מינהל תפעול 2022 פרקים'!Z67</f>
        <v>0</v>
      </c>
      <c r="Y17" s="43">
        <f>'תקציב מינהל תפעול 2022 פרקים'!AA67</f>
        <v>11000000</v>
      </c>
    </row>
    <row r="18" spans="1:27" s="45" customFormat="1" ht="25.15" customHeight="1">
      <c r="A18" s="829" t="s">
        <v>461</v>
      </c>
      <c r="B18" s="43">
        <f>'תקציב החברה לפיתוח 2022 פרקים'!D135+'תקציב מינהל תפעול 2022 פרקים'!D140+'תקציב אגף תנוס 2022 פרקים'!D15+'תקציב אגף נכסים ביטוח 2022 פרק'!D17</f>
        <v>251545365</v>
      </c>
      <c r="C18" s="43">
        <f>'תקציב החברה לפיתוח 2022 פרקים'!E135+'תקציב מינהל תפעול 2022 פרקים'!E140+'תקציב אגף תנוס 2022 פרקים'!E15+'תקציב אגף נכסים ביטוח 2022 פרק'!E17</f>
        <v>251045365</v>
      </c>
      <c r="D18" s="43">
        <f>'תקציב החברה לפיתוח 2022 פרקים'!F135+'תקציב מינהל תפעול 2022 פרקים'!F140+'תקציב אגף תנוס 2022 פרקים'!F15+'תקציב אגף נכסים ביטוח 2022 פרק'!F17</f>
        <v>500000</v>
      </c>
      <c r="E18" s="43">
        <f>'תקציב החברה לפיתוח 2022 פרקים'!G135+'תקציב מינהל תפעול 2022 פרקים'!G140+'תקציב אגף תנוס 2022 פרקים'!G15+'תקציב אגף נכסים ביטוח 2022 פרק'!G17</f>
        <v>182428190</v>
      </c>
      <c r="F18" s="43">
        <f>'תקציב החברה לפיתוח 2022 פרקים'!H135+'תקציב מינהל תפעול 2022 פרקים'!H140+'תקציב אגף תנוס 2022 פרקים'!H15+'תקציב אגף נכסים ביטוח 2022 פרק'!H17</f>
        <v>156246858</v>
      </c>
      <c r="G18" s="43">
        <f>'תקציב החברה לפיתוח 2022 פרקים'!I135+'תקציב מינהל תפעול 2022 פרקים'!I140+'תקציב אגף תנוס 2022 פרקים'!I15+'תקציב אגף נכסים ביטוח 2022 פרק'!I17</f>
        <v>2630028</v>
      </c>
      <c r="H18" s="43">
        <f>'תקציב החברה לפיתוח 2022 פרקים'!J135+'תקציב מינהל תפעול 2022 פרקים'!J140+'תקציב אגף תנוס 2022 פרקים'!J15+'תקציב אגף נכסים ביטוח 2022 פרק'!J17</f>
        <v>3013213</v>
      </c>
      <c r="I18" s="43">
        <f>'תקציב החברה לפיתוח 2022 פרקים'!K135+'תקציב מינהל תפעול 2022 פרקים'!K140+'תקציב אגף תנוס 2022 פרקים'!K15+'תקציב אגף נכסים ביטוח 2022 פרק'!K17</f>
        <v>5643241</v>
      </c>
      <c r="J18" s="43">
        <f>'תקציב החברה לפיתוח 2022 פרקים'!L135+'תקציב מינהל תפעול 2022 פרקים'!L140+'תקציב אגף תנוס 2022 פרקים'!L15+'תקציב אגף נכסים ביטוח 2022 פרק'!L17</f>
        <v>161890099</v>
      </c>
      <c r="K18" s="43">
        <f>'תקציב החברה לפיתוח 2022 פרקים'!M135+'תקציב מינהל תפעול 2022 פרקים'!M140+'תקציב אגף תנוס 2022 פרקים'!M15+'תקציב אגף נכסים ביטוח 2022 פרק'!M17</f>
        <v>3728091</v>
      </c>
      <c r="L18" s="43">
        <f>'תקציב החברה לפיתוח 2022 פרקים'!N135+'תקציב מינהל תפעול 2022 פרקים'!N140+'תקציב אגף תנוס 2022 פרקים'!N15+'תקציב אגף נכסים ביטוח 2022 פרק'!N17</f>
        <v>20220000</v>
      </c>
      <c r="M18" s="43">
        <f>'תקציב החברה לפיתוח 2022 פרקים'!O135+'תקציב מינהל תפעול 2022 פרקים'!O140+'תקציב אגף תנוס 2022 פרקים'!O15+'תקציב אגף נכסים ביטוח 2022 פרק'!O17</f>
        <v>65707175</v>
      </c>
      <c r="N18" s="43">
        <f>'תקציב החברה לפיתוח 2022 פרקים'!P135+'תקציב מינהל תפעול 2022 פרקים'!P140+'תקציב אגף תנוס 2022 פרקים'!P15+'תקציב אגף נכסים ביטוח 2022 פרק'!P17</f>
        <v>20538091</v>
      </c>
      <c r="O18" s="43">
        <f>'תקציב החברה לפיתוח 2022 פרקים'!Q135+'תקציב מינהל תפעול 2022 פרקים'!Q140+'תקציב אגף תנוס 2022 פרקים'!Q15+'תקציב אגף נכסים ביטוח 2022 פרק'!Q17</f>
        <v>220000</v>
      </c>
      <c r="P18" s="43">
        <f>'תקציב החברה לפיתוח 2022 פרקים'!R135+'תקציב מינהל תפעול 2022 פרקים'!R140+'תקציב אגף תנוס 2022 פרקים'!R15+'תקציב אגף נכסים ביטוח 2022 פרק'!R17</f>
        <v>0</v>
      </c>
      <c r="Q18" s="43">
        <f>'תקציב החברה לפיתוח 2022 פרקים'!S135+'תקציב מינהל תפעול 2022 פרקים'!S140+'תקציב אגף תנוס 2022 פרקים'!S15+'תקציב אגף נכסים ביטוח 2022 פרק'!S17</f>
        <v>220000</v>
      </c>
      <c r="R18" s="43">
        <f>'תקציב החברה לפיתוח 2022 פרקים'!T135+'תקציב מינהל תפעול 2022 פרקים'!T140+'תקציב אגף תנוס 2022 פרקים'!T15+'תקציב אגף נכסים ביטוח 2022 פרק'!T17</f>
        <v>17030000</v>
      </c>
      <c r="S18" s="43">
        <f>'תקציב החברה לפיתוח 2022 פרקים'!U135+'תקציב מינהל תפעול 2022 פרקים'!U140+'תקציב אגף תנוס 2022 פרקים'!U15+'תקציב אגף נכסים ביטוח 2022 פרק'!U17</f>
        <v>3190000</v>
      </c>
      <c r="T18" s="43">
        <f>'תקציב החברה לפיתוח 2022 פרקים'!V135+'תקציב מינהל תפעול 2022 פרקים'!V140+'תקציב אגף תנוס 2022 פרקים'!V15+'תקציב אגף נכסים ביטוח 2022 פרק'!V17</f>
        <v>-910000</v>
      </c>
      <c r="U18" s="43">
        <f>'תקציב החברה לפיתוח 2022 פרקים'!W135+'תקציב מינהל תפעול 2022 פרקים'!W140+'תקציב אגף תנוס 2022 פרקים'!W15+'תקציב אגף נכסים ביטוח 2022 פרק'!W17</f>
        <v>3932385</v>
      </c>
      <c r="V18" s="43">
        <f>'תקציב החברה לפיתוח 2022 פרקים'!X135+'תקציב מינהל תפעול 2022 פרקים'!X140+'תקציב אגף תנוס 2022 פרקים'!X15+'תקציב אגף נכסים ביטוח 2022 פרק'!X17</f>
        <v>0</v>
      </c>
      <c r="W18" s="43">
        <f>'תקציב החברה לפיתוח 2022 פרקים'!Y135+'תקציב מינהל תפעול 2022 פרקים'!Y140+'תקציב אגף תנוס 2022 פרקים'!Y15+'תקציב אגף נכסים ביטוח 2022 פרק'!Y17</f>
        <v>0</v>
      </c>
      <c r="X18" s="43">
        <f>'תקציב החברה לפיתוח 2022 פרקים'!Z135+'תקציב מינהל תפעול 2022 פרקים'!Z140+'תקציב אגף תנוס 2022 פרקים'!Z15+'תקציב אגף נכסים ביטוח 2022 פרק'!Z17</f>
        <v>0</v>
      </c>
      <c r="Y18" s="43">
        <f>'תקציב החברה לפיתוח 2022 פרקים'!AA135+'תקציב מינהל תפעול 2022 פרקים'!AA140+'תקציב אגף תנוס 2022 פרקים'!AA15+'תקציב אגף נכסים ביטוח 2022 פרק'!AA17</f>
        <v>167615</v>
      </c>
    </row>
    <row r="19" spans="1:27" s="45" customFormat="1" ht="27" customHeight="1">
      <c r="A19" s="9" t="s">
        <v>462</v>
      </c>
      <c r="B19" s="43">
        <f>'תקציב מינהל כללי 2022 פרקים'!D17</f>
        <v>15133000</v>
      </c>
      <c r="C19" s="43">
        <f>'תקציב מינהל כללי 2022 פרקים'!E17</f>
        <v>15133000</v>
      </c>
      <c r="D19" s="43">
        <f>'תקציב מינהל כללי 2022 פרקים'!F17</f>
        <v>0</v>
      </c>
      <c r="E19" s="43">
        <f>'תקציב מינהל כללי 2022 פרקים'!G17</f>
        <v>15133000</v>
      </c>
      <c r="F19" s="43">
        <f>'תקציב מינהל כללי 2022 פרקים'!H17</f>
        <v>15133000</v>
      </c>
      <c r="G19" s="43">
        <f>'תקציב מינהל כללי 2022 פרקים'!I17</f>
        <v>0</v>
      </c>
      <c r="H19" s="43">
        <f>'תקציב מינהל כללי 2022 פרקים'!J17</f>
        <v>0</v>
      </c>
      <c r="I19" s="43">
        <f>'תקציב מינהל כללי 2022 פרקים'!K17</f>
        <v>0</v>
      </c>
      <c r="J19" s="43">
        <f>'תקציב מינהל כללי 2022 פרקים'!L17</f>
        <v>15133000</v>
      </c>
      <c r="K19" s="43">
        <f>'תקציב מינהל כללי 2022 פרקים'!M17</f>
        <v>0</v>
      </c>
      <c r="L19" s="43">
        <f>'תקציב מינהל כללי 2022 פרקים'!N17</f>
        <v>0</v>
      </c>
      <c r="M19" s="43">
        <f>'תקציב מינהל כללי 2022 פרקים'!O17</f>
        <v>0</v>
      </c>
      <c r="N19" s="43">
        <f>'תקציב מינהל כללי 2022 פרקים'!P17</f>
        <v>0</v>
      </c>
      <c r="O19" s="43">
        <f>'תקציב מינהל כללי 2022 פרקים'!Q17</f>
        <v>0</v>
      </c>
      <c r="P19" s="43">
        <f>'תקציב מינהל כללי 2022 פרקים'!R17</f>
        <v>0</v>
      </c>
      <c r="Q19" s="43">
        <f>'תקציב מינהל כללי 2022 פרקים'!S17</f>
        <v>0</v>
      </c>
      <c r="R19" s="43">
        <f>'תקציב מינהל כללי 2022 פרקים'!T17</f>
        <v>0</v>
      </c>
      <c r="S19" s="43">
        <f>'תקציב מינהל כללי 2022 פרקים'!U17</f>
        <v>0</v>
      </c>
      <c r="T19" s="43">
        <f>'תקציב מינהל כללי 2022 פרקים'!V17</f>
        <v>0</v>
      </c>
      <c r="U19" s="43">
        <f>'תקציב מינהל כללי 2022 פרקים'!W17</f>
        <v>0</v>
      </c>
      <c r="V19" s="43">
        <f>'תקציב מינהל כללי 2022 פרקים'!X17</f>
        <v>0</v>
      </c>
      <c r="W19" s="43">
        <f>'תקציב מינהל כללי 2022 פרקים'!Y17</f>
        <v>0</v>
      </c>
      <c r="X19" s="43">
        <f>'תקציב מינהל כללי 2022 פרקים'!Z17</f>
        <v>0</v>
      </c>
      <c r="Y19" s="43">
        <f>'תקציב מינהל כללי 2022 פרקים'!AA17</f>
        <v>0</v>
      </c>
    </row>
    <row r="20" spans="1:27" s="45" customFormat="1" ht="25.15" customHeight="1">
      <c r="A20" s="243" t="s">
        <v>94</v>
      </c>
      <c r="B20" s="43">
        <f>SUM(B6:B19)</f>
        <v>4956069956</v>
      </c>
      <c r="C20" s="43">
        <f t="shared" ref="C20:Y20" si="0">SUM(C6:C19)</f>
        <v>4599746330</v>
      </c>
      <c r="D20" s="43">
        <f t="shared" si="0"/>
        <v>356323626</v>
      </c>
      <c r="E20" s="43">
        <f t="shared" si="0"/>
        <v>2338426262</v>
      </c>
      <c r="F20" s="43">
        <f t="shared" si="0"/>
        <v>1918406472.1900001</v>
      </c>
      <c r="G20" s="43">
        <f t="shared" si="0"/>
        <v>35499534</v>
      </c>
      <c r="H20" s="43">
        <f t="shared" si="0"/>
        <v>124175151</v>
      </c>
      <c r="I20" s="43">
        <f t="shared" si="0"/>
        <v>159674685</v>
      </c>
      <c r="J20" s="43">
        <f t="shared" si="0"/>
        <v>2078081157.1900001</v>
      </c>
      <c r="K20" s="43">
        <f t="shared" si="0"/>
        <v>398495490.81</v>
      </c>
      <c r="L20" s="43">
        <f t="shared" si="0"/>
        <v>519346605</v>
      </c>
      <c r="M20" s="43">
        <f t="shared" si="0"/>
        <v>1960146703</v>
      </c>
      <c r="N20" s="43">
        <f t="shared" si="0"/>
        <v>260345104.81</v>
      </c>
      <c r="O20" s="43">
        <f t="shared" si="0"/>
        <v>172000610</v>
      </c>
      <c r="P20" s="43">
        <f t="shared" si="0"/>
        <v>10526895</v>
      </c>
      <c r="Q20" s="43">
        <f t="shared" si="0"/>
        <v>182527505</v>
      </c>
      <c r="R20" s="43">
        <f t="shared" si="0"/>
        <v>44377119</v>
      </c>
      <c r="S20" s="43">
        <f t="shared" si="0"/>
        <v>474969486</v>
      </c>
      <c r="T20" s="43">
        <f t="shared" si="0"/>
        <v>230669999.75</v>
      </c>
      <c r="U20" s="43">
        <f t="shared" si="0"/>
        <v>60000000</v>
      </c>
      <c r="V20" s="43">
        <f t="shared" si="0"/>
        <v>0</v>
      </c>
      <c r="W20" s="43">
        <f>SUM(W6:W19)</f>
        <v>9000000</v>
      </c>
      <c r="X20" s="43">
        <f t="shared" si="0"/>
        <v>7100000</v>
      </c>
      <c r="Y20" s="43">
        <f t="shared" si="0"/>
        <v>168199486.25</v>
      </c>
    </row>
    <row r="21" spans="1:27" s="45" customFormat="1">
      <c r="A21" s="830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7" s="45" customFormat="1" ht="15.6" hidden="1" customHeight="1">
      <c r="A22" s="47"/>
      <c r="B22" s="48"/>
      <c r="C22" s="48"/>
      <c r="D22" s="25"/>
      <c r="E22" s="48"/>
      <c r="F22" s="48"/>
      <c r="G22" s="48"/>
      <c r="H22" s="48"/>
      <c r="I22" s="48"/>
      <c r="J22" s="426">
        <f>I20+F20</f>
        <v>2078081157.1900001</v>
      </c>
      <c r="K22" s="426">
        <f>N22+Q20-R20</f>
        <v>398495490.80999994</v>
      </c>
      <c r="L22" s="25"/>
      <c r="M22" s="25"/>
      <c r="N22" s="426">
        <f>E20-J20</f>
        <v>260345104.80999994</v>
      </c>
      <c r="O22" s="25"/>
      <c r="P22" s="25"/>
      <c r="Q22" s="25"/>
      <c r="R22" s="25"/>
      <c r="S22" s="426">
        <f>L20-R20</f>
        <v>474969486</v>
      </c>
      <c r="T22" s="25"/>
      <c r="U22" s="25"/>
      <c r="V22" s="25"/>
      <c r="W22" s="25"/>
      <c r="X22" s="25"/>
      <c r="Y22" s="25"/>
    </row>
    <row r="23" spans="1:27" ht="15.6" hidden="1" customHeight="1">
      <c r="D23" s="61"/>
      <c r="J23" s="44"/>
      <c r="K23" s="44"/>
      <c r="M23" s="51"/>
      <c r="N23" s="52"/>
      <c r="O23" s="51"/>
      <c r="P23" s="53"/>
      <c r="Q23" s="53"/>
      <c r="R23" s="52"/>
      <c r="S23" s="54" t="s">
        <v>94</v>
      </c>
      <c r="T23" s="54" t="s">
        <v>83</v>
      </c>
      <c r="U23" s="54" t="s">
        <v>95</v>
      </c>
      <c r="V23" s="54" t="s">
        <v>15</v>
      </c>
      <c r="W23" s="54" t="s">
        <v>265</v>
      </c>
      <c r="X23" s="54" t="s">
        <v>749</v>
      </c>
      <c r="Y23" s="54" t="s">
        <v>84</v>
      </c>
    </row>
    <row r="24" spans="1:27" ht="15.6" hidden="1" customHeight="1">
      <c r="B24" s="61"/>
      <c r="D24" s="61"/>
      <c r="L24" s="61"/>
      <c r="M24" s="54" t="s">
        <v>96</v>
      </c>
      <c r="N24" s="55"/>
      <c r="O24" s="54" t="s">
        <v>96</v>
      </c>
      <c r="P24" s="56"/>
      <c r="Q24" s="56"/>
      <c r="R24" s="46"/>
      <c r="S24" s="57">
        <f>SUM(T24:Y24)</f>
        <v>474969486.25</v>
      </c>
      <c r="T24" s="57">
        <f>'תקציב 2022 קרנות הרשות'!C21*1000</f>
        <v>230670000</v>
      </c>
      <c r="U24" s="57">
        <f>'תקציב 2022 קרנות הרשות'!D21*1000</f>
        <v>60000000</v>
      </c>
      <c r="V24" s="57">
        <f>'תקציב 2022  מקורות '!F10*1000</f>
        <v>0</v>
      </c>
      <c r="W24" s="57">
        <f>'תקציב 2022  מקורות '!F11*1000</f>
        <v>9000000</v>
      </c>
      <c r="X24" s="57">
        <f>'תקציב 2022  מקורות '!F12*1000</f>
        <v>7100000</v>
      </c>
      <c r="Y24" s="57">
        <f>'פרוט מקורות אחרים'!O16</f>
        <v>168199486.25</v>
      </c>
    </row>
    <row r="25" spans="1:27" ht="15.6" hidden="1" customHeight="1">
      <c r="B25" s="61"/>
      <c r="M25" s="54" t="s">
        <v>97</v>
      </c>
      <c r="N25" s="55"/>
      <c r="O25" s="54" t="s">
        <v>97</v>
      </c>
      <c r="P25" s="56"/>
      <c r="Q25" s="56"/>
      <c r="R25" s="46"/>
      <c r="S25" s="57">
        <f t="shared" ref="S25:Y25" si="1">S24-S20</f>
        <v>0.25</v>
      </c>
      <c r="T25" s="57">
        <f t="shared" si="1"/>
        <v>0.25</v>
      </c>
      <c r="U25" s="57">
        <f t="shared" si="1"/>
        <v>0</v>
      </c>
      <c r="V25" s="57">
        <f t="shared" si="1"/>
        <v>0</v>
      </c>
      <c r="W25" s="57">
        <f>W24-W20</f>
        <v>0</v>
      </c>
      <c r="X25" s="57">
        <f t="shared" si="1"/>
        <v>0</v>
      </c>
      <c r="Y25" s="57">
        <f t="shared" si="1"/>
        <v>0</v>
      </c>
      <c r="AA25" s="48"/>
    </row>
    <row r="26" spans="1:27" ht="15.6" hidden="1" customHeight="1">
      <c r="A26" s="59"/>
      <c r="D26" s="59"/>
      <c r="E26" s="59"/>
      <c r="M26" s="60"/>
      <c r="O26" s="60"/>
      <c r="P26" s="60"/>
      <c r="Q26" s="60"/>
      <c r="R26" s="45"/>
      <c r="S26" s="58"/>
      <c r="T26" s="58"/>
      <c r="U26" s="58"/>
      <c r="V26" s="58"/>
      <c r="W26" s="58"/>
      <c r="X26" s="58"/>
      <c r="Y26" s="58"/>
    </row>
    <row r="27" spans="1:27" ht="15.6" hidden="1" customHeight="1">
      <c r="B27" s="59"/>
      <c r="J27" s="44"/>
      <c r="K27" s="61"/>
      <c r="M27" s="60"/>
      <c r="N27" s="44">
        <f>E20-J20</f>
        <v>260345104.80999994</v>
      </c>
      <c r="O27" s="60"/>
      <c r="P27" s="60"/>
      <c r="Q27" s="60"/>
      <c r="R27" s="58"/>
      <c r="S27" s="44"/>
      <c r="T27" s="58"/>
      <c r="U27" s="58"/>
      <c r="V27" s="58"/>
      <c r="W27" s="58"/>
      <c r="X27" s="58"/>
      <c r="Y27" s="58"/>
    </row>
    <row r="28" spans="1:27" ht="15.6" hidden="1" customHeight="1">
      <c r="A28" s="59"/>
      <c r="B28" s="59"/>
      <c r="C28" s="59"/>
      <c r="D28" s="59"/>
      <c r="M28" s="60"/>
      <c r="O28" s="60"/>
      <c r="P28" s="60"/>
      <c r="Q28" s="60"/>
      <c r="R28" s="45"/>
      <c r="S28" s="58"/>
      <c r="T28" s="58"/>
      <c r="U28" s="58"/>
      <c r="V28" s="58"/>
      <c r="W28" s="58"/>
      <c r="X28" s="58"/>
      <c r="Y28" s="58"/>
    </row>
    <row r="29" spans="1:27" ht="15.6" hidden="1" customHeight="1">
      <c r="A29" s="49" t="s">
        <v>2375</v>
      </c>
      <c r="B29" s="59">
        <f>'ריכוז אגפים'!B16</f>
        <v>4956069956</v>
      </c>
      <c r="C29" s="59">
        <f>'ריכוז אגפים'!C16</f>
        <v>4599746330</v>
      </c>
      <c r="D29" s="59">
        <f>'ריכוז אגפים'!D16</f>
        <v>356323626</v>
      </c>
      <c r="E29" s="59">
        <f>'ריכוז אגפים'!E16</f>
        <v>2338426262</v>
      </c>
      <c r="F29" s="59">
        <f>'ריכוז אגפים'!F16</f>
        <v>1918406472.1900001</v>
      </c>
      <c r="G29" s="59">
        <f>'ריכוז אגפים'!G16</f>
        <v>35499534</v>
      </c>
      <c r="H29" s="59">
        <f>'ריכוז אגפים'!H16</f>
        <v>124175151</v>
      </c>
      <c r="I29" s="59">
        <f>'ריכוז אגפים'!I16</f>
        <v>159674685</v>
      </c>
      <c r="J29" s="59">
        <f>'ריכוז אגפים'!J16</f>
        <v>2078081157.1900001</v>
      </c>
      <c r="K29" s="59">
        <f>'ריכוז אגפים'!K16</f>
        <v>398495490.81</v>
      </c>
      <c r="L29" s="59">
        <f>'ריכוז אגפים'!L16</f>
        <v>519346605</v>
      </c>
      <c r="M29" s="59">
        <f>'ריכוז אגפים'!M16</f>
        <v>1960146703</v>
      </c>
      <c r="N29" s="59">
        <f>'ריכוז אגפים'!N16</f>
        <v>260345104.81</v>
      </c>
      <c r="O29" s="59">
        <f>'ריכוז אגפים'!O16</f>
        <v>172000610</v>
      </c>
      <c r="P29" s="59">
        <f>'ריכוז אגפים'!P16</f>
        <v>10526895</v>
      </c>
      <c r="Q29" s="59">
        <f>'ריכוז אגפים'!Q16</f>
        <v>182527505</v>
      </c>
      <c r="R29" s="59">
        <f>'ריכוז אגפים'!R16</f>
        <v>44377119</v>
      </c>
      <c r="S29" s="59">
        <f>'ריכוז אגפים'!S16</f>
        <v>474969486</v>
      </c>
      <c r="T29" s="59">
        <f>'ריכוז אגפים'!T16</f>
        <v>230669999.75</v>
      </c>
      <c r="U29" s="59">
        <f>'ריכוז אגפים'!U16</f>
        <v>60000000</v>
      </c>
      <c r="V29" s="59">
        <f>'ריכוז אגפים'!V16</f>
        <v>0</v>
      </c>
      <c r="W29" s="59">
        <f>'ריכוז אגפים'!W16</f>
        <v>9000000</v>
      </c>
      <c r="X29" s="59">
        <f>'ריכוז אגפים'!X16</f>
        <v>7100000</v>
      </c>
      <c r="Y29" s="59">
        <f>'ריכוז אגפים'!Y16</f>
        <v>168199486.25</v>
      </c>
    </row>
    <row r="30" spans="1:27" ht="15.6" hidden="1" customHeight="1">
      <c r="A30" s="49" t="s">
        <v>1910</v>
      </c>
      <c r="B30" s="59">
        <f>B20-B29</f>
        <v>0</v>
      </c>
      <c r="C30" s="59">
        <f t="shared" ref="C30:Q30" si="2">C20-C29</f>
        <v>0</v>
      </c>
      <c r="D30" s="59">
        <f t="shared" si="2"/>
        <v>0</v>
      </c>
      <c r="E30" s="59">
        <f t="shared" si="2"/>
        <v>0</v>
      </c>
      <c r="F30" s="59">
        <f t="shared" si="2"/>
        <v>0</v>
      </c>
      <c r="G30" s="59">
        <f t="shared" si="2"/>
        <v>0</v>
      </c>
      <c r="H30" s="59">
        <f t="shared" si="2"/>
        <v>0</v>
      </c>
      <c r="I30" s="59">
        <f t="shared" si="2"/>
        <v>0</v>
      </c>
      <c r="J30" s="59">
        <f t="shared" si="2"/>
        <v>0</v>
      </c>
      <c r="K30" s="59">
        <f t="shared" si="2"/>
        <v>0</v>
      </c>
      <c r="L30" s="59">
        <f t="shared" si="2"/>
        <v>0</v>
      </c>
      <c r="M30" s="59">
        <f t="shared" si="2"/>
        <v>0</v>
      </c>
      <c r="N30" s="59">
        <f t="shared" si="2"/>
        <v>0</v>
      </c>
      <c r="O30" s="59">
        <f t="shared" si="2"/>
        <v>0</v>
      </c>
      <c r="P30" s="59">
        <f t="shared" si="2"/>
        <v>0</v>
      </c>
      <c r="Q30" s="59">
        <f t="shared" si="2"/>
        <v>0</v>
      </c>
      <c r="R30" s="59">
        <f t="shared" ref="R30:Y30" si="3">R20-R29</f>
        <v>0</v>
      </c>
      <c r="S30" s="59">
        <f t="shared" si="3"/>
        <v>0</v>
      </c>
      <c r="T30" s="59">
        <f t="shared" si="3"/>
        <v>0</v>
      </c>
      <c r="U30" s="59">
        <f t="shared" si="3"/>
        <v>0</v>
      </c>
      <c r="V30" s="59">
        <f t="shared" si="3"/>
        <v>0</v>
      </c>
      <c r="W30" s="59">
        <f t="shared" si="3"/>
        <v>0</v>
      </c>
      <c r="X30" s="59">
        <f t="shared" si="3"/>
        <v>0</v>
      </c>
      <c r="Y30" s="59">
        <f t="shared" si="3"/>
        <v>0</v>
      </c>
    </row>
    <row r="31" spans="1:27">
      <c r="B31" s="59"/>
      <c r="N31" s="50"/>
      <c r="U31" s="58"/>
      <c r="V31" s="58"/>
      <c r="W31" s="58"/>
      <c r="X31" s="58"/>
      <c r="Y31" s="58"/>
    </row>
    <row r="32" spans="1:27">
      <c r="B32" s="59"/>
      <c r="N32" s="50"/>
      <c r="U32" s="58"/>
      <c r="V32" s="58"/>
      <c r="W32" s="58"/>
      <c r="X32" s="58"/>
      <c r="Y32" s="58"/>
    </row>
    <row r="33" spans="1:27" s="50" customFormat="1">
      <c r="A33" s="49"/>
      <c r="B33" s="59"/>
      <c r="J33" s="45"/>
      <c r="U33" s="61"/>
      <c r="V33" s="61"/>
      <c r="Z33" s="47"/>
      <c r="AA33" s="47"/>
    </row>
    <row r="34" spans="1:27" s="50" customFormat="1">
      <c r="A34" s="49"/>
      <c r="B34" s="59"/>
      <c r="J34" s="45"/>
      <c r="U34" s="61"/>
      <c r="Z34" s="47"/>
      <c r="AA34" s="47"/>
    </row>
    <row r="35" spans="1:27" s="50" customFormat="1">
      <c r="A35" s="49"/>
      <c r="B35" s="59"/>
      <c r="J35" s="45"/>
      <c r="U35" s="61"/>
      <c r="Z35" s="47"/>
      <c r="AA35" s="47"/>
    </row>
    <row r="36" spans="1:27" s="50" customFormat="1">
      <c r="A36" s="49"/>
      <c r="B36" s="59"/>
      <c r="J36" s="45"/>
      <c r="U36" s="61"/>
      <c r="Z36" s="47"/>
      <c r="AA36" s="47"/>
    </row>
    <row r="37" spans="1:27" s="50" customFormat="1">
      <c r="A37" s="49"/>
      <c r="B37" s="59"/>
      <c r="J37" s="45"/>
      <c r="U37" s="61"/>
      <c r="Z37" s="47"/>
      <c r="AA37" s="47"/>
    </row>
    <row r="38" spans="1:27" s="50" customFormat="1">
      <c r="A38" s="49"/>
      <c r="B38" s="59"/>
      <c r="J38" s="45"/>
      <c r="U38" s="61"/>
      <c r="Z38" s="47"/>
      <c r="AA38" s="47"/>
    </row>
    <row r="39" spans="1:27" s="50" customFormat="1">
      <c r="A39" s="49"/>
      <c r="B39" s="59"/>
      <c r="J39" s="45"/>
      <c r="U39" s="61"/>
      <c r="Z39" s="47"/>
      <c r="AA39" s="47"/>
    </row>
    <row r="40" spans="1:27" s="50" customFormat="1">
      <c r="A40" s="49"/>
      <c r="B40" s="314"/>
      <c r="J40" s="45"/>
      <c r="U40" s="61"/>
      <c r="Z40" s="47"/>
      <c r="AA40" s="47"/>
    </row>
    <row r="41" spans="1:27" s="50" customFormat="1">
      <c r="A41" s="49"/>
      <c r="J41" s="45"/>
      <c r="M41" s="241"/>
      <c r="N41" s="242"/>
      <c r="O41" s="241"/>
      <c r="P41" s="241"/>
      <c r="Q41" s="241"/>
      <c r="R41" s="241"/>
      <c r="Z41" s="47"/>
      <c r="AA41" s="47"/>
    </row>
  </sheetData>
  <sheetProtection formatCells="0" formatColumns="0" formatRows="0" insertColumns="0" insertRows="0" insertHyperlinks="0" deleteColumns="0" deleteRows="0" sort="0" autoFilter="0" pivotTables="0"/>
  <mergeCells count="3">
    <mergeCell ref="B4:M4"/>
    <mergeCell ref="N4:O4"/>
    <mergeCell ref="R4:Y4"/>
  </mergeCells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19"/>
  <sheetViews>
    <sheetView showZeros="0" rightToLeft="1" topLeftCell="A4" workbookViewId="0">
      <selection activeCell="C55" sqref="C55"/>
    </sheetView>
  </sheetViews>
  <sheetFormatPr defaultRowHeight="15.75"/>
  <cols>
    <col min="1" max="1" width="25.5703125" style="66" customWidth="1"/>
    <col min="2" max="3" width="10.28515625" style="68" customWidth="1"/>
    <col min="4" max="4" width="11.140625" style="68" customWidth="1"/>
    <col min="5" max="6" width="10.28515625" style="68" hidden="1" customWidth="1"/>
    <col min="7" max="8" width="10.28515625" style="68" customWidth="1"/>
    <col min="9" max="9" width="10.28515625" style="68" hidden="1" customWidth="1"/>
    <col min="10" max="11" width="10.28515625" style="68" customWidth="1"/>
    <col min="12" max="12" width="10.28515625" style="68" hidden="1" customWidth="1"/>
    <col min="13" max="14" width="10.28515625" style="68" customWidth="1"/>
    <col min="15" max="15" width="11.28515625" style="66" customWidth="1"/>
    <col min="16" max="16" width="8.85546875" style="66" hidden="1" customWidth="1"/>
    <col min="17" max="17" width="13.28515625" style="138" hidden="1" customWidth="1"/>
    <col min="18" max="18" width="11.85546875" style="138" customWidth="1"/>
    <col min="19" max="19" width="12.140625" style="138" customWidth="1"/>
    <col min="20" max="20" width="2.7109375" style="138" customWidth="1"/>
    <col min="21" max="21" width="10.140625" style="138" bestFit="1" customWidth="1"/>
    <col min="22" max="22" width="9.140625" style="66" customWidth="1"/>
    <col min="23" max="257" width="9.140625" style="66"/>
    <col min="258" max="258" width="4.140625" style="66" customWidth="1"/>
    <col min="259" max="259" width="25.5703125" style="66" customWidth="1"/>
    <col min="260" max="260" width="0" style="66" hidden="1" customWidth="1"/>
    <col min="261" max="261" width="9.140625" style="66" bestFit="1" customWidth="1"/>
    <col min="262" max="262" width="9.140625" style="66" customWidth="1"/>
    <col min="263" max="263" width="8.85546875" style="66" customWidth="1"/>
    <col min="264" max="265" width="10.7109375" style="66" customWidth="1"/>
    <col min="266" max="266" width="10" style="66" customWidth="1"/>
    <col min="267" max="267" width="10.42578125" style="66" customWidth="1"/>
    <col min="268" max="268" width="8.7109375" style="66" customWidth="1"/>
    <col min="269" max="269" width="0" style="66" hidden="1" customWidth="1"/>
    <col min="270" max="270" width="10.140625" style="66" bestFit="1" customWidth="1"/>
    <col min="271" max="271" width="10.140625" style="66" customWidth="1"/>
    <col min="272" max="272" width="0" style="66" hidden="1" customWidth="1"/>
    <col min="273" max="273" width="10" style="66" customWidth="1"/>
    <col min="274" max="274" width="12.85546875" style="66" customWidth="1"/>
    <col min="275" max="513" width="9.140625" style="66"/>
    <col min="514" max="514" width="4.140625" style="66" customWidth="1"/>
    <col min="515" max="515" width="25.5703125" style="66" customWidth="1"/>
    <col min="516" max="516" width="0" style="66" hidden="1" customWidth="1"/>
    <col min="517" max="517" width="9.140625" style="66" bestFit="1" customWidth="1"/>
    <col min="518" max="518" width="9.140625" style="66" customWidth="1"/>
    <col min="519" max="519" width="8.85546875" style="66" customWidth="1"/>
    <col min="520" max="521" width="10.7109375" style="66" customWidth="1"/>
    <col min="522" max="522" width="10" style="66" customWidth="1"/>
    <col min="523" max="523" width="10.42578125" style="66" customWidth="1"/>
    <col min="524" max="524" width="8.7109375" style="66" customWidth="1"/>
    <col min="525" max="525" width="0" style="66" hidden="1" customWidth="1"/>
    <col min="526" max="526" width="10.140625" style="66" bestFit="1" customWidth="1"/>
    <col min="527" max="527" width="10.140625" style="66" customWidth="1"/>
    <col min="528" max="528" width="0" style="66" hidden="1" customWidth="1"/>
    <col min="529" max="529" width="10" style="66" customWidth="1"/>
    <col min="530" max="530" width="12.85546875" style="66" customWidth="1"/>
    <col min="531" max="769" width="9.140625" style="66"/>
    <col min="770" max="770" width="4.140625" style="66" customWidth="1"/>
    <col min="771" max="771" width="25.5703125" style="66" customWidth="1"/>
    <col min="772" max="772" width="0" style="66" hidden="1" customWidth="1"/>
    <col min="773" max="773" width="9.140625" style="66" bestFit="1" customWidth="1"/>
    <col min="774" max="774" width="9.140625" style="66" customWidth="1"/>
    <col min="775" max="775" width="8.85546875" style="66" customWidth="1"/>
    <col min="776" max="777" width="10.7109375" style="66" customWidth="1"/>
    <col min="778" max="778" width="10" style="66" customWidth="1"/>
    <col min="779" max="779" width="10.42578125" style="66" customWidth="1"/>
    <col min="780" max="780" width="8.7109375" style="66" customWidth="1"/>
    <col min="781" max="781" width="0" style="66" hidden="1" customWidth="1"/>
    <col min="782" max="782" width="10.140625" style="66" bestFit="1" customWidth="1"/>
    <col min="783" max="783" width="10.140625" style="66" customWidth="1"/>
    <col min="784" max="784" width="0" style="66" hidden="1" customWidth="1"/>
    <col min="785" max="785" width="10" style="66" customWidth="1"/>
    <col min="786" max="786" width="12.85546875" style="66" customWidth="1"/>
    <col min="787" max="1025" width="9.140625" style="66"/>
    <col min="1026" max="1026" width="4.140625" style="66" customWidth="1"/>
    <col min="1027" max="1027" width="25.5703125" style="66" customWidth="1"/>
    <col min="1028" max="1028" width="0" style="66" hidden="1" customWidth="1"/>
    <col min="1029" max="1029" width="9.140625" style="66" bestFit="1" customWidth="1"/>
    <col min="1030" max="1030" width="9.140625" style="66" customWidth="1"/>
    <col min="1031" max="1031" width="8.85546875" style="66" customWidth="1"/>
    <col min="1032" max="1033" width="10.7109375" style="66" customWidth="1"/>
    <col min="1034" max="1034" width="10" style="66" customWidth="1"/>
    <col min="1035" max="1035" width="10.42578125" style="66" customWidth="1"/>
    <col min="1036" max="1036" width="8.7109375" style="66" customWidth="1"/>
    <col min="1037" max="1037" width="0" style="66" hidden="1" customWidth="1"/>
    <col min="1038" max="1038" width="10.140625" style="66" bestFit="1" customWidth="1"/>
    <col min="1039" max="1039" width="10.140625" style="66" customWidth="1"/>
    <col min="1040" max="1040" width="0" style="66" hidden="1" customWidth="1"/>
    <col min="1041" max="1041" width="10" style="66" customWidth="1"/>
    <col min="1042" max="1042" width="12.85546875" style="66" customWidth="1"/>
    <col min="1043" max="1281" width="9.140625" style="66"/>
    <col min="1282" max="1282" width="4.140625" style="66" customWidth="1"/>
    <col min="1283" max="1283" width="25.5703125" style="66" customWidth="1"/>
    <col min="1284" max="1284" width="0" style="66" hidden="1" customWidth="1"/>
    <col min="1285" max="1285" width="9.140625" style="66" bestFit="1" customWidth="1"/>
    <col min="1286" max="1286" width="9.140625" style="66" customWidth="1"/>
    <col min="1287" max="1287" width="8.85546875" style="66" customWidth="1"/>
    <col min="1288" max="1289" width="10.7109375" style="66" customWidth="1"/>
    <col min="1290" max="1290" width="10" style="66" customWidth="1"/>
    <col min="1291" max="1291" width="10.42578125" style="66" customWidth="1"/>
    <col min="1292" max="1292" width="8.7109375" style="66" customWidth="1"/>
    <col min="1293" max="1293" width="0" style="66" hidden="1" customWidth="1"/>
    <col min="1294" max="1294" width="10.140625" style="66" bestFit="1" customWidth="1"/>
    <col min="1295" max="1295" width="10.140625" style="66" customWidth="1"/>
    <col min="1296" max="1296" width="0" style="66" hidden="1" customWidth="1"/>
    <col min="1297" max="1297" width="10" style="66" customWidth="1"/>
    <col min="1298" max="1298" width="12.85546875" style="66" customWidth="1"/>
    <col min="1299" max="1537" width="9.140625" style="66"/>
    <col min="1538" max="1538" width="4.140625" style="66" customWidth="1"/>
    <col min="1539" max="1539" width="25.5703125" style="66" customWidth="1"/>
    <col min="1540" max="1540" width="0" style="66" hidden="1" customWidth="1"/>
    <col min="1541" max="1541" width="9.140625" style="66" bestFit="1" customWidth="1"/>
    <col min="1542" max="1542" width="9.140625" style="66" customWidth="1"/>
    <col min="1543" max="1543" width="8.85546875" style="66" customWidth="1"/>
    <col min="1544" max="1545" width="10.7109375" style="66" customWidth="1"/>
    <col min="1546" max="1546" width="10" style="66" customWidth="1"/>
    <col min="1547" max="1547" width="10.42578125" style="66" customWidth="1"/>
    <col min="1548" max="1548" width="8.7109375" style="66" customWidth="1"/>
    <col min="1549" max="1549" width="0" style="66" hidden="1" customWidth="1"/>
    <col min="1550" max="1550" width="10.140625" style="66" bestFit="1" customWidth="1"/>
    <col min="1551" max="1551" width="10.140625" style="66" customWidth="1"/>
    <col min="1552" max="1552" width="0" style="66" hidden="1" customWidth="1"/>
    <col min="1553" max="1553" width="10" style="66" customWidth="1"/>
    <col min="1554" max="1554" width="12.85546875" style="66" customWidth="1"/>
    <col min="1555" max="1793" width="9.140625" style="66"/>
    <col min="1794" max="1794" width="4.140625" style="66" customWidth="1"/>
    <col min="1795" max="1795" width="25.5703125" style="66" customWidth="1"/>
    <col min="1796" max="1796" width="0" style="66" hidden="1" customWidth="1"/>
    <col min="1797" max="1797" width="9.140625" style="66" bestFit="1" customWidth="1"/>
    <col min="1798" max="1798" width="9.140625" style="66" customWidth="1"/>
    <col min="1799" max="1799" width="8.85546875" style="66" customWidth="1"/>
    <col min="1800" max="1801" width="10.7109375" style="66" customWidth="1"/>
    <col min="1802" max="1802" width="10" style="66" customWidth="1"/>
    <col min="1803" max="1803" width="10.42578125" style="66" customWidth="1"/>
    <col min="1804" max="1804" width="8.7109375" style="66" customWidth="1"/>
    <col min="1805" max="1805" width="0" style="66" hidden="1" customWidth="1"/>
    <col min="1806" max="1806" width="10.140625" style="66" bestFit="1" customWidth="1"/>
    <col min="1807" max="1807" width="10.140625" style="66" customWidth="1"/>
    <col min="1808" max="1808" width="0" style="66" hidden="1" customWidth="1"/>
    <col min="1809" max="1809" width="10" style="66" customWidth="1"/>
    <col min="1810" max="1810" width="12.85546875" style="66" customWidth="1"/>
    <col min="1811" max="2049" width="9.140625" style="66"/>
    <col min="2050" max="2050" width="4.140625" style="66" customWidth="1"/>
    <col min="2051" max="2051" width="25.5703125" style="66" customWidth="1"/>
    <col min="2052" max="2052" width="0" style="66" hidden="1" customWidth="1"/>
    <col min="2053" max="2053" width="9.140625" style="66" bestFit="1" customWidth="1"/>
    <col min="2054" max="2054" width="9.140625" style="66" customWidth="1"/>
    <col min="2055" max="2055" width="8.85546875" style="66" customWidth="1"/>
    <col min="2056" max="2057" width="10.7109375" style="66" customWidth="1"/>
    <col min="2058" max="2058" width="10" style="66" customWidth="1"/>
    <col min="2059" max="2059" width="10.42578125" style="66" customWidth="1"/>
    <col min="2060" max="2060" width="8.7109375" style="66" customWidth="1"/>
    <col min="2061" max="2061" width="0" style="66" hidden="1" customWidth="1"/>
    <col min="2062" max="2062" width="10.140625" style="66" bestFit="1" customWidth="1"/>
    <col min="2063" max="2063" width="10.140625" style="66" customWidth="1"/>
    <col min="2064" max="2064" width="0" style="66" hidden="1" customWidth="1"/>
    <col min="2065" max="2065" width="10" style="66" customWidth="1"/>
    <col min="2066" max="2066" width="12.85546875" style="66" customWidth="1"/>
    <col min="2067" max="2305" width="9.140625" style="66"/>
    <col min="2306" max="2306" width="4.140625" style="66" customWidth="1"/>
    <col min="2307" max="2307" width="25.5703125" style="66" customWidth="1"/>
    <col min="2308" max="2308" width="0" style="66" hidden="1" customWidth="1"/>
    <col min="2309" max="2309" width="9.140625" style="66" bestFit="1" customWidth="1"/>
    <col min="2310" max="2310" width="9.140625" style="66" customWidth="1"/>
    <col min="2311" max="2311" width="8.85546875" style="66" customWidth="1"/>
    <col min="2312" max="2313" width="10.7109375" style="66" customWidth="1"/>
    <col min="2314" max="2314" width="10" style="66" customWidth="1"/>
    <col min="2315" max="2315" width="10.42578125" style="66" customWidth="1"/>
    <col min="2316" max="2316" width="8.7109375" style="66" customWidth="1"/>
    <col min="2317" max="2317" width="0" style="66" hidden="1" customWidth="1"/>
    <col min="2318" max="2318" width="10.140625" style="66" bestFit="1" customWidth="1"/>
    <col min="2319" max="2319" width="10.140625" style="66" customWidth="1"/>
    <col min="2320" max="2320" width="0" style="66" hidden="1" customWidth="1"/>
    <col min="2321" max="2321" width="10" style="66" customWidth="1"/>
    <col min="2322" max="2322" width="12.85546875" style="66" customWidth="1"/>
    <col min="2323" max="2561" width="9.140625" style="66"/>
    <col min="2562" max="2562" width="4.140625" style="66" customWidth="1"/>
    <col min="2563" max="2563" width="25.5703125" style="66" customWidth="1"/>
    <col min="2564" max="2564" width="0" style="66" hidden="1" customWidth="1"/>
    <col min="2565" max="2565" width="9.140625" style="66" bestFit="1" customWidth="1"/>
    <col min="2566" max="2566" width="9.140625" style="66" customWidth="1"/>
    <col min="2567" max="2567" width="8.85546875" style="66" customWidth="1"/>
    <col min="2568" max="2569" width="10.7109375" style="66" customWidth="1"/>
    <col min="2570" max="2570" width="10" style="66" customWidth="1"/>
    <col min="2571" max="2571" width="10.42578125" style="66" customWidth="1"/>
    <col min="2572" max="2572" width="8.7109375" style="66" customWidth="1"/>
    <col min="2573" max="2573" width="0" style="66" hidden="1" customWidth="1"/>
    <col min="2574" max="2574" width="10.140625" style="66" bestFit="1" customWidth="1"/>
    <col min="2575" max="2575" width="10.140625" style="66" customWidth="1"/>
    <col min="2576" max="2576" width="0" style="66" hidden="1" customWidth="1"/>
    <col min="2577" max="2577" width="10" style="66" customWidth="1"/>
    <col min="2578" max="2578" width="12.85546875" style="66" customWidth="1"/>
    <col min="2579" max="2817" width="9.140625" style="66"/>
    <col min="2818" max="2818" width="4.140625" style="66" customWidth="1"/>
    <col min="2819" max="2819" width="25.5703125" style="66" customWidth="1"/>
    <col min="2820" max="2820" width="0" style="66" hidden="1" customWidth="1"/>
    <col min="2821" max="2821" width="9.140625" style="66" bestFit="1" customWidth="1"/>
    <col min="2822" max="2822" width="9.140625" style="66" customWidth="1"/>
    <col min="2823" max="2823" width="8.85546875" style="66" customWidth="1"/>
    <col min="2824" max="2825" width="10.7109375" style="66" customWidth="1"/>
    <col min="2826" max="2826" width="10" style="66" customWidth="1"/>
    <col min="2827" max="2827" width="10.42578125" style="66" customWidth="1"/>
    <col min="2828" max="2828" width="8.7109375" style="66" customWidth="1"/>
    <col min="2829" max="2829" width="0" style="66" hidden="1" customWidth="1"/>
    <col min="2830" max="2830" width="10.140625" style="66" bestFit="1" customWidth="1"/>
    <col min="2831" max="2831" width="10.140625" style="66" customWidth="1"/>
    <col min="2832" max="2832" width="0" style="66" hidden="1" customWidth="1"/>
    <col min="2833" max="2833" width="10" style="66" customWidth="1"/>
    <col min="2834" max="2834" width="12.85546875" style="66" customWidth="1"/>
    <col min="2835" max="3073" width="9.140625" style="66"/>
    <col min="3074" max="3074" width="4.140625" style="66" customWidth="1"/>
    <col min="3075" max="3075" width="25.5703125" style="66" customWidth="1"/>
    <col min="3076" max="3076" width="0" style="66" hidden="1" customWidth="1"/>
    <col min="3077" max="3077" width="9.140625" style="66" bestFit="1" customWidth="1"/>
    <col min="3078" max="3078" width="9.140625" style="66" customWidth="1"/>
    <col min="3079" max="3079" width="8.85546875" style="66" customWidth="1"/>
    <col min="3080" max="3081" width="10.7109375" style="66" customWidth="1"/>
    <col min="3082" max="3082" width="10" style="66" customWidth="1"/>
    <col min="3083" max="3083" width="10.42578125" style="66" customWidth="1"/>
    <col min="3084" max="3084" width="8.7109375" style="66" customWidth="1"/>
    <col min="3085" max="3085" width="0" style="66" hidden="1" customWidth="1"/>
    <col min="3086" max="3086" width="10.140625" style="66" bestFit="1" customWidth="1"/>
    <col min="3087" max="3087" width="10.140625" style="66" customWidth="1"/>
    <col min="3088" max="3088" width="0" style="66" hidden="1" customWidth="1"/>
    <col min="3089" max="3089" width="10" style="66" customWidth="1"/>
    <col min="3090" max="3090" width="12.85546875" style="66" customWidth="1"/>
    <col min="3091" max="3329" width="9.140625" style="66"/>
    <col min="3330" max="3330" width="4.140625" style="66" customWidth="1"/>
    <col min="3331" max="3331" width="25.5703125" style="66" customWidth="1"/>
    <col min="3332" max="3332" width="0" style="66" hidden="1" customWidth="1"/>
    <col min="3333" max="3333" width="9.140625" style="66" bestFit="1" customWidth="1"/>
    <col min="3334" max="3334" width="9.140625" style="66" customWidth="1"/>
    <col min="3335" max="3335" width="8.85546875" style="66" customWidth="1"/>
    <col min="3336" max="3337" width="10.7109375" style="66" customWidth="1"/>
    <col min="3338" max="3338" width="10" style="66" customWidth="1"/>
    <col min="3339" max="3339" width="10.42578125" style="66" customWidth="1"/>
    <col min="3340" max="3340" width="8.7109375" style="66" customWidth="1"/>
    <col min="3341" max="3341" width="0" style="66" hidden="1" customWidth="1"/>
    <col min="3342" max="3342" width="10.140625" style="66" bestFit="1" customWidth="1"/>
    <col min="3343" max="3343" width="10.140625" style="66" customWidth="1"/>
    <col min="3344" max="3344" width="0" style="66" hidden="1" customWidth="1"/>
    <col min="3345" max="3345" width="10" style="66" customWidth="1"/>
    <col min="3346" max="3346" width="12.85546875" style="66" customWidth="1"/>
    <col min="3347" max="3585" width="9.140625" style="66"/>
    <col min="3586" max="3586" width="4.140625" style="66" customWidth="1"/>
    <col min="3587" max="3587" width="25.5703125" style="66" customWidth="1"/>
    <col min="3588" max="3588" width="0" style="66" hidden="1" customWidth="1"/>
    <col min="3589" max="3589" width="9.140625" style="66" bestFit="1" customWidth="1"/>
    <col min="3590" max="3590" width="9.140625" style="66" customWidth="1"/>
    <col min="3591" max="3591" width="8.85546875" style="66" customWidth="1"/>
    <col min="3592" max="3593" width="10.7109375" style="66" customWidth="1"/>
    <col min="3594" max="3594" width="10" style="66" customWidth="1"/>
    <col min="3595" max="3595" width="10.42578125" style="66" customWidth="1"/>
    <col min="3596" max="3596" width="8.7109375" style="66" customWidth="1"/>
    <col min="3597" max="3597" width="0" style="66" hidden="1" customWidth="1"/>
    <col min="3598" max="3598" width="10.140625" style="66" bestFit="1" customWidth="1"/>
    <col min="3599" max="3599" width="10.140625" style="66" customWidth="1"/>
    <col min="3600" max="3600" width="0" style="66" hidden="1" customWidth="1"/>
    <col min="3601" max="3601" width="10" style="66" customWidth="1"/>
    <col min="3602" max="3602" width="12.85546875" style="66" customWidth="1"/>
    <col min="3603" max="3841" width="9.140625" style="66"/>
    <col min="3842" max="3842" width="4.140625" style="66" customWidth="1"/>
    <col min="3843" max="3843" width="25.5703125" style="66" customWidth="1"/>
    <col min="3844" max="3844" width="0" style="66" hidden="1" customWidth="1"/>
    <col min="3845" max="3845" width="9.140625" style="66" bestFit="1" customWidth="1"/>
    <col min="3846" max="3846" width="9.140625" style="66" customWidth="1"/>
    <col min="3847" max="3847" width="8.85546875" style="66" customWidth="1"/>
    <col min="3848" max="3849" width="10.7109375" style="66" customWidth="1"/>
    <col min="3850" max="3850" width="10" style="66" customWidth="1"/>
    <col min="3851" max="3851" width="10.42578125" style="66" customWidth="1"/>
    <col min="3852" max="3852" width="8.7109375" style="66" customWidth="1"/>
    <col min="3853" max="3853" width="0" style="66" hidden="1" customWidth="1"/>
    <col min="3854" max="3854" width="10.140625" style="66" bestFit="1" customWidth="1"/>
    <col min="3855" max="3855" width="10.140625" style="66" customWidth="1"/>
    <col min="3856" max="3856" width="0" style="66" hidden="1" customWidth="1"/>
    <col min="3857" max="3857" width="10" style="66" customWidth="1"/>
    <col min="3858" max="3858" width="12.85546875" style="66" customWidth="1"/>
    <col min="3859" max="4097" width="9.140625" style="66"/>
    <col min="4098" max="4098" width="4.140625" style="66" customWidth="1"/>
    <col min="4099" max="4099" width="25.5703125" style="66" customWidth="1"/>
    <col min="4100" max="4100" width="0" style="66" hidden="1" customWidth="1"/>
    <col min="4101" max="4101" width="9.140625" style="66" bestFit="1" customWidth="1"/>
    <col min="4102" max="4102" width="9.140625" style="66" customWidth="1"/>
    <col min="4103" max="4103" width="8.85546875" style="66" customWidth="1"/>
    <col min="4104" max="4105" width="10.7109375" style="66" customWidth="1"/>
    <col min="4106" max="4106" width="10" style="66" customWidth="1"/>
    <col min="4107" max="4107" width="10.42578125" style="66" customWidth="1"/>
    <col min="4108" max="4108" width="8.7109375" style="66" customWidth="1"/>
    <col min="4109" max="4109" width="0" style="66" hidden="1" customWidth="1"/>
    <col min="4110" max="4110" width="10.140625" style="66" bestFit="1" customWidth="1"/>
    <col min="4111" max="4111" width="10.140625" style="66" customWidth="1"/>
    <col min="4112" max="4112" width="0" style="66" hidden="1" customWidth="1"/>
    <col min="4113" max="4113" width="10" style="66" customWidth="1"/>
    <col min="4114" max="4114" width="12.85546875" style="66" customWidth="1"/>
    <col min="4115" max="4353" width="9.140625" style="66"/>
    <col min="4354" max="4354" width="4.140625" style="66" customWidth="1"/>
    <col min="4355" max="4355" width="25.5703125" style="66" customWidth="1"/>
    <col min="4356" max="4356" width="0" style="66" hidden="1" customWidth="1"/>
    <col min="4357" max="4357" width="9.140625" style="66" bestFit="1" customWidth="1"/>
    <col min="4358" max="4358" width="9.140625" style="66" customWidth="1"/>
    <col min="4359" max="4359" width="8.85546875" style="66" customWidth="1"/>
    <col min="4360" max="4361" width="10.7109375" style="66" customWidth="1"/>
    <col min="4362" max="4362" width="10" style="66" customWidth="1"/>
    <col min="4363" max="4363" width="10.42578125" style="66" customWidth="1"/>
    <col min="4364" max="4364" width="8.7109375" style="66" customWidth="1"/>
    <col min="4365" max="4365" width="0" style="66" hidden="1" customWidth="1"/>
    <col min="4366" max="4366" width="10.140625" style="66" bestFit="1" customWidth="1"/>
    <col min="4367" max="4367" width="10.140625" style="66" customWidth="1"/>
    <col min="4368" max="4368" width="0" style="66" hidden="1" customWidth="1"/>
    <col min="4369" max="4369" width="10" style="66" customWidth="1"/>
    <col min="4370" max="4370" width="12.85546875" style="66" customWidth="1"/>
    <col min="4371" max="4609" width="9.140625" style="66"/>
    <col min="4610" max="4610" width="4.140625" style="66" customWidth="1"/>
    <col min="4611" max="4611" width="25.5703125" style="66" customWidth="1"/>
    <col min="4612" max="4612" width="0" style="66" hidden="1" customWidth="1"/>
    <col min="4613" max="4613" width="9.140625" style="66" bestFit="1" customWidth="1"/>
    <col min="4614" max="4614" width="9.140625" style="66" customWidth="1"/>
    <col min="4615" max="4615" width="8.85546875" style="66" customWidth="1"/>
    <col min="4616" max="4617" width="10.7109375" style="66" customWidth="1"/>
    <col min="4618" max="4618" width="10" style="66" customWidth="1"/>
    <col min="4619" max="4619" width="10.42578125" style="66" customWidth="1"/>
    <col min="4620" max="4620" width="8.7109375" style="66" customWidth="1"/>
    <col min="4621" max="4621" width="0" style="66" hidden="1" customWidth="1"/>
    <col min="4622" max="4622" width="10.140625" style="66" bestFit="1" customWidth="1"/>
    <col min="4623" max="4623" width="10.140625" style="66" customWidth="1"/>
    <col min="4624" max="4624" width="0" style="66" hidden="1" customWidth="1"/>
    <col min="4625" max="4625" width="10" style="66" customWidth="1"/>
    <col min="4626" max="4626" width="12.85546875" style="66" customWidth="1"/>
    <col min="4627" max="4865" width="9.140625" style="66"/>
    <col min="4866" max="4866" width="4.140625" style="66" customWidth="1"/>
    <col min="4867" max="4867" width="25.5703125" style="66" customWidth="1"/>
    <col min="4868" max="4868" width="0" style="66" hidden="1" customWidth="1"/>
    <col min="4869" max="4869" width="9.140625" style="66" bestFit="1" customWidth="1"/>
    <col min="4870" max="4870" width="9.140625" style="66" customWidth="1"/>
    <col min="4871" max="4871" width="8.85546875" style="66" customWidth="1"/>
    <col min="4872" max="4873" width="10.7109375" style="66" customWidth="1"/>
    <col min="4874" max="4874" width="10" style="66" customWidth="1"/>
    <col min="4875" max="4875" width="10.42578125" style="66" customWidth="1"/>
    <col min="4876" max="4876" width="8.7109375" style="66" customWidth="1"/>
    <col min="4877" max="4877" width="0" style="66" hidden="1" customWidth="1"/>
    <col min="4878" max="4878" width="10.140625" style="66" bestFit="1" customWidth="1"/>
    <col min="4879" max="4879" width="10.140625" style="66" customWidth="1"/>
    <col min="4880" max="4880" width="0" style="66" hidden="1" customWidth="1"/>
    <col min="4881" max="4881" width="10" style="66" customWidth="1"/>
    <col min="4882" max="4882" width="12.85546875" style="66" customWidth="1"/>
    <col min="4883" max="5121" width="9.140625" style="66"/>
    <col min="5122" max="5122" width="4.140625" style="66" customWidth="1"/>
    <col min="5123" max="5123" width="25.5703125" style="66" customWidth="1"/>
    <col min="5124" max="5124" width="0" style="66" hidden="1" customWidth="1"/>
    <col min="5125" max="5125" width="9.140625" style="66" bestFit="1" customWidth="1"/>
    <col min="5126" max="5126" width="9.140625" style="66" customWidth="1"/>
    <col min="5127" max="5127" width="8.85546875" style="66" customWidth="1"/>
    <col min="5128" max="5129" width="10.7109375" style="66" customWidth="1"/>
    <col min="5130" max="5130" width="10" style="66" customWidth="1"/>
    <col min="5131" max="5131" width="10.42578125" style="66" customWidth="1"/>
    <col min="5132" max="5132" width="8.7109375" style="66" customWidth="1"/>
    <col min="5133" max="5133" width="0" style="66" hidden="1" customWidth="1"/>
    <col min="5134" max="5134" width="10.140625" style="66" bestFit="1" customWidth="1"/>
    <col min="5135" max="5135" width="10.140625" style="66" customWidth="1"/>
    <col min="5136" max="5136" width="0" style="66" hidden="1" customWidth="1"/>
    <col min="5137" max="5137" width="10" style="66" customWidth="1"/>
    <col min="5138" max="5138" width="12.85546875" style="66" customWidth="1"/>
    <col min="5139" max="5377" width="9.140625" style="66"/>
    <col min="5378" max="5378" width="4.140625" style="66" customWidth="1"/>
    <col min="5379" max="5379" width="25.5703125" style="66" customWidth="1"/>
    <col min="5380" max="5380" width="0" style="66" hidden="1" customWidth="1"/>
    <col min="5381" max="5381" width="9.140625" style="66" bestFit="1" customWidth="1"/>
    <col min="5382" max="5382" width="9.140625" style="66" customWidth="1"/>
    <col min="5383" max="5383" width="8.85546875" style="66" customWidth="1"/>
    <col min="5384" max="5385" width="10.7109375" style="66" customWidth="1"/>
    <col min="5386" max="5386" width="10" style="66" customWidth="1"/>
    <col min="5387" max="5387" width="10.42578125" style="66" customWidth="1"/>
    <col min="5388" max="5388" width="8.7109375" style="66" customWidth="1"/>
    <col min="5389" max="5389" width="0" style="66" hidden="1" customWidth="1"/>
    <col min="5390" max="5390" width="10.140625" style="66" bestFit="1" customWidth="1"/>
    <col min="5391" max="5391" width="10.140625" style="66" customWidth="1"/>
    <col min="5392" max="5392" width="0" style="66" hidden="1" customWidth="1"/>
    <col min="5393" max="5393" width="10" style="66" customWidth="1"/>
    <col min="5394" max="5394" width="12.85546875" style="66" customWidth="1"/>
    <col min="5395" max="5633" width="9.140625" style="66"/>
    <col min="5634" max="5634" width="4.140625" style="66" customWidth="1"/>
    <col min="5635" max="5635" width="25.5703125" style="66" customWidth="1"/>
    <col min="5636" max="5636" width="0" style="66" hidden="1" customWidth="1"/>
    <col min="5637" max="5637" width="9.140625" style="66" bestFit="1" customWidth="1"/>
    <col min="5638" max="5638" width="9.140625" style="66" customWidth="1"/>
    <col min="5639" max="5639" width="8.85546875" style="66" customWidth="1"/>
    <col min="5640" max="5641" width="10.7109375" style="66" customWidth="1"/>
    <col min="5642" max="5642" width="10" style="66" customWidth="1"/>
    <col min="5643" max="5643" width="10.42578125" style="66" customWidth="1"/>
    <col min="5644" max="5644" width="8.7109375" style="66" customWidth="1"/>
    <col min="5645" max="5645" width="0" style="66" hidden="1" customWidth="1"/>
    <col min="5646" max="5646" width="10.140625" style="66" bestFit="1" customWidth="1"/>
    <col min="5647" max="5647" width="10.140625" style="66" customWidth="1"/>
    <col min="5648" max="5648" width="0" style="66" hidden="1" customWidth="1"/>
    <col min="5649" max="5649" width="10" style="66" customWidth="1"/>
    <col min="5650" max="5650" width="12.85546875" style="66" customWidth="1"/>
    <col min="5651" max="5889" width="9.140625" style="66"/>
    <col min="5890" max="5890" width="4.140625" style="66" customWidth="1"/>
    <col min="5891" max="5891" width="25.5703125" style="66" customWidth="1"/>
    <col min="5892" max="5892" width="0" style="66" hidden="1" customWidth="1"/>
    <col min="5893" max="5893" width="9.140625" style="66" bestFit="1" customWidth="1"/>
    <col min="5894" max="5894" width="9.140625" style="66" customWidth="1"/>
    <col min="5895" max="5895" width="8.85546875" style="66" customWidth="1"/>
    <col min="5896" max="5897" width="10.7109375" style="66" customWidth="1"/>
    <col min="5898" max="5898" width="10" style="66" customWidth="1"/>
    <col min="5899" max="5899" width="10.42578125" style="66" customWidth="1"/>
    <col min="5900" max="5900" width="8.7109375" style="66" customWidth="1"/>
    <col min="5901" max="5901" width="0" style="66" hidden="1" customWidth="1"/>
    <col min="5902" max="5902" width="10.140625" style="66" bestFit="1" customWidth="1"/>
    <col min="5903" max="5903" width="10.140625" style="66" customWidth="1"/>
    <col min="5904" max="5904" width="0" style="66" hidden="1" customWidth="1"/>
    <col min="5905" max="5905" width="10" style="66" customWidth="1"/>
    <col min="5906" max="5906" width="12.85546875" style="66" customWidth="1"/>
    <col min="5907" max="6145" width="9.140625" style="66"/>
    <col min="6146" max="6146" width="4.140625" style="66" customWidth="1"/>
    <col min="6147" max="6147" width="25.5703125" style="66" customWidth="1"/>
    <col min="6148" max="6148" width="0" style="66" hidden="1" customWidth="1"/>
    <col min="6149" max="6149" width="9.140625" style="66" bestFit="1" customWidth="1"/>
    <col min="6150" max="6150" width="9.140625" style="66" customWidth="1"/>
    <col min="6151" max="6151" width="8.85546875" style="66" customWidth="1"/>
    <col min="6152" max="6153" width="10.7109375" style="66" customWidth="1"/>
    <col min="6154" max="6154" width="10" style="66" customWidth="1"/>
    <col min="6155" max="6155" width="10.42578125" style="66" customWidth="1"/>
    <col min="6156" max="6156" width="8.7109375" style="66" customWidth="1"/>
    <col min="6157" max="6157" width="0" style="66" hidden="1" customWidth="1"/>
    <col min="6158" max="6158" width="10.140625" style="66" bestFit="1" customWidth="1"/>
    <col min="6159" max="6159" width="10.140625" style="66" customWidth="1"/>
    <col min="6160" max="6160" width="0" style="66" hidden="1" customWidth="1"/>
    <col min="6161" max="6161" width="10" style="66" customWidth="1"/>
    <col min="6162" max="6162" width="12.85546875" style="66" customWidth="1"/>
    <col min="6163" max="6401" width="9.140625" style="66"/>
    <col min="6402" max="6402" width="4.140625" style="66" customWidth="1"/>
    <col min="6403" max="6403" width="25.5703125" style="66" customWidth="1"/>
    <col min="6404" max="6404" width="0" style="66" hidden="1" customWidth="1"/>
    <col min="6405" max="6405" width="9.140625" style="66" bestFit="1" customWidth="1"/>
    <col min="6406" max="6406" width="9.140625" style="66" customWidth="1"/>
    <col min="6407" max="6407" width="8.85546875" style="66" customWidth="1"/>
    <col min="6408" max="6409" width="10.7109375" style="66" customWidth="1"/>
    <col min="6410" max="6410" width="10" style="66" customWidth="1"/>
    <col min="6411" max="6411" width="10.42578125" style="66" customWidth="1"/>
    <col min="6412" max="6412" width="8.7109375" style="66" customWidth="1"/>
    <col min="6413" max="6413" width="0" style="66" hidden="1" customWidth="1"/>
    <col min="6414" max="6414" width="10.140625" style="66" bestFit="1" customWidth="1"/>
    <col min="6415" max="6415" width="10.140625" style="66" customWidth="1"/>
    <col min="6416" max="6416" width="0" style="66" hidden="1" customWidth="1"/>
    <col min="6417" max="6417" width="10" style="66" customWidth="1"/>
    <col min="6418" max="6418" width="12.85546875" style="66" customWidth="1"/>
    <col min="6419" max="6657" width="9.140625" style="66"/>
    <col min="6658" max="6658" width="4.140625" style="66" customWidth="1"/>
    <col min="6659" max="6659" width="25.5703125" style="66" customWidth="1"/>
    <col min="6660" max="6660" width="0" style="66" hidden="1" customWidth="1"/>
    <col min="6661" max="6661" width="9.140625" style="66" bestFit="1" customWidth="1"/>
    <col min="6662" max="6662" width="9.140625" style="66" customWidth="1"/>
    <col min="6663" max="6663" width="8.85546875" style="66" customWidth="1"/>
    <col min="6664" max="6665" width="10.7109375" style="66" customWidth="1"/>
    <col min="6666" max="6666" width="10" style="66" customWidth="1"/>
    <col min="6667" max="6667" width="10.42578125" style="66" customWidth="1"/>
    <col min="6668" max="6668" width="8.7109375" style="66" customWidth="1"/>
    <col min="6669" max="6669" width="0" style="66" hidden="1" customWidth="1"/>
    <col min="6670" max="6670" width="10.140625" style="66" bestFit="1" customWidth="1"/>
    <col min="6671" max="6671" width="10.140625" style="66" customWidth="1"/>
    <col min="6672" max="6672" width="0" style="66" hidden="1" customWidth="1"/>
    <col min="6673" max="6673" width="10" style="66" customWidth="1"/>
    <col min="6674" max="6674" width="12.85546875" style="66" customWidth="1"/>
    <col min="6675" max="6913" width="9.140625" style="66"/>
    <col min="6914" max="6914" width="4.140625" style="66" customWidth="1"/>
    <col min="6915" max="6915" width="25.5703125" style="66" customWidth="1"/>
    <col min="6916" max="6916" width="0" style="66" hidden="1" customWidth="1"/>
    <col min="6917" max="6917" width="9.140625" style="66" bestFit="1" customWidth="1"/>
    <col min="6918" max="6918" width="9.140625" style="66" customWidth="1"/>
    <col min="6919" max="6919" width="8.85546875" style="66" customWidth="1"/>
    <col min="6920" max="6921" width="10.7109375" style="66" customWidth="1"/>
    <col min="6922" max="6922" width="10" style="66" customWidth="1"/>
    <col min="6923" max="6923" width="10.42578125" style="66" customWidth="1"/>
    <col min="6924" max="6924" width="8.7109375" style="66" customWidth="1"/>
    <col min="6925" max="6925" width="0" style="66" hidden="1" customWidth="1"/>
    <col min="6926" max="6926" width="10.140625" style="66" bestFit="1" customWidth="1"/>
    <col min="6927" max="6927" width="10.140625" style="66" customWidth="1"/>
    <col min="6928" max="6928" width="0" style="66" hidden="1" customWidth="1"/>
    <col min="6929" max="6929" width="10" style="66" customWidth="1"/>
    <col min="6930" max="6930" width="12.85546875" style="66" customWidth="1"/>
    <col min="6931" max="7169" width="9.140625" style="66"/>
    <col min="7170" max="7170" width="4.140625" style="66" customWidth="1"/>
    <col min="7171" max="7171" width="25.5703125" style="66" customWidth="1"/>
    <col min="7172" max="7172" width="0" style="66" hidden="1" customWidth="1"/>
    <col min="7173" max="7173" width="9.140625" style="66" bestFit="1" customWidth="1"/>
    <col min="7174" max="7174" width="9.140625" style="66" customWidth="1"/>
    <col min="7175" max="7175" width="8.85546875" style="66" customWidth="1"/>
    <col min="7176" max="7177" width="10.7109375" style="66" customWidth="1"/>
    <col min="7178" max="7178" width="10" style="66" customWidth="1"/>
    <col min="7179" max="7179" width="10.42578125" style="66" customWidth="1"/>
    <col min="7180" max="7180" width="8.7109375" style="66" customWidth="1"/>
    <col min="7181" max="7181" width="0" style="66" hidden="1" customWidth="1"/>
    <col min="7182" max="7182" width="10.140625" style="66" bestFit="1" customWidth="1"/>
    <col min="7183" max="7183" width="10.140625" style="66" customWidth="1"/>
    <col min="7184" max="7184" width="0" style="66" hidden="1" customWidth="1"/>
    <col min="7185" max="7185" width="10" style="66" customWidth="1"/>
    <col min="7186" max="7186" width="12.85546875" style="66" customWidth="1"/>
    <col min="7187" max="7425" width="9.140625" style="66"/>
    <col min="7426" max="7426" width="4.140625" style="66" customWidth="1"/>
    <col min="7427" max="7427" width="25.5703125" style="66" customWidth="1"/>
    <col min="7428" max="7428" width="0" style="66" hidden="1" customWidth="1"/>
    <col min="7429" max="7429" width="9.140625" style="66" bestFit="1" customWidth="1"/>
    <col min="7430" max="7430" width="9.140625" style="66" customWidth="1"/>
    <col min="7431" max="7431" width="8.85546875" style="66" customWidth="1"/>
    <col min="7432" max="7433" width="10.7109375" style="66" customWidth="1"/>
    <col min="7434" max="7434" width="10" style="66" customWidth="1"/>
    <col min="7435" max="7435" width="10.42578125" style="66" customWidth="1"/>
    <col min="7436" max="7436" width="8.7109375" style="66" customWidth="1"/>
    <col min="7437" max="7437" width="0" style="66" hidden="1" customWidth="1"/>
    <col min="7438" max="7438" width="10.140625" style="66" bestFit="1" customWidth="1"/>
    <col min="7439" max="7439" width="10.140625" style="66" customWidth="1"/>
    <col min="7440" max="7440" width="0" style="66" hidden="1" customWidth="1"/>
    <col min="7441" max="7441" width="10" style="66" customWidth="1"/>
    <col min="7442" max="7442" width="12.85546875" style="66" customWidth="1"/>
    <col min="7443" max="7681" width="9.140625" style="66"/>
    <col min="7682" max="7682" width="4.140625" style="66" customWidth="1"/>
    <col min="7683" max="7683" width="25.5703125" style="66" customWidth="1"/>
    <col min="7684" max="7684" width="0" style="66" hidden="1" customWidth="1"/>
    <col min="7685" max="7685" width="9.140625" style="66" bestFit="1" customWidth="1"/>
    <col min="7686" max="7686" width="9.140625" style="66" customWidth="1"/>
    <col min="7687" max="7687" width="8.85546875" style="66" customWidth="1"/>
    <col min="7688" max="7689" width="10.7109375" style="66" customWidth="1"/>
    <col min="7690" max="7690" width="10" style="66" customWidth="1"/>
    <col min="7691" max="7691" width="10.42578125" style="66" customWidth="1"/>
    <col min="7692" max="7692" width="8.7109375" style="66" customWidth="1"/>
    <col min="7693" max="7693" width="0" style="66" hidden="1" customWidth="1"/>
    <col min="7694" max="7694" width="10.140625" style="66" bestFit="1" customWidth="1"/>
    <col min="7695" max="7695" width="10.140625" style="66" customWidth="1"/>
    <col min="7696" max="7696" width="0" style="66" hidden="1" customWidth="1"/>
    <col min="7697" max="7697" width="10" style="66" customWidth="1"/>
    <col min="7698" max="7698" width="12.85546875" style="66" customWidth="1"/>
    <col min="7699" max="7937" width="9.140625" style="66"/>
    <col min="7938" max="7938" width="4.140625" style="66" customWidth="1"/>
    <col min="7939" max="7939" width="25.5703125" style="66" customWidth="1"/>
    <col min="7940" max="7940" width="0" style="66" hidden="1" customWidth="1"/>
    <col min="7941" max="7941" width="9.140625" style="66" bestFit="1" customWidth="1"/>
    <col min="7942" max="7942" width="9.140625" style="66" customWidth="1"/>
    <col min="7943" max="7943" width="8.85546875" style="66" customWidth="1"/>
    <col min="7944" max="7945" width="10.7109375" style="66" customWidth="1"/>
    <col min="7946" max="7946" width="10" style="66" customWidth="1"/>
    <col min="7947" max="7947" width="10.42578125" style="66" customWidth="1"/>
    <col min="7948" max="7948" width="8.7109375" style="66" customWidth="1"/>
    <col min="7949" max="7949" width="0" style="66" hidden="1" customWidth="1"/>
    <col min="7950" max="7950" width="10.140625" style="66" bestFit="1" customWidth="1"/>
    <col min="7951" max="7951" width="10.140625" style="66" customWidth="1"/>
    <col min="7952" max="7952" width="0" style="66" hidden="1" customWidth="1"/>
    <col min="7953" max="7953" width="10" style="66" customWidth="1"/>
    <col min="7954" max="7954" width="12.85546875" style="66" customWidth="1"/>
    <col min="7955" max="8193" width="9.140625" style="66"/>
    <col min="8194" max="8194" width="4.140625" style="66" customWidth="1"/>
    <col min="8195" max="8195" width="25.5703125" style="66" customWidth="1"/>
    <col min="8196" max="8196" width="0" style="66" hidden="1" customWidth="1"/>
    <col min="8197" max="8197" width="9.140625" style="66" bestFit="1" customWidth="1"/>
    <col min="8198" max="8198" width="9.140625" style="66" customWidth="1"/>
    <col min="8199" max="8199" width="8.85546875" style="66" customWidth="1"/>
    <col min="8200" max="8201" width="10.7109375" style="66" customWidth="1"/>
    <col min="8202" max="8202" width="10" style="66" customWidth="1"/>
    <col min="8203" max="8203" width="10.42578125" style="66" customWidth="1"/>
    <col min="8204" max="8204" width="8.7109375" style="66" customWidth="1"/>
    <col min="8205" max="8205" width="0" style="66" hidden="1" customWidth="1"/>
    <col min="8206" max="8206" width="10.140625" style="66" bestFit="1" customWidth="1"/>
    <col min="8207" max="8207" width="10.140625" style="66" customWidth="1"/>
    <col min="8208" max="8208" width="0" style="66" hidden="1" customWidth="1"/>
    <col min="8209" max="8209" width="10" style="66" customWidth="1"/>
    <col min="8210" max="8210" width="12.85546875" style="66" customWidth="1"/>
    <col min="8211" max="8449" width="9.140625" style="66"/>
    <col min="8450" max="8450" width="4.140625" style="66" customWidth="1"/>
    <col min="8451" max="8451" width="25.5703125" style="66" customWidth="1"/>
    <col min="8452" max="8452" width="0" style="66" hidden="1" customWidth="1"/>
    <col min="8453" max="8453" width="9.140625" style="66" bestFit="1" customWidth="1"/>
    <col min="8454" max="8454" width="9.140625" style="66" customWidth="1"/>
    <col min="8455" max="8455" width="8.85546875" style="66" customWidth="1"/>
    <col min="8456" max="8457" width="10.7109375" style="66" customWidth="1"/>
    <col min="8458" max="8458" width="10" style="66" customWidth="1"/>
    <col min="8459" max="8459" width="10.42578125" style="66" customWidth="1"/>
    <col min="8460" max="8460" width="8.7109375" style="66" customWidth="1"/>
    <col min="8461" max="8461" width="0" style="66" hidden="1" customWidth="1"/>
    <col min="8462" max="8462" width="10.140625" style="66" bestFit="1" customWidth="1"/>
    <col min="8463" max="8463" width="10.140625" style="66" customWidth="1"/>
    <col min="8464" max="8464" width="0" style="66" hidden="1" customWidth="1"/>
    <col min="8465" max="8465" width="10" style="66" customWidth="1"/>
    <col min="8466" max="8466" width="12.85546875" style="66" customWidth="1"/>
    <col min="8467" max="8705" width="9.140625" style="66"/>
    <col min="8706" max="8706" width="4.140625" style="66" customWidth="1"/>
    <col min="8707" max="8707" width="25.5703125" style="66" customWidth="1"/>
    <col min="8708" max="8708" width="0" style="66" hidden="1" customWidth="1"/>
    <col min="8709" max="8709" width="9.140625" style="66" bestFit="1" customWidth="1"/>
    <col min="8710" max="8710" width="9.140625" style="66" customWidth="1"/>
    <col min="8711" max="8711" width="8.85546875" style="66" customWidth="1"/>
    <col min="8712" max="8713" width="10.7109375" style="66" customWidth="1"/>
    <col min="8714" max="8714" width="10" style="66" customWidth="1"/>
    <col min="8715" max="8715" width="10.42578125" style="66" customWidth="1"/>
    <col min="8716" max="8716" width="8.7109375" style="66" customWidth="1"/>
    <col min="8717" max="8717" width="0" style="66" hidden="1" customWidth="1"/>
    <col min="8718" max="8718" width="10.140625" style="66" bestFit="1" customWidth="1"/>
    <col min="8719" max="8719" width="10.140625" style="66" customWidth="1"/>
    <col min="8720" max="8720" width="0" style="66" hidden="1" customWidth="1"/>
    <col min="8721" max="8721" width="10" style="66" customWidth="1"/>
    <col min="8722" max="8722" width="12.85546875" style="66" customWidth="1"/>
    <col min="8723" max="8961" width="9.140625" style="66"/>
    <col min="8962" max="8962" width="4.140625" style="66" customWidth="1"/>
    <col min="8963" max="8963" width="25.5703125" style="66" customWidth="1"/>
    <col min="8964" max="8964" width="0" style="66" hidden="1" customWidth="1"/>
    <col min="8965" max="8965" width="9.140625" style="66" bestFit="1" customWidth="1"/>
    <col min="8966" max="8966" width="9.140625" style="66" customWidth="1"/>
    <col min="8967" max="8967" width="8.85546875" style="66" customWidth="1"/>
    <col min="8968" max="8969" width="10.7109375" style="66" customWidth="1"/>
    <col min="8970" max="8970" width="10" style="66" customWidth="1"/>
    <col min="8971" max="8971" width="10.42578125" style="66" customWidth="1"/>
    <col min="8972" max="8972" width="8.7109375" style="66" customWidth="1"/>
    <col min="8973" max="8973" width="0" style="66" hidden="1" customWidth="1"/>
    <col min="8974" max="8974" width="10.140625" style="66" bestFit="1" customWidth="1"/>
    <col min="8975" max="8975" width="10.140625" style="66" customWidth="1"/>
    <col min="8976" max="8976" width="0" style="66" hidden="1" customWidth="1"/>
    <col min="8977" max="8977" width="10" style="66" customWidth="1"/>
    <col min="8978" max="8978" width="12.85546875" style="66" customWidth="1"/>
    <col min="8979" max="9217" width="9.140625" style="66"/>
    <col min="9218" max="9218" width="4.140625" style="66" customWidth="1"/>
    <col min="9219" max="9219" width="25.5703125" style="66" customWidth="1"/>
    <col min="9220" max="9220" width="0" style="66" hidden="1" customWidth="1"/>
    <col min="9221" max="9221" width="9.140625" style="66" bestFit="1" customWidth="1"/>
    <col min="9222" max="9222" width="9.140625" style="66" customWidth="1"/>
    <col min="9223" max="9223" width="8.85546875" style="66" customWidth="1"/>
    <col min="9224" max="9225" width="10.7109375" style="66" customWidth="1"/>
    <col min="9226" max="9226" width="10" style="66" customWidth="1"/>
    <col min="9227" max="9227" width="10.42578125" style="66" customWidth="1"/>
    <col min="9228" max="9228" width="8.7109375" style="66" customWidth="1"/>
    <col min="9229" max="9229" width="0" style="66" hidden="1" customWidth="1"/>
    <col min="9230" max="9230" width="10.140625" style="66" bestFit="1" customWidth="1"/>
    <col min="9231" max="9231" width="10.140625" style="66" customWidth="1"/>
    <col min="9232" max="9232" width="0" style="66" hidden="1" customWidth="1"/>
    <col min="9233" max="9233" width="10" style="66" customWidth="1"/>
    <col min="9234" max="9234" width="12.85546875" style="66" customWidth="1"/>
    <col min="9235" max="9473" width="9.140625" style="66"/>
    <col min="9474" max="9474" width="4.140625" style="66" customWidth="1"/>
    <col min="9475" max="9475" width="25.5703125" style="66" customWidth="1"/>
    <col min="9476" max="9476" width="0" style="66" hidden="1" customWidth="1"/>
    <col min="9477" max="9477" width="9.140625" style="66" bestFit="1" customWidth="1"/>
    <col min="9478" max="9478" width="9.140625" style="66" customWidth="1"/>
    <col min="9479" max="9479" width="8.85546875" style="66" customWidth="1"/>
    <col min="9480" max="9481" width="10.7109375" style="66" customWidth="1"/>
    <col min="9482" max="9482" width="10" style="66" customWidth="1"/>
    <col min="9483" max="9483" width="10.42578125" style="66" customWidth="1"/>
    <col min="9484" max="9484" width="8.7109375" style="66" customWidth="1"/>
    <col min="9485" max="9485" width="0" style="66" hidden="1" customWidth="1"/>
    <col min="9486" max="9486" width="10.140625" style="66" bestFit="1" customWidth="1"/>
    <col min="9487" max="9487" width="10.140625" style="66" customWidth="1"/>
    <col min="9488" max="9488" width="0" style="66" hidden="1" customWidth="1"/>
    <col min="9489" max="9489" width="10" style="66" customWidth="1"/>
    <col min="9490" max="9490" width="12.85546875" style="66" customWidth="1"/>
    <col min="9491" max="9729" width="9.140625" style="66"/>
    <col min="9730" max="9730" width="4.140625" style="66" customWidth="1"/>
    <col min="9731" max="9731" width="25.5703125" style="66" customWidth="1"/>
    <col min="9732" max="9732" width="0" style="66" hidden="1" customWidth="1"/>
    <col min="9733" max="9733" width="9.140625" style="66" bestFit="1" customWidth="1"/>
    <col min="9734" max="9734" width="9.140625" style="66" customWidth="1"/>
    <col min="9735" max="9735" width="8.85546875" style="66" customWidth="1"/>
    <col min="9736" max="9737" width="10.7109375" style="66" customWidth="1"/>
    <col min="9738" max="9738" width="10" style="66" customWidth="1"/>
    <col min="9739" max="9739" width="10.42578125" style="66" customWidth="1"/>
    <col min="9740" max="9740" width="8.7109375" style="66" customWidth="1"/>
    <col min="9741" max="9741" width="0" style="66" hidden="1" customWidth="1"/>
    <col min="9742" max="9742" width="10.140625" style="66" bestFit="1" customWidth="1"/>
    <col min="9743" max="9743" width="10.140625" style="66" customWidth="1"/>
    <col min="9744" max="9744" width="0" style="66" hidden="1" customWidth="1"/>
    <col min="9745" max="9745" width="10" style="66" customWidth="1"/>
    <col min="9746" max="9746" width="12.85546875" style="66" customWidth="1"/>
    <col min="9747" max="9985" width="9.140625" style="66"/>
    <col min="9986" max="9986" width="4.140625" style="66" customWidth="1"/>
    <col min="9987" max="9987" width="25.5703125" style="66" customWidth="1"/>
    <col min="9988" max="9988" width="0" style="66" hidden="1" customWidth="1"/>
    <col min="9989" max="9989" width="9.140625" style="66" bestFit="1" customWidth="1"/>
    <col min="9990" max="9990" width="9.140625" style="66" customWidth="1"/>
    <col min="9991" max="9991" width="8.85546875" style="66" customWidth="1"/>
    <col min="9992" max="9993" width="10.7109375" style="66" customWidth="1"/>
    <col min="9994" max="9994" width="10" style="66" customWidth="1"/>
    <col min="9995" max="9995" width="10.42578125" style="66" customWidth="1"/>
    <col min="9996" max="9996" width="8.7109375" style="66" customWidth="1"/>
    <col min="9997" max="9997" width="0" style="66" hidden="1" customWidth="1"/>
    <col min="9998" max="9998" width="10.140625" style="66" bestFit="1" customWidth="1"/>
    <col min="9999" max="9999" width="10.140625" style="66" customWidth="1"/>
    <col min="10000" max="10000" width="0" style="66" hidden="1" customWidth="1"/>
    <col min="10001" max="10001" width="10" style="66" customWidth="1"/>
    <col min="10002" max="10002" width="12.85546875" style="66" customWidth="1"/>
    <col min="10003" max="10241" width="9.140625" style="66"/>
    <col min="10242" max="10242" width="4.140625" style="66" customWidth="1"/>
    <col min="10243" max="10243" width="25.5703125" style="66" customWidth="1"/>
    <col min="10244" max="10244" width="0" style="66" hidden="1" customWidth="1"/>
    <col min="10245" max="10245" width="9.140625" style="66" bestFit="1" customWidth="1"/>
    <col min="10246" max="10246" width="9.140625" style="66" customWidth="1"/>
    <col min="10247" max="10247" width="8.85546875" style="66" customWidth="1"/>
    <col min="10248" max="10249" width="10.7109375" style="66" customWidth="1"/>
    <col min="10250" max="10250" width="10" style="66" customWidth="1"/>
    <col min="10251" max="10251" width="10.42578125" style="66" customWidth="1"/>
    <col min="10252" max="10252" width="8.7109375" style="66" customWidth="1"/>
    <col min="10253" max="10253" width="0" style="66" hidden="1" customWidth="1"/>
    <col min="10254" max="10254" width="10.140625" style="66" bestFit="1" customWidth="1"/>
    <col min="10255" max="10255" width="10.140625" style="66" customWidth="1"/>
    <col min="10256" max="10256" width="0" style="66" hidden="1" customWidth="1"/>
    <col min="10257" max="10257" width="10" style="66" customWidth="1"/>
    <col min="10258" max="10258" width="12.85546875" style="66" customWidth="1"/>
    <col min="10259" max="10497" width="9.140625" style="66"/>
    <col min="10498" max="10498" width="4.140625" style="66" customWidth="1"/>
    <col min="10499" max="10499" width="25.5703125" style="66" customWidth="1"/>
    <col min="10500" max="10500" width="0" style="66" hidden="1" customWidth="1"/>
    <col min="10501" max="10501" width="9.140625" style="66" bestFit="1" customWidth="1"/>
    <col min="10502" max="10502" width="9.140625" style="66" customWidth="1"/>
    <col min="10503" max="10503" width="8.85546875" style="66" customWidth="1"/>
    <col min="10504" max="10505" width="10.7109375" style="66" customWidth="1"/>
    <col min="10506" max="10506" width="10" style="66" customWidth="1"/>
    <col min="10507" max="10507" width="10.42578125" style="66" customWidth="1"/>
    <col min="10508" max="10508" width="8.7109375" style="66" customWidth="1"/>
    <col min="10509" max="10509" width="0" style="66" hidden="1" customWidth="1"/>
    <col min="10510" max="10510" width="10.140625" style="66" bestFit="1" customWidth="1"/>
    <col min="10511" max="10511" width="10.140625" style="66" customWidth="1"/>
    <col min="10512" max="10512" width="0" style="66" hidden="1" customWidth="1"/>
    <col min="10513" max="10513" width="10" style="66" customWidth="1"/>
    <col min="10514" max="10514" width="12.85546875" style="66" customWidth="1"/>
    <col min="10515" max="10753" width="9.140625" style="66"/>
    <col min="10754" max="10754" width="4.140625" style="66" customWidth="1"/>
    <col min="10755" max="10755" width="25.5703125" style="66" customWidth="1"/>
    <col min="10756" max="10756" width="0" style="66" hidden="1" customWidth="1"/>
    <col min="10757" max="10757" width="9.140625" style="66" bestFit="1" customWidth="1"/>
    <col min="10758" max="10758" width="9.140625" style="66" customWidth="1"/>
    <col min="10759" max="10759" width="8.85546875" style="66" customWidth="1"/>
    <col min="10760" max="10761" width="10.7109375" style="66" customWidth="1"/>
    <col min="10762" max="10762" width="10" style="66" customWidth="1"/>
    <col min="10763" max="10763" width="10.42578125" style="66" customWidth="1"/>
    <col min="10764" max="10764" width="8.7109375" style="66" customWidth="1"/>
    <col min="10765" max="10765" width="0" style="66" hidden="1" customWidth="1"/>
    <col min="10766" max="10766" width="10.140625" style="66" bestFit="1" customWidth="1"/>
    <col min="10767" max="10767" width="10.140625" style="66" customWidth="1"/>
    <col min="10768" max="10768" width="0" style="66" hidden="1" customWidth="1"/>
    <col min="10769" max="10769" width="10" style="66" customWidth="1"/>
    <col min="10770" max="10770" width="12.85546875" style="66" customWidth="1"/>
    <col min="10771" max="11009" width="9.140625" style="66"/>
    <col min="11010" max="11010" width="4.140625" style="66" customWidth="1"/>
    <col min="11011" max="11011" width="25.5703125" style="66" customWidth="1"/>
    <col min="11012" max="11012" width="0" style="66" hidden="1" customWidth="1"/>
    <col min="11013" max="11013" width="9.140625" style="66" bestFit="1" customWidth="1"/>
    <col min="11014" max="11014" width="9.140625" style="66" customWidth="1"/>
    <col min="11015" max="11015" width="8.85546875" style="66" customWidth="1"/>
    <col min="11016" max="11017" width="10.7109375" style="66" customWidth="1"/>
    <col min="11018" max="11018" width="10" style="66" customWidth="1"/>
    <col min="11019" max="11019" width="10.42578125" style="66" customWidth="1"/>
    <col min="11020" max="11020" width="8.7109375" style="66" customWidth="1"/>
    <col min="11021" max="11021" width="0" style="66" hidden="1" customWidth="1"/>
    <col min="11022" max="11022" width="10.140625" style="66" bestFit="1" customWidth="1"/>
    <col min="11023" max="11023" width="10.140625" style="66" customWidth="1"/>
    <col min="11024" max="11024" width="0" style="66" hidden="1" customWidth="1"/>
    <col min="11025" max="11025" width="10" style="66" customWidth="1"/>
    <col min="11026" max="11026" width="12.85546875" style="66" customWidth="1"/>
    <col min="11027" max="11265" width="9.140625" style="66"/>
    <col min="11266" max="11266" width="4.140625" style="66" customWidth="1"/>
    <col min="11267" max="11267" width="25.5703125" style="66" customWidth="1"/>
    <col min="11268" max="11268" width="0" style="66" hidden="1" customWidth="1"/>
    <col min="11269" max="11269" width="9.140625" style="66" bestFit="1" customWidth="1"/>
    <col min="11270" max="11270" width="9.140625" style="66" customWidth="1"/>
    <col min="11271" max="11271" width="8.85546875" style="66" customWidth="1"/>
    <col min="11272" max="11273" width="10.7109375" style="66" customWidth="1"/>
    <col min="11274" max="11274" width="10" style="66" customWidth="1"/>
    <col min="11275" max="11275" width="10.42578125" style="66" customWidth="1"/>
    <col min="11276" max="11276" width="8.7109375" style="66" customWidth="1"/>
    <col min="11277" max="11277" width="0" style="66" hidden="1" customWidth="1"/>
    <col min="11278" max="11278" width="10.140625" style="66" bestFit="1" customWidth="1"/>
    <col min="11279" max="11279" width="10.140625" style="66" customWidth="1"/>
    <col min="11280" max="11280" width="0" style="66" hidden="1" customWidth="1"/>
    <col min="11281" max="11281" width="10" style="66" customWidth="1"/>
    <col min="11282" max="11282" width="12.85546875" style="66" customWidth="1"/>
    <col min="11283" max="11521" width="9.140625" style="66"/>
    <col min="11522" max="11522" width="4.140625" style="66" customWidth="1"/>
    <col min="11523" max="11523" width="25.5703125" style="66" customWidth="1"/>
    <col min="11524" max="11524" width="0" style="66" hidden="1" customWidth="1"/>
    <col min="11525" max="11525" width="9.140625" style="66" bestFit="1" customWidth="1"/>
    <col min="11526" max="11526" width="9.140625" style="66" customWidth="1"/>
    <col min="11527" max="11527" width="8.85546875" style="66" customWidth="1"/>
    <col min="11528" max="11529" width="10.7109375" style="66" customWidth="1"/>
    <col min="11530" max="11530" width="10" style="66" customWidth="1"/>
    <col min="11531" max="11531" width="10.42578125" style="66" customWidth="1"/>
    <col min="11532" max="11532" width="8.7109375" style="66" customWidth="1"/>
    <col min="11533" max="11533" width="0" style="66" hidden="1" customWidth="1"/>
    <col min="11534" max="11534" width="10.140625" style="66" bestFit="1" customWidth="1"/>
    <col min="11535" max="11535" width="10.140625" style="66" customWidth="1"/>
    <col min="11536" max="11536" width="0" style="66" hidden="1" customWidth="1"/>
    <col min="11537" max="11537" width="10" style="66" customWidth="1"/>
    <col min="11538" max="11538" width="12.85546875" style="66" customWidth="1"/>
    <col min="11539" max="11777" width="9.140625" style="66"/>
    <col min="11778" max="11778" width="4.140625" style="66" customWidth="1"/>
    <col min="11779" max="11779" width="25.5703125" style="66" customWidth="1"/>
    <col min="11780" max="11780" width="0" style="66" hidden="1" customWidth="1"/>
    <col min="11781" max="11781" width="9.140625" style="66" bestFit="1" customWidth="1"/>
    <col min="11782" max="11782" width="9.140625" style="66" customWidth="1"/>
    <col min="11783" max="11783" width="8.85546875" style="66" customWidth="1"/>
    <col min="11784" max="11785" width="10.7109375" style="66" customWidth="1"/>
    <col min="11786" max="11786" width="10" style="66" customWidth="1"/>
    <col min="11787" max="11787" width="10.42578125" style="66" customWidth="1"/>
    <col min="11788" max="11788" width="8.7109375" style="66" customWidth="1"/>
    <col min="11789" max="11789" width="0" style="66" hidden="1" customWidth="1"/>
    <col min="11790" max="11790" width="10.140625" style="66" bestFit="1" customWidth="1"/>
    <col min="11791" max="11791" width="10.140625" style="66" customWidth="1"/>
    <col min="11792" max="11792" width="0" style="66" hidden="1" customWidth="1"/>
    <col min="11793" max="11793" width="10" style="66" customWidth="1"/>
    <col min="11794" max="11794" width="12.85546875" style="66" customWidth="1"/>
    <col min="11795" max="12033" width="9.140625" style="66"/>
    <col min="12034" max="12034" width="4.140625" style="66" customWidth="1"/>
    <col min="12035" max="12035" width="25.5703125" style="66" customWidth="1"/>
    <col min="12036" max="12036" width="0" style="66" hidden="1" customWidth="1"/>
    <col min="12037" max="12037" width="9.140625" style="66" bestFit="1" customWidth="1"/>
    <col min="12038" max="12038" width="9.140625" style="66" customWidth="1"/>
    <col min="12039" max="12039" width="8.85546875" style="66" customWidth="1"/>
    <col min="12040" max="12041" width="10.7109375" style="66" customWidth="1"/>
    <col min="12042" max="12042" width="10" style="66" customWidth="1"/>
    <col min="12043" max="12043" width="10.42578125" style="66" customWidth="1"/>
    <col min="12044" max="12044" width="8.7109375" style="66" customWidth="1"/>
    <col min="12045" max="12045" width="0" style="66" hidden="1" customWidth="1"/>
    <col min="12046" max="12046" width="10.140625" style="66" bestFit="1" customWidth="1"/>
    <col min="12047" max="12047" width="10.140625" style="66" customWidth="1"/>
    <col min="12048" max="12048" width="0" style="66" hidden="1" customWidth="1"/>
    <col min="12049" max="12049" width="10" style="66" customWidth="1"/>
    <col min="12050" max="12050" width="12.85546875" style="66" customWidth="1"/>
    <col min="12051" max="12289" width="9.140625" style="66"/>
    <col min="12290" max="12290" width="4.140625" style="66" customWidth="1"/>
    <col min="12291" max="12291" width="25.5703125" style="66" customWidth="1"/>
    <col min="12292" max="12292" width="0" style="66" hidden="1" customWidth="1"/>
    <col min="12293" max="12293" width="9.140625" style="66" bestFit="1" customWidth="1"/>
    <col min="12294" max="12294" width="9.140625" style="66" customWidth="1"/>
    <col min="12295" max="12295" width="8.85546875" style="66" customWidth="1"/>
    <col min="12296" max="12297" width="10.7109375" style="66" customWidth="1"/>
    <col min="12298" max="12298" width="10" style="66" customWidth="1"/>
    <col min="12299" max="12299" width="10.42578125" style="66" customWidth="1"/>
    <col min="12300" max="12300" width="8.7109375" style="66" customWidth="1"/>
    <col min="12301" max="12301" width="0" style="66" hidden="1" customWidth="1"/>
    <col min="12302" max="12302" width="10.140625" style="66" bestFit="1" customWidth="1"/>
    <col min="12303" max="12303" width="10.140625" style="66" customWidth="1"/>
    <col min="12304" max="12304" width="0" style="66" hidden="1" customWidth="1"/>
    <col min="12305" max="12305" width="10" style="66" customWidth="1"/>
    <col min="12306" max="12306" width="12.85546875" style="66" customWidth="1"/>
    <col min="12307" max="12545" width="9.140625" style="66"/>
    <col min="12546" max="12546" width="4.140625" style="66" customWidth="1"/>
    <col min="12547" max="12547" width="25.5703125" style="66" customWidth="1"/>
    <col min="12548" max="12548" width="0" style="66" hidden="1" customWidth="1"/>
    <col min="12549" max="12549" width="9.140625" style="66" bestFit="1" customWidth="1"/>
    <col min="12550" max="12550" width="9.140625" style="66" customWidth="1"/>
    <col min="12551" max="12551" width="8.85546875" style="66" customWidth="1"/>
    <col min="12552" max="12553" width="10.7109375" style="66" customWidth="1"/>
    <col min="12554" max="12554" width="10" style="66" customWidth="1"/>
    <col min="12555" max="12555" width="10.42578125" style="66" customWidth="1"/>
    <col min="12556" max="12556" width="8.7109375" style="66" customWidth="1"/>
    <col min="12557" max="12557" width="0" style="66" hidden="1" customWidth="1"/>
    <col min="12558" max="12558" width="10.140625" style="66" bestFit="1" customWidth="1"/>
    <col min="12559" max="12559" width="10.140625" style="66" customWidth="1"/>
    <col min="12560" max="12560" width="0" style="66" hidden="1" customWidth="1"/>
    <col min="12561" max="12561" width="10" style="66" customWidth="1"/>
    <col min="12562" max="12562" width="12.85546875" style="66" customWidth="1"/>
    <col min="12563" max="12801" width="9.140625" style="66"/>
    <col min="12802" max="12802" width="4.140625" style="66" customWidth="1"/>
    <col min="12803" max="12803" width="25.5703125" style="66" customWidth="1"/>
    <col min="12804" max="12804" width="0" style="66" hidden="1" customWidth="1"/>
    <col min="12805" max="12805" width="9.140625" style="66" bestFit="1" customWidth="1"/>
    <col min="12806" max="12806" width="9.140625" style="66" customWidth="1"/>
    <col min="12807" max="12807" width="8.85546875" style="66" customWidth="1"/>
    <col min="12808" max="12809" width="10.7109375" style="66" customWidth="1"/>
    <col min="12810" max="12810" width="10" style="66" customWidth="1"/>
    <col min="12811" max="12811" width="10.42578125" style="66" customWidth="1"/>
    <col min="12812" max="12812" width="8.7109375" style="66" customWidth="1"/>
    <col min="12813" max="12813" width="0" style="66" hidden="1" customWidth="1"/>
    <col min="12814" max="12814" width="10.140625" style="66" bestFit="1" customWidth="1"/>
    <col min="12815" max="12815" width="10.140625" style="66" customWidth="1"/>
    <col min="12816" max="12816" width="0" style="66" hidden="1" customWidth="1"/>
    <col min="12817" max="12817" width="10" style="66" customWidth="1"/>
    <col min="12818" max="12818" width="12.85546875" style="66" customWidth="1"/>
    <col min="12819" max="13057" width="9.140625" style="66"/>
    <col min="13058" max="13058" width="4.140625" style="66" customWidth="1"/>
    <col min="13059" max="13059" width="25.5703125" style="66" customWidth="1"/>
    <col min="13060" max="13060" width="0" style="66" hidden="1" customWidth="1"/>
    <col min="13061" max="13061" width="9.140625" style="66" bestFit="1" customWidth="1"/>
    <col min="13062" max="13062" width="9.140625" style="66" customWidth="1"/>
    <col min="13063" max="13063" width="8.85546875" style="66" customWidth="1"/>
    <col min="13064" max="13065" width="10.7109375" style="66" customWidth="1"/>
    <col min="13066" max="13066" width="10" style="66" customWidth="1"/>
    <col min="13067" max="13067" width="10.42578125" style="66" customWidth="1"/>
    <col min="13068" max="13068" width="8.7109375" style="66" customWidth="1"/>
    <col min="13069" max="13069" width="0" style="66" hidden="1" customWidth="1"/>
    <col min="13070" max="13070" width="10.140625" style="66" bestFit="1" customWidth="1"/>
    <col min="13071" max="13071" width="10.140625" style="66" customWidth="1"/>
    <col min="13072" max="13072" width="0" style="66" hidden="1" customWidth="1"/>
    <col min="13073" max="13073" width="10" style="66" customWidth="1"/>
    <col min="13074" max="13074" width="12.85546875" style="66" customWidth="1"/>
    <col min="13075" max="13313" width="9.140625" style="66"/>
    <col min="13314" max="13314" width="4.140625" style="66" customWidth="1"/>
    <col min="13315" max="13315" width="25.5703125" style="66" customWidth="1"/>
    <col min="13316" max="13316" width="0" style="66" hidden="1" customWidth="1"/>
    <col min="13317" max="13317" width="9.140625" style="66" bestFit="1" customWidth="1"/>
    <col min="13318" max="13318" width="9.140625" style="66" customWidth="1"/>
    <col min="13319" max="13319" width="8.85546875" style="66" customWidth="1"/>
    <col min="13320" max="13321" width="10.7109375" style="66" customWidth="1"/>
    <col min="13322" max="13322" width="10" style="66" customWidth="1"/>
    <col min="13323" max="13323" width="10.42578125" style="66" customWidth="1"/>
    <col min="13324" max="13324" width="8.7109375" style="66" customWidth="1"/>
    <col min="13325" max="13325" width="0" style="66" hidden="1" customWidth="1"/>
    <col min="13326" max="13326" width="10.140625" style="66" bestFit="1" customWidth="1"/>
    <col min="13327" max="13327" width="10.140625" style="66" customWidth="1"/>
    <col min="13328" max="13328" width="0" style="66" hidden="1" customWidth="1"/>
    <col min="13329" max="13329" width="10" style="66" customWidth="1"/>
    <col min="13330" max="13330" width="12.85546875" style="66" customWidth="1"/>
    <col min="13331" max="13569" width="9.140625" style="66"/>
    <col min="13570" max="13570" width="4.140625" style="66" customWidth="1"/>
    <col min="13571" max="13571" width="25.5703125" style="66" customWidth="1"/>
    <col min="13572" max="13572" width="0" style="66" hidden="1" customWidth="1"/>
    <col min="13573" max="13573" width="9.140625" style="66" bestFit="1" customWidth="1"/>
    <col min="13574" max="13574" width="9.140625" style="66" customWidth="1"/>
    <col min="13575" max="13575" width="8.85546875" style="66" customWidth="1"/>
    <col min="13576" max="13577" width="10.7109375" style="66" customWidth="1"/>
    <col min="13578" max="13578" width="10" style="66" customWidth="1"/>
    <col min="13579" max="13579" width="10.42578125" style="66" customWidth="1"/>
    <col min="13580" max="13580" width="8.7109375" style="66" customWidth="1"/>
    <col min="13581" max="13581" width="0" style="66" hidden="1" customWidth="1"/>
    <col min="13582" max="13582" width="10.140625" style="66" bestFit="1" customWidth="1"/>
    <col min="13583" max="13583" width="10.140625" style="66" customWidth="1"/>
    <col min="13584" max="13584" width="0" style="66" hidden="1" customWidth="1"/>
    <col min="13585" max="13585" width="10" style="66" customWidth="1"/>
    <col min="13586" max="13586" width="12.85546875" style="66" customWidth="1"/>
    <col min="13587" max="13825" width="9.140625" style="66"/>
    <col min="13826" max="13826" width="4.140625" style="66" customWidth="1"/>
    <col min="13827" max="13827" width="25.5703125" style="66" customWidth="1"/>
    <col min="13828" max="13828" width="0" style="66" hidden="1" customWidth="1"/>
    <col min="13829" max="13829" width="9.140625" style="66" bestFit="1" customWidth="1"/>
    <col min="13830" max="13830" width="9.140625" style="66" customWidth="1"/>
    <col min="13831" max="13831" width="8.85546875" style="66" customWidth="1"/>
    <col min="13832" max="13833" width="10.7109375" style="66" customWidth="1"/>
    <col min="13834" max="13834" width="10" style="66" customWidth="1"/>
    <col min="13835" max="13835" width="10.42578125" style="66" customWidth="1"/>
    <col min="13836" max="13836" width="8.7109375" style="66" customWidth="1"/>
    <col min="13837" max="13837" width="0" style="66" hidden="1" customWidth="1"/>
    <col min="13838" max="13838" width="10.140625" style="66" bestFit="1" customWidth="1"/>
    <col min="13839" max="13839" width="10.140625" style="66" customWidth="1"/>
    <col min="13840" max="13840" width="0" style="66" hidden="1" customWidth="1"/>
    <col min="13841" max="13841" width="10" style="66" customWidth="1"/>
    <col min="13842" max="13842" width="12.85546875" style="66" customWidth="1"/>
    <col min="13843" max="14081" width="9.140625" style="66"/>
    <col min="14082" max="14082" width="4.140625" style="66" customWidth="1"/>
    <col min="14083" max="14083" width="25.5703125" style="66" customWidth="1"/>
    <col min="14084" max="14084" width="0" style="66" hidden="1" customWidth="1"/>
    <col min="14085" max="14085" width="9.140625" style="66" bestFit="1" customWidth="1"/>
    <col min="14086" max="14086" width="9.140625" style="66" customWidth="1"/>
    <col min="14087" max="14087" width="8.85546875" style="66" customWidth="1"/>
    <col min="14088" max="14089" width="10.7109375" style="66" customWidth="1"/>
    <col min="14090" max="14090" width="10" style="66" customWidth="1"/>
    <col min="14091" max="14091" width="10.42578125" style="66" customWidth="1"/>
    <col min="14092" max="14092" width="8.7109375" style="66" customWidth="1"/>
    <col min="14093" max="14093" width="0" style="66" hidden="1" customWidth="1"/>
    <col min="14094" max="14094" width="10.140625" style="66" bestFit="1" customWidth="1"/>
    <col min="14095" max="14095" width="10.140625" style="66" customWidth="1"/>
    <col min="14096" max="14096" width="0" style="66" hidden="1" customWidth="1"/>
    <col min="14097" max="14097" width="10" style="66" customWidth="1"/>
    <col min="14098" max="14098" width="12.85546875" style="66" customWidth="1"/>
    <col min="14099" max="14337" width="9.140625" style="66"/>
    <col min="14338" max="14338" width="4.140625" style="66" customWidth="1"/>
    <col min="14339" max="14339" width="25.5703125" style="66" customWidth="1"/>
    <col min="14340" max="14340" width="0" style="66" hidden="1" customWidth="1"/>
    <col min="14341" max="14341" width="9.140625" style="66" bestFit="1" customWidth="1"/>
    <col min="14342" max="14342" width="9.140625" style="66" customWidth="1"/>
    <col min="14343" max="14343" width="8.85546875" style="66" customWidth="1"/>
    <col min="14344" max="14345" width="10.7109375" style="66" customWidth="1"/>
    <col min="14346" max="14346" width="10" style="66" customWidth="1"/>
    <col min="14347" max="14347" width="10.42578125" style="66" customWidth="1"/>
    <col min="14348" max="14348" width="8.7109375" style="66" customWidth="1"/>
    <col min="14349" max="14349" width="0" style="66" hidden="1" customWidth="1"/>
    <col min="14350" max="14350" width="10.140625" style="66" bestFit="1" customWidth="1"/>
    <col min="14351" max="14351" width="10.140625" style="66" customWidth="1"/>
    <col min="14352" max="14352" width="0" style="66" hidden="1" customWidth="1"/>
    <col min="14353" max="14353" width="10" style="66" customWidth="1"/>
    <col min="14354" max="14354" width="12.85546875" style="66" customWidth="1"/>
    <col min="14355" max="14593" width="9.140625" style="66"/>
    <col min="14594" max="14594" width="4.140625" style="66" customWidth="1"/>
    <col min="14595" max="14595" width="25.5703125" style="66" customWidth="1"/>
    <col min="14596" max="14596" width="0" style="66" hidden="1" customWidth="1"/>
    <col min="14597" max="14597" width="9.140625" style="66" bestFit="1" customWidth="1"/>
    <col min="14598" max="14598" width="9.140625" style="66" customWidth="1"/>
    <col min="14599" max="14599" width="8.85546875" style="66" customWidth="1"/>
    <col min="14600" max="14601" width="10.7109375" style="66" customWidth="1"/>
    <col min="14602" max="14602" width="10" style="66" customWidth="1"/>
    <col min="14603" max="14603" width="10.42578125" style="66" customWidth="1"/>
    <col min="14604" max="14604" width="8.7109375" style="66" customWidth="1"/>
    <col min="14605" max="14605" width="0" style="66" hidden="1" customWidth="1"/>
    <col min="14606" max="14606" width="10.140625" style="66" bestFit="1" customWidth="1"/>
    <col min="14607" max="14607" width="10.140625" style="66" customWidth="1"/>
    <col min="14608" max="14608" width="0" style="66" hidden="1" customWidth="1"/>
    <col min="14609" max="14609" width="10" style="66" customWidth="1"/>
    <col min="14610" max="14610" width="12.85546875" style="66" customWidth="1"/>
    <col min="14611" max="14849" width="9.140625" style="66"/>
    <col min="14850" max="14850" width="4.140625" style="66" customWidth="1"/>
    <col min="14851" max="14851" width="25.5703125" style="66" customWidth="1"/>
    <col min="14852" max="14852" width="0" style="66" hidden="1" customWidth="1"/>
    <col min="14853" max="14853" width="9.140625" style="66" bestFit="1" customWidth="1"/>
    <col min="14854" max="14854" width="9.140625" style="66" customWidth="1"/>
    <col min="14855" max="14855" width="8.85546875" style="66" customWidth="1"/>
    <col min="14856" max="14857" width="10.7109375" style="66" customWidth="1"/>
    <col min="14858" max="14858" width="10" style="66" customWidth="1"/>
    <col min="14859" max="14859" width="10.42578125" style="66" customWidth="1"/>
    <col min="14860" max="14860" width="8.7109375" style="66" customWidth="1"/>
    <col min="14861" max="14861" width="0" style="66" hidden="1" customWidth="1"/>
    <col min="14862" max="14862" width="10.140625" style="66" bestFit="1" customWidth="1"/>
    <col min="14863" max="14863" width="10.140625" style="66" customWidth="1"/>
    <col min="14864" max="14864" width="0" style="66" hidden="1" customWidth="1"/>
    <col min="14865" max="14865" width="10" style="66" customWidth="1"/>
    <col min="14866" max="14866" width="12.85546875" style="66" customWidth="1"/>
    <col min="14867" max="15105" width="9.140625" style="66"/>
    <col min="15106" max="15106" width="4.140625" style="66" customWidth="1"/>
    <col min="15107" max="15107" width="25.5703125" style="66" customWidth="1"/>
    <col min="15108" max="15108" width="0" style="66" hidden="1" customWidth="1"/>
    <col min="15109" max="15109" width="9.140625" style="66" bestFit="1" customWidth="1"/>
    <col min="15110" max="15110" width="9.140625" style="66" customWidth="1"/>
    <col min="15111" max="15111" width="8.85546875" style="66" customWidth="1"/>
    <col min="15112" max="15113" width="10.7109375" style="66" customWidth="1"/>
    <col min="15114" max="15114" width="10" style="66" customWidth="1"/>
    <col min="15115" max="15115" width="10.42578125" style="66" customWidth="1"/>
    <col min="15116" max="15116" width="8.7109375" style="66" customWidth="1"/>
    <col min="15117" max="15117" width="0" style="66" hidden="1" customWidth="1"/>
    <col min="15118" max="15118" width="10.140625" style="66" bestFit="1" customWidth="1"/>
    <col min="15119" max="15119" width="10.140625" style="66" customWidth="1"/>
    <col min="15120" max="15120" width="0" style="66" hidden="1" customWidth="1"/>
    <col min="15121" max="15121" width="10" style="66" customWidth="1"/>
    <col min="15122" max="15122" width="12.85546875" style="66" customWidth="1"/>
    <col min="15123" max="15361" width="9.140625" style="66"/>
    <col min="15362" max="15362" width="4.140625" style="66" customWidth="1"/>
    <col min="15363" max="15363" width="25.5703125" style="66" customWidth="1"/>
    <col min="15364" max="15364" width="0" style="66" hidden="1" customWidth="1"/>
    <col min="15365" max="15365" width="9.140625" style="66" bestFit="1" customWidth="1"/>
    <col min="15366" max="15366" width="9.140625" style="66" customWidth="1"/>
    <col min="15367" max="15367" width="8.85546875" style="66" customWidth="1"/>
    <col min="15368" max="15369" width="10.7109375" style="66" customWidth="1"/>
    <col min="15370" max="15370" width="10" style="66" customWidth="1"/>
    <col min="15371" max="15371" width="10.42578125" style="66" customWidth="1"/>
    <col min="15372" max="15372" width="8.7109375" style="66" customWidth="1"/>
    <col min="15373" max="15373" width="0" style="66" hidden="1" customWidth="1"/>
    <col min="15374" max="15374" width="10.140625" style="66" bestFit="1" customWidth="1"/>
    <col min="15375" max="15375" width="10.140625" style="66" customWidth="1"/>
    <col min="15376" max="15376" width="0" style="66" hidden="1" customWidth="1"/>
    <col min="15377" max="15377" width="10" style="66" customWidth="1"/>
    <col min="15378" max="15378" width="12.85546875" style="66" customWidth="1"/>
    <col min="15379" max="15617" width="9.140625" style="66"/>
    <col min="15618" max="15618" width="4.140625" style="66" customWidth="1"/>
    <col min="15619" max="15619" width="25.5703125" style="66" customWidth="1"/>
    <col min="15620" max="15620" width="0" style="66" hidden="1" customWidth="1"/>
    <col min="15621" max="15621" width="9.140625" style="66" bestFit="1" customWidth="1"/>
    <col min="15622" max="15622" width="9.140625" style="66" customWidth="1"/>
    <col min="15623" max="15623" width="8.85546875" style="66" customWidth="1"/>
    <col min="15624" max="15625" width="10.7109375" style="66" customWidth="1"/>
    <col min="15626" max="15626" width="10" style="66" customWidth="1"/>
    <col min="15627" max="15627" width="10.42578125" style="66" customWidth="1"/>
    <col min="15628" max="15628" width="8.7109375" style="66" customWidth="1"/>
    <col min="15629" max="15629" width="0" style="66" hidden="1" customWidth="1"/>
    <col min="15630" max="15630" width="10.140625" style="66" bestFit="1" customWidth="1"/>
    <col min="15631" max="15631" width="10.140625" style="66" customWidth="1"/>
    <col min="15632" max="15632" width="0" style="66" hidden="1" customWidth="1"/>
    <col min="15633" max="15633" width="10" style="66" customWidth="1"/>
    <col min="15634" max="15634" width="12.85546875" style="66" customWidth="1"/>
    <col min="15635" max="15873" width="9.140625" style="66"/>
    <col min="15874" max="15874" width="4.140625" style="66" customWidth="1"/>
    <col min="15875" max="15875" width="25.5703125" style="66" customWidth="1"/>
    <col min="15876" max="15876" width="0" style="66" hidden="1" customWidth="1"/>
    <col min="15877" max="15877" width="9.140625" style="66" bestFit="1" customWidth="1"/>
    <col min="15878" max="15878" width="9.140625" style="66" customWidth="1"/>
    <col min="15879" max="15879" width="8.85546875" style="66" customWidth="1"/>
    <col min="15880" max="15881" width="10.7109375" style="66" customWidth="1"/>
    <col min="15882" max="15882" width="10" style="66" customWidth="1"/>
    <col min="15883" max="15883" width="10.42578125" style="66" customWidth="1"/>
    <col min="15884" max="15884" width="8.7109375" style="66" customWidth="1"/>
    <col min="15885" max="15885" width="0" style="66" hidden="1" customWidth="1"/>
    <col min="15886" max="15886" width="10.140625" style="66" bestFit="1" customWidth="1"/>
    <col min="15887" max="15887" width="10.140625" style="66" customWidth="1"/>
    <col min="15888" max="15888" width="0" style="66" hidden="1" customWidth="1"/>
    <col min="15889" max="15889" width="10" style="66" customWidth="1"/>
    <col min="15890" max="15890" width="12.85546875" style="66" customWidth="1"/>
    <col min="15891" max="16129" width="9.140625" style="66"/>
    <col min="16130" max="16130" width="4.140625" style="66" customWidth="1"/>
    <col min="16131" max="16131" width="25.5703125" style="66" customWidth="1"/>
    <col min="16132" max="16132" width="0" style="66" hidden="1" customWidth="1"/>
    <col min="16133" max="16133" width="9.140625" style="66" bestFit="1" customWidth="1"/>
    <col min="16134" max="16134" width="9.140625" style="66" customWidth="1"/>
    <col min="16135" max="16135" width="8.85546875" style="66" customWidth="1"/>
    <col min="16136" max="16137" width="10.7109375" style="66" customWidth="1"/>
    <col min="16138" max="16138" width="10" style="66" customWidth="1"/>
    <col min="16139" max="16139" width="10.42578125" style="66" customWidth="1"/>
    <col min="16140" max="16140" width="8.7109375" style="66" customWidth="1"/>
    <col min="16141" max="16141" width="0" style="66" hidden="1" customWidth="1"/>
    <col min="16142" max="16142" width="10.140625" style="66" bestFit="1" customWidth="1"/>
    <col min="16143" max="16143" width="10.140625" style="66" customWidth="1"/>
    <col min="16144" max="16144" width="0" style="66" hidden="1" customWidth="1"/>
    <col min="16145" max="16145" width="10" style="66" customWidth="1"/>
    <col min="16146" max="16146" width="12.85546875" style="66" customWidth="1"/>
    <col min="16147" max="16383" width="9.140625" style="66"/>
    <col min="16384" max="16384" width="9.140625" style="66" customWidth="1"/>
  </cols>
  <sheetData>
    <row r="1" spans="1:22" ht="20.25">
      <c r="A1" s="189" t="s">
        <v>235</v>
      </c>
      <c r="B1" s="246"/>
      <c r="C1" s="246"/>
      <c r="D1" s="246"/>
      <c r="E1" s="246"/>
      <c r="F1" s="246"/>
      <c r="G1" s="246"/>
      <c r="H1" s="246"/>
      <c r="J1" s="246"/>
      <c r="K1" s="246"/>
      <c r="L1" s="246"/>
      <c r="M1" s="246"/>
      <c r="N1" s="246"/>
      <c r="O1" s="246"/>
    </row>
    <row r="2" spans="1:22" ht="16.5" thickBot="1"/>
    <row r="3" spans="1:22" s="138" customFormat="1" ht="78.75">
      <c r="A3" s="419" t="s">
        <v>236</v>
      </c>
      <c r="B3" s="420" t="s">
        <v>241</v>
      </c>
      <c r="C3" s="420" t="s">
        <v>237</v>
      </c>
      <c r="D3" s="420" t="s">
        <v>215</v>
      </c>
      <c r="E3" s="420" t="s">
        <v>868</v>
      </c>
      <c r="F3" s="420" t="s">
        <v>396</v>
      </c>
      <c r="G3" s="420" t="s">
        <v>747</v>
      </c>
      <c r="H3" s="420" t="s">
        <v>218</v>
      </c>
      <c r="I3" s="420" t="s">
        <v>869</v>
      </c>
      <c r="J3" s="420" t="s">
        <v>216</v>
      </c>
      <c r="K3" s="420" t="s">
        <v>84</v>
      </c>
      <c r="L3" s="420" t="s">
        <v>567</v>
      </c>
      <c r="M3" s="420" t="s">
        <v>214</v>
      </c>
      <c r="N3" s="420" t="s">
        <v>238</v>
      </c>
      <c r="O3" s="421" t="s">
        <v>94</v>
      </c>
    </row>
    <row r="4" spans="1:22" s="142" customFormat="1" ht="32.1" customHeight="1">
      <c r="A4" s="416" t="s">
        <v>414</v>
      </c>
      <c r="B4" s="139"/>
      <c r="C4" s="139"/>
      <c r="D4" s="139"/>
      <c r="E4" s="139"/>
      <c r="F4" s="139"/>
      <c r="G4" s="139"/>
      <c r="H4" s="139">
        <f>'תקציב הנדסה 2022 '!AA10</f>
        <v>2000000</v>
      </c>
      <c r="I4" s="139"/>
      <c r="J4" s="139">
        <f>'תקציב הנדסה 2022 '!AA35</f>
        <v>64226</v>
      </c>
      <c r="K4" s="139"/>
      <c r="L4" s="139"/>
      <c r="M4" s="139">
        <f>'תקציב הנדסה 2022 '!AA51+'תקציב הנדסה 2022 '!AA52</f>
        <v>-490000</v>
      </c>
      <c r="N4" s="139"/>
      <c r="O4" s="417">
        <f t="shared" ref="O4:O15" si="0">SUM(B4:N4)</f>
        <v>1574226</v>
      </c>
      <c r="Q4" s="351">
        <f>'ריכוז אגפים'!Y7</f>
        <v>1574226</v>
      </c>
      <c r="R4" s="351">
        <f>Q4-O4</f>
        <v>0</v>
      </c>
      <c r="S4" s="246"/>
      <c r="T4" s="138"/>
      <c r="U4" s="138"/>
      <c r="V4" s="143"/>
    </row>
    <row r="5" spans="1:22" s="142" customFormat="1" ht="32.1" customHeight="1">
      <c r="A5" s="416" t="s">
        <v>239</v>
      </c>
      <c r="B5" s="139">
        <f>'תקציב החברה לפיתוח 2022'!AA117</f>
        <v>3679698</v>
      </c>
      <c r="C5" s="139"/>
      <c r="D5" s="139">
        <f>'תקציב החברה לפיתוח 2022'!AA40+'תקציב החברה לפיתוח 2022'!AA49+'תקציב החברה לפיתוח 2022'!AA61+'תקציב החברה לפיתוח 2022'!AA80+'תקציב החברה לפיתוח 2022'!AA83+'תקציב החברה לפיתוח 2022'!AA86+'תקציב החברה לפיתוח 2022'!AA120+'תקציב החברה לפיתוח 2022'!AA122+'תקציב החברה לפיתוח 2022'!AA125+'תקציב החברה לפיתוח 2022'!AA55</f>
        <v>135847301</v>
      </c>
      <c r="E5" s="139"/>
      <c r="F5" s="139"/>
      <c r="G5" s="139">
        <f>'תקציב החברה לפיתוח 2022'!AA74</f>
        <v>1259000</v>
      </c>
      <c r="H5" s="139">
        <f>'תקציב החברה לפיתוח 2022'!AA62+'תקציב החברה לפיתוח 2022'!AA11</f>
        <v>4000000</v>
      </c>
      <c r="I5" s="139"/>
      <c r="J5" s="139">
        <f>'תקציב החברה לפיתוח 2022'!AA26</f>
        <v>181222</v>
      </c>
      <c r="K5" s="139"/>
      <c r="L5" s="139"/>
      <c r="M5" s="139">
        <f>'תקציב החברה לפיתוח 2022'!AA27</f>
        <v>-64336</v>
      </c>
      <c r="N5" s="139"/>
      <c r="O5" s="417">
        <f t="shared" si="0"/>
        <v>144902885</v>
      </c>
      <c r="Q5" s="351">
        <f>'ריכוז אגפים'!Y8</f>
        <v>144902885</v>
      </c>
      <c r="R5" s="351">
        <f t="shared" ref="R5:R15" si="1">Q5-O5</f>
        <v>0</v>
      </c>
      <c r="S5" s="351"/>
      <c r="T5" s="138"/>
      <c r="U5" s="138"/>
      <c r="V5" s="144"/>
    </row>
    <row r="6" spans="1:22" s="142" customFormat="1" ht="32.1" customHeight="1">
      <c r="A6" s="416" t="s">
        <v>1137</v>
      </c>
      <c r="B6" s="139"/>
      <c r="C6" s="139">
        <f>'תקציב מינהל תפעול 2022'!AA23+'תקציב מינהל תפעול 2022'!AA27</f>
        <v>-165005</v>
      </c>
      <c r="D6" s="139">
        <f>'תקציב מינהל תפעול 2022'!AA82+'תקציב מינהל תפעול 2022'!AA99+'תקציב מינהל תפעול 2022'!AA24</f>
        <v>-1469867</v>
      </c>
      <c r="E6" s="139"/>
      <c r="F6" s="139"/>
      <c r="G6" s="139">
        <f>'תקציב מינהל תפעול 2022'!AA64+'תקציב מינהל תפעול 2022'!AA109+'תקציב מינהל תפעול 2022'!AA110+'תקציב מינהל תפעול 2022'!AA111+'תקציב מינהל תפעול 2022'!AA112+'תקציב מינהל תפעול 2022'!AA113</f>
        <v>720415</v>
      </c>
      <c r="H6" s="139">
        <f>'תקציב מינהל תפעול 2022'!AA48+'תקציב מינהל תפעול 2022'!AA120+'תקציב מינהל תפעול 2022'!AA123</f>
        <v>4000000</v>
      </c>
      <c r="I6" s="139"/>
      <c r="J6" s="139"/>
      <c r="K6" s="139">
        <f>'תקציב מינהל תפעול 2022'!AA26</f>
        <v>82000</v>
      </c>
      <c r="L6" s="139"/>
      <c r="M6" s="139">
        <f>'תקציב מינהל תפעול 2022'!AA103</f>
        <v>3400000</v>
      </c>
      <c r="N6" s="139">
        <f>'תקציב מינהל תפעול 2022'!AA6+'תקציב מינהל תפעול 2022'!AA126</f>
        <v>11000000</v>
      </c>
      <c r="O6" s="417">
        <f t="shared" si="0"/>
        <v>17567543</v>
      </c>
      <c r="Q6" s="351">
        <f>'ריכוז אגפים'!Y9</f>
        <v>17567543</v>
      </c>
      <c r="R6" s="351">
        <f t="shared" si="1"/>
        <v>0</v>
      </c>
      <c r="S6" s="351"/>
      <c r="T6" s="138"/>
      <c r="U6" s="138"/>
      <c r="V6" s="144"/>
    </row>
    <row r="7" spans="1:22" s="142" customFormat="1" ht="32.1" customHeight="1">
      <c r="A7" s="422" t="s">
        <v>134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417">
        <f t="shared" si="0"/>
        <v>0</v>
      </c>
      <c r="Q7" s="351"/>
      <c r="R7" s="351">
        <f t="shared" si="1"/>
        <v>0</v>
      </c>
      <c r="S7" s="138"/>
      <c r="T7" s="138"/>
      <c r="U7" s="138"/>
    </row>
    <row r="8" spans="1:22" s="142" customFormat="1" ht="32.1" customHeight="1">
      <c r="A8" s="416" t="s">
        <v>242</v>
      </c>
      <c r="B8" s="139"/>
      <c r="C8" s="139"/>
      <c r="D8" s="139">
        <f>'תקציב אגף חינוך 2022'!AA13+'תקציב אגף חינוך 2022'!AA18+'תקציב אגף חינוך 2022'!AA7</f>
        <v>925900</v>
      </c>
      <c r="E8" s="139"/>
      <c r="F8" s="139"/>
      <c r="G8" s="139"/>
      <c r="H8" s="139">
        <f>'תקציב אגף חינוך 2022'!AA25+'תקציב אגף חינוך 2022'!AA26</f>
        <v>700000</v>
      </c>
      <c r="I8" s="139"/>
      <c r="J8" s="139"/>
      <c r="K8" s="139"/>
      <c r="L8" s="139"/>
      <c r="M8" s="139"/>
      <c r="N8" s="139"/>
      <c r="O8" s="417">
        <f t="shared" si="0"/>
        <v>1625900</v>
      </c>
      <c r="Q8" s="351">
        <f>'ריכוז אגפים'!Y10</f>
        <v>1625900</v>
      </c>
      <c r="R8" s="351">
        <f t="shared" si="1"/>
        <v>0</v>
      </c>
      <c r="S8" s="138"/>
      <c r="T8" s="138"/>
      <c r="U8" s="138"/>
      <c r="V8" s="144"/>
    </row>
    <row r="9" spans="1:22" s="142" customFormat="1" ht="32.1" customHeight="1">
      <c r="A9" s="416" t="s">
        <v>381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417">
        <f t="shared" si="0"/>
        <v>0</v>
      </c>
      <c r="Q9" s="351">
        <f>'ריכוז אגפים'!Y11</f>
        <v>0</v>
      </c>
      <c r="R9" s="351">
        <f t="shared" si="1"/>
        <v>0</v>
      </c>
      <c r="S9" s="138"/>
      <c r="T9" s="138"/>
      <c r="U9" s="138"/>
    </row>
    <row r="10" spans="1:22" s="142" customFormat="1" ht="32.1" customHeight="1">
      <c r="A10" s="416" t="s">
        <v>163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417">
        <f t="shared" si="0"/>
        <v>0</v>
      </c>
      <c r="Q10" s="351"/>
      <c r="R10" s="351">
        <f>Q10-O10</f>
        <v>0</v>
      </c>
      <c r="S10" s="138"/>
      <c r="T10" s="138"/>
      <c r="U10" s="138"/>
      <c r="V10" s="144"/>
    </row>
    <row r="11" spans="1:22" s="142" customFormat="1" ht="32.1" customHeight="1">
      <c r="A11" s="416" t="s">
        <v>165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417">
        <f t="shared" si="0"/>
        <v>0</v>
      </c>
      <c r="Q11" s="351"/>
      <c r="R11" s="351">
        <f t="shared" si="1"/>
        <v>0</v>
      </c>
      <c r="S11" s="138"/>
      <c r="T11" s="138"/>
      <c r="U11" s="138"/>
      <c r="V11" s="143"/>
    </row>
    <row r="12" spans="1:22" s="142" customFormat="1" ht="32.1" customHeight="1">
      <c r="A12" s="416" t="s">
        <v>240</v>
      </c>
      <c r="B12" s="139">
        <f>'תקציב החברה לתירות 2022 '!AA5</f>
        <v>228932.25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417">
        <f t="shared" si="0"/>
        <v>228932.25</v>
      </c>
      <c r="Q12" s="351">
        <f>'ריכוז אגפים'!Y12</f>
        <v>228932.25</v>
      </c>
      <c r="R12" s="351">
        <f t="shared" si="1"/>
        <v>0</v>
      </c>
      <c r="S12" s="138"/>
      <c r="T12" s="138"/>
      <c r="U12" s="138"/>
    </row>
    <row r="13" spans="1:22" s="142" customFormat="1" ht="32.1" customHeight="1">
      <c r="A13" s="416" t="s">
        <v>391</v>
      </c>
      <c r="B13" s="139"/>
      <c r="C13" s="139"/>
      <c r="D13" s="139"/>
      <c r="E13" s="139"/>
      <c r="F13" s="139"/>
      <c r="G13" s="139"/>
      <c r="H13" s="139">
        <f>'תקציב אגף המיחשוב 2022'!AA11</f>
        <v>2300000</v>
      </c>
      <c r="I13" s="139"/>
      <c r="J13" s="139"/>
      <c r="K13" s="139"/>
      <c r="L13" s="139"/>
      <c r="M13" s="139"/>
      <c r="N13" s="139"/>
      <c r="O13" s="417">
        <f t="shared" si="0"/>
        <v>2300000</v>
      </c>
      <c r="Q13" s="351">
        <f>'ריכוז אגפים'!Y13</f>
        <v>2300000</v>
      </c>
      <c r="R13" s="351">
        <f t="shared" si="1"/>
        <v>0</v>
      </c>
      <c r="S13" s="138"/>
      <c r="T13" s="138"/>
      <c r="U13" s="138"/>
    </row>
    <row r="14" spans="1:22" s="142" customFormat="1" ht="32.1" customHeight="1">
      <c r="A14" s="416" t="s">
        <v>393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417">
        <f t="shared" si="0"/>
        <v>0</v>
      </c>
      <c r="Q14" s="351">
        <f>'ריכוז אגפים'!Y14</f>
        <v>0</v>
      </c>
      <c r="R14" s="351">
        <f t="shared" si="1"/>
        <v>0</v>
      </c>
      <c r="S14" s="138"/>
      <c r="T14" s="138"/>
      <c r="U14" s="138"/>
    </row>
    <row r="15" spans="1:22" s="142" customFormat="1" ht="32.1" customHeight="1">
      <c r="A15" s="416" t="s">
        <v>252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417">
        <f t="shared" si="0"/>
        <v>0</v>
      </c>
      <c r="Q15" s="351">
        <f>'ריכוז אגפים'!Y15</f>
        <v>0</v>
      </c>
      <c r="R15" s="351">
        <f t="shared" si="1"/>
        <v>0</v>
      </c>
      <c r="S15" s="138"/>
      <c r="T15" s="138"/>
      <c r="U15" s="138"/>
    </row>
    <row r="16" spans="1:22" s="142" customFormat="1" ht="32.1" customHeight="1" thickBot="1">
      <c r="A16" s="423" t="s">
        <v>94</v>
      </c>
      <c r="B16" s="424">
        <f t="shared" ref="B16:R16" si="2">SUM(B4:B15)</f>
        <v>3908630.25</v>
      </c>
      <c r="C16" s="424">
        <f t="shared" si="2"/>
        <v>-165005</v>
      </c>
      <c r="D16" s="424">
        <f t="shared" si="2"/>
        <v>135303334</v>
      </c>
      <c r="E16" s="424">
        <f t="shared" si="2"/>
        <v>0</v>
      </c>
      <c r="F16" s="424">
        <f t="shared" si="2"/>
        <v>0</v>
      </c>
      <c r="G16" s="424">
        <f>SUM(G4:G15)</f>
        <v>1979415</v>
      </c>
      <c r="H16" s="424">
        <f t="shared" si="2"/>
        <v>13000000</v>
      </c>
      <c r="I16" s="424">
        <f t="shared" si="2"/>
        <v>0</v>
      </c>
      <c r="J16" s="424">
        <f t="shared" si="2"/>
        <v>245448</v>
      </c>
      <c r="K16" s="424">
        <f t="shared" si="2"/>
        <v>82000</v>
      </c>
      <c r="L16" s="424">
        <f t="shared" si="2"/>
        <v>0</v>
      </c>
      <c r="M16" s="424">
        <f t="shared" si="2"/>
        <v>2845664</v>
      </c>
      <c r="N16" s="424">
        <f t="shared" si="2"/>
        <v>11000000</v>
      </c>
      <c r="O16" s="425">
        <f t="shared" si="2"/>
        <v>168199486.25</v>
      </c>
      <c r="Q16" s="141">
        <f t="shared" si="2"/>
        <v>168199486.25</v>
      </c>
      <c r="R16" s="138">
        <f t="shared" si="2"/>
        <v>0</v>
      </c>
      <c r="S16" s="138"/>
      <c r="T16" s="138"/>
      <c r="U16" s="138"/>
    </row>
    <row r="17" spans="1:22" s="68" customFormat="1">
      <c r="A17" s="66"/>
      <c r="O17" s="66"/>
      <c r="P17" s="66"/>
      <c r="Q17" s="138"/>
      <c r="R17" s="138"/>
      <c r="S17" s="138"/>
      <c r="T17" s="138"/>
      <c r="U17" s="138"/>
      <c r="V17" s="66"/>
    </row>
    <row r="18" spans="1:22" s="68" customFormat="1">
      <c r="O18" s="66"/>
      <c r="P18" s="66"/>
      <c r="Q18" s="138"/>
      <c r="R18" s="138"/>
      <c r="S18" s="138"/>
      <c r="T18" s="138"/>
      <c r="U18" s="138"/>
      <c r="V18" s="66"/>
    </row>
    <row r="19" spans="1:22" s="68" customFormat="1" ht="15.75" hidden="1" customHeight="1">
      <c r="A19" s="66"/>
      <c r="J19" s="68" t="e">
        <f>J16+D16+#REF!+Q16+H16+E16</f>
        <v>#REF!</v>
      </c>
      <c r="K19" s="68">
        <f>K16+E16+C16+B16+I16+F16</f>
        <v>3825625.25</v>
      </c>
      <c r="O19" s="66"/>
      <c r="P19" s="66"/>
      <c r="Q19" s="138"/>
      <c r="R19" s="138"/>
      <c r="S19" s="138"/>
      <c r="T19" s="138"/>
      <c r="U19" s="138"/>
      <c r="V19" s="66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rowBreaks count="1" manualBreakCount="1">
    <brk id="24" max="16383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rightToLeft="1" zoomScaleNormal="100" workbookViewId="0">
      <selection activeCell="C55" sqref="C55"/>
    </sheetView>
  </sheetViews>
  <sheetFormatPr defaultColWidth="9.140625" defaultRowHeight="12.75"/>
  <cols>
    <col min="1" max="16384" width="9.140625" style="194"/>
  </cols>
  <sheetData/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Q26"/>
  <sheetViews>
    <sheetView showZeros="0" rightToLeft="1" workbookViewId="0">
      <selection activeCell="C55" sqref="C55"/>
    </sheetView>
  </sheetViews>
  <sheetFormatPr defaultColWidth="9.140625" defaultRowHeight="14.25"/>
  <cols>
    <col min="1" max="3" width="4.140625" style="213" customWidth="1"/>
    <col min="4" max="4" width="24.140625" style="213" customWidth="1"/>
    <col min="5" max="5" width="34.5703125" style="213" customWidth="1"/>
    <col min="6" max="6" width="5.7109375" style="213" customWidth="1"/>
    <col min="7" max="7" width="5.5703125" style="213" customWidth="1"/>
    <col min="8" max="9" width="12.140625" style="213" customWidth="1"/>
    <col min="10" max="10" width="7.85546875" style="213" customWidth="1"/>
    <col min="11" max="16384" width="9.140625" style="213"/>
  </cols>
  <sheetData>
    <row r="3" spans="1:17" ht="20.25">
      <c r="A3" s="212"/>
      <c r="C3" s="214" t="s">
        <v>414</v>
      </c>
      <c r="D3" s="212"/>
      <c r="E3" s="212"/>
      <c r="F3" s="212"/>
      <c r="G3" s="212"/>
      <c r="H3" s="212"/>
      <c r="I3" s="212"/>
      <c r="J3" s="212"/>
      <c r="K3" s="212"/>
      <c r="L3" s="212"/>
    </row>
    <row r="4" spans="1:17" ht="21" thickBot="1">
      <c r="A4" s="212"/>
      <c r="C4" s="214"/>
      <c r="D4" s="212"/>
      <c r="E4" s="212"/>
      <c r="F4" s="212"/>
      <c r="G4" s="212"/>
      <c r="H4" s="212"/>
      <c r="I4" s="212"/>
      <c r="J4" s="212"/>
      <c r="K4" s="212"/>
      <c r="L4" s="212"/>
    </row>
    <row r="5" spans="1:17" ht="16.5" thickBot="1">
      <c r="A5" s="212"/>
      <c r="B5" s="215" t="s">
        <v>160</v>
      </c>
      <c r="C5" s="212" t="s">
        <v>2378</v>
      </c>
      <c r="D5" s="212"/>
      <c r="E5" s="212"/>
      <c r="F5" s="212"/>
      <c r="H5" s="216">
        <f>'תקציב הנדסה 2022 '!U77</f>
        <v>9580000</v>
      </c>
      <c r="I5" s="212"/>
      <c r="J5" s="212"/>
      <c r="K5" s="212"/>
      <c r="L5" s="212"/>
    </row>
    <row r="6" spans="1:17" ht="21" thickBot="1">
      <c r="A6" s="212"/>
      <c r="C6" s="214"/>
      <c r="D6" s="212"/>
      <c r="E6" s="212"/>
      <c r="F6" s="212"/>
      <c r="H6" s="212"/>
      <c r="I6" s="212"/>
      <c r="J6" s="212"/>
      <c r="K6" s="212"/>
      <c r="L6" s="212"/>
    </row>
    <row r="7" spans="1:17" ht="16.5" thickBot="1">
      <c r="B7" s="215" t="s">
        <v>160</v>
      </c>
      <c r="C7" s="212" t="s">
        <v>272</v>
      </c>
      <c r="D7" s="212"/>
      <c r="F7" s="212"/>
      <c r="H7" s="216">
        <f>'תקציב הנדסה 2022 '!A77</f>
        <v>72</v>
      </c>
      <c r="I7" s="212"/>
      <c r="J7" s="212"/>
      <c r="K7" s="212"/>
      <c r="L7" s="212"/>
      <c r="M7" s="212"/>
      <c r="N7" s="212"/>
      <c r="O7" s="212"/>
      <c r="P7" s="212"/>
      <c r="Q7" s="212"/>
    </row>
    <row r="8" spans="1:17" ht="15.75">
      <c r="B8" s="215"/>
      <c r="C8" s="212"/>
      <c r="D8" s="212"/>
      <c r="E8" s="212"/>
      <c r="F8" s="212"/>
      <c r="H8" s="212"/>
      <c r="I8" s="212"/>
      <c r="J8" s="212"/>
      <c r="K8" s="212"/>
      <c r="L8" s="212"/>
      <c r="M8" s="212"/>
      <c r="N8" s="212"/>
      <c r="O8" s="212"/>
      <c r="P8" s="212"/>
      <c r="Q8" s="212"/>
    </row>
    <row r="9" spans="1:17" ht="15.75">
      <c r="B9" s="215" t="s">
        <v>160</v>
      </c>
      <c r="C9" s="212" t="s">
        <v>273</v>
      </c>
      <c r="D9" s="212"/>
      <c r="E9" s="212"/>
      <c r="F9" s="212"/>
      <c r="G9" s="212"/>
      <c r="H9" s="212"/>
      <c r="I9" s="212"/>
      <c r="J9" s="212"/>
      <c r="K9" s="212"/>
      <c r="L9" s="212"/>
    </row>
    <row r="10" spans="1:17" ht="16.5" thickBot="1"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</row>
    <row r="11" spans="1:17" ht="15.75">
      <c r="C11" s="865" t="s">
        <v>274</v>
      </c>
      <c r="D11" s="866"/>
      <c r="E11" s="871" t="s">
        <v>275</v>
      </c>
      <c r="F11" s="872"/>
      <c r="G11" s="873"/>
      <c r="H11" s="250" t="s">
        <v>277</v>
      </c>
      <c r="I11" s="212"/>
      <c r="J11" s="212"/>
      <c r="K11" s="212"/>
      <c r="L11" s="212"/>
      <c r="M11" s="212"/>
      <c r="N11" s="212"/>
      <c r="O11" s="212"/>
      <c r="P11" s="212"/>
      <c r="Q11" s="212"/>
    </row>
    <row r="12" spans="1:17" ht="15.75">
      <c r="C12" s="867" t="s">
        <v>13</v>
      </c>
      <c r="D12" s="868"/>
      <c r="E12" s="859">
        <f>'תקציב הנדסה 2022 '!V77</f>
        <v>8005774</v>
      </c>
      <c r="F12" s="860"/>
      <c r="G12" s="861"/>
      <c r="H12" s="251">
        <f>E12/$E$14</f>
        <v>0.83567578288100208</v>
      </c>
      <c r="I12" s="212"/>
      <c r="J12" s="212"/>
      <c r="K12" s="212"/>
      <c r="L12" s="212"/>
      <c r="M12" s="212"/>
      <c r="N12" s="212"/>
      <c r="O12" s="212"/>
      <c r="P12" s="212"/>
      <c r="Q12" s="212"/>
    </row>
    <row r="13" spans="1:17" ht="15.75">
      <c r="C13" s="867" t="s">
        <v>84</v>
      </c>
      <c r="D13" s="868"/>
      <c r="E13" s="859">
        <f>'תקציב הנדסה 2022 '!AA77</f>
        <v>1574226</v>
      </c>
      <c r="F13" s="860"/>
      <c r="G13" s="861"/>
      <c r="H13" s="251">
        <f>E13/$E$14</f>
        <v>0.16432421711899792</v>
      </c>
      <c r="I13" s="212"/>
      <c r="J13" s="212"/>
      <c r="K13" s="212"/>
      <c r="L13" s="212"/>
      <c r="M13" s="212"/>
      <c r="N13" s="212"/>
      <c r="O13" s="212"/>
      <c r="P13" s="212"/>
      <c r="Q13" s="212"/>
    </row>
    <row r="14" spans="1:17" ht="16.5" thickBot="1">
      <c r="C14" s="869" t="s">
        <v>94</v>
      </c>
      <c r="D14" s="870"/>
      <c r="E14" s="862">
        <f>SUM(E12:E13)</f>
        <v>9580000</v>
      </c>
      <c r="F14" s="863"/>
      <c r="G14" s="864"/>
      <c r="H14" s="320">
        <f>E14/$E$14</f>
        <v>1</v>
      </c>
      <c r="I14" s="212"/>
      <c r="J14" s="212"/>
      <c r="K14" s="212"/>
      <c r="L14" s="212"/>
      <c r="M14" s="212"/>
      <c r="N14" s="212"/>
      <c r="O14" s="212"/>
      <c r="P14" s="212"/>
      <c r="Q14" s="212"/>
    </row>
    <row r="15" spans="1:17" ht="15.75">
      <c r="B15" s="215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</row>
    <row r="16" spans="1:17" s="295" customFormat="1" ht="15.75">
      <c r="C16" s="297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</row>
    <row r="17" spans="1:17" s="295" customFormat="1" ht="15.75">
      <c r="C17" s="297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</row>
    <row r="18" spans="1:17" s="295" customFormat="1" ht="15.75">
      <c r="A18" s="294"/>
      <c r="B18" s="294"/>
      <c r="C18" s="294"/>
      <c r="D18" s="360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</row>
    <row r="19" spans="1:17" s="295" customFormat="1" ht="15.75">
      <c r="A19" s="294"/>
      <c r="B19" s="294"/>
      <c r="C19" s="294"/>
      <c r="D19" s="359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</row>
    <row r="20" spans="1:17" s="295" customFormat="1" ht="15.75">
      <c r="A20" s="294"/>
      <c r="B20" s="294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</row>
    <row r="21" spans="1:17" s="295" customFormat="1" ht="15.75">
      <c r="A21" s="294"/>
      <c r="B21" s="294"/>
      <c r="C21" s="294"/>
      <c r="D21" s="294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</row>
    <row r="22" spans="1:17" s="295" customFormat="1" ht="15.75">
      <c r="A22" s="294"/>
      <c r="B22" s="294"/>
      <c r="C22" s="294"/>
      <c r="D22" s="316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</row>
    <row r="23" spans="1:17" s="295" customFormat="1" ht="15.75">
      <c r="A23" s="294"/>
      <c r="B23" s="294"/>
      <c r="C23" s="294"/>
      <c r="D23" s="316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</row>
    <row r="24" spans="1:17" s="295" customFormat="1" ht="15.75">
      <c r="A24" s="294"/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</row>
    <row r="26" spans="1:17" s="317" customFormat="1" ht="15.75">
      <c r="C26" s="318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</row>
  </sheetData>
  <mergeCells count="8">
    <mergeCell ref="E12:G12"/>
    <mergeCell ref="E13:G13"/>
    <mergeCell ref="E14:G14"/>
    <mergeCell ref="C11:D11"/>
    <mergeCell ref="C12:D12"/>
    <mergeCell ref="C13:D13"/>
    <mergeCell ref="C14:D14"/>
    <mergeCell ref="E11:G11"/>
  </mergeCells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3:Q36"/>
  <sheetViews>
    <sheetView showZeros="0" rightToLeft="1" workbookViewId="0">
      <selection activeCell="C55" sqref="C55"/>
    </sheetView>
  </sheetViews>
  <sheetFormatPr defaultColWidth="9.140625" defaultRowHeight="14.25"/>
  <cols>
    <col min="1" max="3" width="4.140625" style="213" customWidth="1"/>
    <col min="4" max="4" width="35.42578125" style="213" customWidth="1"/>
    <col min="5" max="5" width="39.5703125" style="213" customWidth="1"/>
    <col min="6" max="6" width="5.7109375" style="213" customWidth="1"/>
    <col min="7" max="7" width="5.5703125" style="213" customWidth="1"/>
    <col min="8" max="9" width="12.140625" style="213" customWidth="1"/>
    <col min="10" max="10" width="7.85546875" style="213" customWidth="1"/>
    <col min="11" max="16384" width="9.140625" style="213"/>
  </cols>
  <sheetData>
    <row r="3" spans="1:17" ht="20.25">
      <c r="A3" s="212"/>
      <c r="C3" s="214" t="s">
        <v>414</v>
      </c>
      <c r="D3" s="212"/>
      <c r="E3" s="212"/>
      <c r="F3" s="212"/>
      <c r="G3" s="212"/>
      <c r="H3" s="212"/>
      <c r="I3" s="212"/>
      <c r="J3" s="212"/>
      <c r="K3" s="212"/>
      <c r="L3" s="212"/>
    </row>
    <row r="4" spans="1:17" ht="20.25">
      <c r="A4" s="212"/>
      <c r="C4" s="214"/>
      <c r="D4" s="212"/>
      <c r="E4" s="212"/>
      <c r="F4" s="212"/>
      <c r="G4" s="212"/>
      <c r="H4" s="212"/>
      <c r="I4" s="212"/>
      <c r="J4" s="212"/>
      <c r="K4" s="212"/>
      <c r="L4" s="212"/>
    </row>
    <row r="5" spans="1:17" ht="15.75">
      <c r="B5" s="215" t="s">
        <v>160</v>
      </c>
      <c r="C5" s="212" t="s">
        <v>2379</v>
      </c>
      <c r="D5" s="212"/>
      <c r="E5" s="361"/>
      <c r="F5" s="212"/>
      <c r="H5" s="221"/>
      <c r="I5" s="212"/>
      <c r="J5" s="212"/>
      <c r="K5" s="212"/>
      <c r="L5" s="212"/>
      <c r="M5" s="212"/>
      <c r="N5" s="212"/>
      <c r="O5" s="212"/>
      <c r="P5" s="212"/>
      <c r="Q5" s="212"/>
    </row>
    <row r="6" spans="1:17" ht="15.75">
      <c r="C6" s="212"/>
      <c r="D6" s="212"/>
      <c r="E6" s="212"/>
      <c r="F6" s="212"/>
      <c r="H6" s="212"/>
      <c r="I6" s="212"/>
      <c r="J6" s="212"/>
      <c r="K6" s="212"/>
      <c r="L6" s="212"/>
    </row>
    <row r="7" spans="1:17" ht="15.75">
      <c r="D7" s="848" t="s">
        <v>278</v>
      </c>
      <c r="E7" s="849" t="s">
        <v>275</v>
      </c>
      <c r="F7" s="218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</row>
    <row r="8" spans="1:17" ht="15.75">
      <c r="C8" s="215"/>
      <c r="D8" s="850" t="s">
        <v>601</v>
      </c>
      <c r="E8" s="228">
        <f>'תקציב הנדסה 2022 '!U10</f>
        <v>3200000</v>
      </c>
      <c r="F8" s="221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</row>
    <row r="9" spans="1:17" ht="15.75">
      <c r="C9" s="215"/>
      <c r="D9" s="850" t="s">
        <v>2380</v>
      </c>
      <c r="E9" s="228">
        <f>'תקציב הנדסה 2022 '!U9+'תקציב הנדסה 2022 '!U69</f>
        <v>1750000</v>
      </c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</row>
    <row r="10" spans="1:17" ht="15.75">
      <c r="C10" s="215"/>
      <c r="D10" s="850" t="s">
        <v>100</v>
      </c>
      <c r="E10" s="228">
        <f>'תקציב הנדסה 2022 '!U29</f>
        <v>800000</v>
      </c>
      <c r="F10" s="221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</row>
    <row r="11" spans="1:17" ht="15.75">
      <c r="C11" s="215"/>
      <c r="D11" s="221"/>
      <c r="E11" s="244"/>
      <c r="F11" s="221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</row>
    <row r="12" spans="1:17" ht="15.75">
      <c r="C12" s="215"/>
      <c r="D12" s="221" t="s">
        <v>2381</v>
      </c>
      <c r="E12" s="244"/>
      <c r="F12" s="221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</row>
    <row r="13" spans="1:17" ht="15.75">
      <c r="C13" s="215"/>
      <c r="D13" s="221" t="s">
        <v>815</v>
      </c>
      <c r="E13" s="244"/>
      <c r="F13" s="221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</row>
    <row r="15" spans="1:17" ht="15.75">
      <c r="D15" s="310" t="s">
        <v>2417</v>
      </c>
    </row>
    <row r="36" spans="4:4" ht="15.75">
      <c r="D36" s="212"/>
    </row>
  </sheetData>
  <sortState ref="A8:Q12">
    <sortCondition descending="1" ref="E8:E12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Z93"/>
  <sheetViews>
    <sheetView showZeros="0" rightToLeft="1" zoomScaleNormal="100" workbookViewId="0">
      <pane xSplit="4" ySplit="4" topLeftCell="E74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9.140625" defaultRowHeight="15"/>
  <cols>
    <col min="1" max="1" width="4.28515625" style="12" customWidth="1"/>
    <col min="2" max="2" width="6.140625" style="12" customWidth="1"/>
    <col min="3" max="3" width="22.28515625" style="18" customWidth="1"/>
    <col min="4" max="6" width="10.140625" style="14" customWidth="1"/>
    <col min="7" max="8" width="11.140625" style="14" hidden="1" customWidth="1"/>
    <col min="9" max="11" width="10.7109375" style="14" hidden="1" customWidth="1"/>
    <col min="12" max="15" width="10.140625" style="14" customWidth="1"/>
    <col min="16" max="19" width="10.7109375" style="14" hidden="1" customWidth="1"/>
    <col min="20" max="20" width="9.140625" style="14" customWidth="1"/>
    <col min="21" max="22" width="9.140625" style="12" customWidth="1"/>
    <col min="23" max="26" width="10.7109375" style="12" hidden="1" customWidth="1"/>
    <col min="27" max="27" width="9.140625" style="12" customWidth="1"/>
    <col min="28" max="28" width="30.42578125" style="18" customWidth="1"/>
    <col min="29" max="29" width="9.140625" style="12" hidden="1" customWidth="1"/>
    <col min="30" max="30" width="15.7109375" style="335" customWidth="1"/>
    <col min="31" max="31" width="25.42578125" style="335" customWidth="1"/>
    <col min="32" max="32" width="22.5703125" style="335" customWidth="1"/>
    <col min="33" max="34" width="11.5703125" style="335" customWidth="1"/>
    <col min="35" max="36" width="9.140625" style="335" customWidth="1"/>
    <col min="37" max="37" width="24.85546875" style="335" customWidth="1"/>
    <col min="38" max="38" width="23" style="335" customWidth="1"/>
    <col min="39" max="40" width="18.140625" style="335" customWidth="1"/>
    <col min="41" max="41" width="20.140625" style="335" customWidth="1"/>
    <col min="42" max="42" width="13.7109375" style="335" customWidth="1"/>
    <col min="43" max="44" width="17.42578125" style="335" customWidth="1"/>
    <col min="45" max="45" width="21.7109375" style="335" customWidth="1"/>
    <col min="46" max="46" width="17.42578125" style="335" customWidth="1"/>
    <col min="47" max="47" width="21.7109375" style="335" customWidth="1"/>
    <col min="48" max="48" width="9.7109375" style="335" customWidth="1"/>
    <col min="49" max="49" width="9.140625" style="335" customWidth="1"/>
    <col min="50" max="50" width="23" style="335" customWidth="1"/>
    <col min="51" max="51" width="12.140625" style="335" customWidth="1"/>
    <col min="52" max="52" width="9.140625" style="335" customWidth="1"/>
    <col min="53" max="53" width="9.140625" style="12" customWidth="1"/>
    <col min="54" max="16384" width="9.140625" style="12"/>
  </cols>
  <sheetData>
    <row r="1" spans="1:52" s="27" customFormat="1" ht="18.75">
      <c r="A1" s="26"/>
      <c r="B1" s="26"/>
      <c r="C1" s="63"/>
      <c r="J1" s="14"/>
      <c r="K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356"/>
      <c r="X1" s="356"/>
      <c r="Y1" s="356"/>
      <c r="Z1" s="356"/>
      <c r="AA1" s="356"/>
      <c r="AB1" s="356"/>
      <c r="AD1" s="335"/>
      <c r="AE1" s="335"/>
      <c r="AF1" s="335"/>
      <c r="AG1" s="335"/>
      <c r="AH1" s="335"/>
      <c r="AI1" s="335"/>
      <c r="AJ1" s="335"/>
      <c r="AK1" s="335"/>
      <c r="AL1" s="335"/>
      <c r="AM1" s="335"/>
      <c r="AN1" s="335"/>
      <c r="AO1" s="335"/>
      <c r="AP1" s="335"/>
      <c r="AQ1" s="335"/>
      <c r="AR1" s="335"/>
      <c r="AS1" s="335"/>
      <c r="AT1" s="335"/>
      <c r="AU1" s="335"/>
      <c r="AV1" s="335"/>
      <c r="AW1" s="335"/>
      <c r="AX1" s="335"/>
      <c r="AY1" s="335"/>
      <c r="AZ1" s="335"/>
    </row>
    <row r="2" spans="1:52" ht="18.75">
      <c r="A2" s="63" t="s">
        <v>414</v>
      </c>
      <c r="B2" s="26"/>
      <c r="C2" s="252"/>
      <c r="D2" s="27"/>
      <c r="E2" s="27"/>
      <c r="F2" s="27"/>
      <c r="K2" s="26"/>
      <c r="M2" s="354"/>
      <c r="N2" s="354"/>
      <c r="O2" s="354"/>
      <c r="P2" s="354"/>
      <c r="Q2" s="354"/>
      <c r="R2" s="354"/>
      <c r="S2" s="354"/>
      <c r="T2" s="354"/>
      <c r="U2" s="356"/>
      <c r="V2" s="356"/>
      <c r="W2" s="356"/>
      <c r="X2" s="356"/>
      <c r="Y2" s="356"/>
      <c r="Z2" s="356"/>
      <c r="AA2" s="356"/>
      <c r="AB2" s="12"/>
    </row>
    <row r="3" spans="1:52" ht="24.6" customHeight="1">
      <c r="D3" s="355"/>
      <c r="E3" s="13"/>
      <c r="F3" s="13"/>
      <c r="G3" s="442"/>
      <c r="H3" s="13"/>
      <c r="I3" s="13"/>
      <c r="J3" s="13"/>
      <c r="K3" s="13"/>
      <c r="L3" s="355"/>
      <c r="M3" s="398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</row>
    <row r="4" spans="1:52" s="29" customFormat="1" ht="86.25" customHeight="1">
      <c r="A4" s="9" t="s">
        <v>0</v>
      </c>
      <c r="B4" s="9" t="s">
        <v>1</v>
      </c>
      <c r="C4" s="9" t="s">
        <v>2</v>
      </c>
      <c r="D4" s="9" t="s">
        <v>89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9</v>
      </c>
      <c r="J4" s="9" t="s">
        <v>153</v>
      </c>
      <c r="K4" s="9" t="s">
        <v>10</v>
      </c>
      <c r="L4" s="9" t="s">
        <v>11</v>
      </c>
      <c r="M4" s="9" t="s">
        <v>891</v>
      </c>
      <c r="N4" s="9" t="s">
        <v>892</v>
      </c>
      <c r="O4" s="9" t="s">
        <v>893</v>
      </c>
      <c r="P4" s="9" t="s">
        <v>12</v>
      </c>
      <c r="Q4" s="9" t="s">
        <v>894</v>
      </c>
      <c r="R4" s="9" t="s">
        <v>895</v>
      </c>
      <c r="S4" s="9" t="s">
        <v>896</v>
      </c>
      <c r="T4" s="9" t="s">
        <v>897</v>
      </c>
      <c r="U4" s="9" t="s">
        <v>898</v>
      </c>
      <c r="V4" s="9" t="s">
        <v>13</v>
      </c>
      <c r="W4" s="9" t="s">
        <v>14</v>
      </c>
      <c r="X4" s="9" t="s">
        <v>15</v>
      </c>
      <c r="Y4" s="9" t="s">
        <v>265</v>
      </c>
      <c r="Z4" s="9" t="s">
        <v>749</v>
      </c>
      <c r="AA4" s="9" t="s">
        <v>84</v>
      </c>
      <c r="AB4" s="16" t="s">
        <v>304</v>
      </c>
      <c r="AC4" s="9" t="s">
        <v>16</v>
      </c>
      <c r="AD4" s="335"/>
      <c r="AE4" s="335"/>
      <c r="AF4" s="335"/>
      <c r="AG4" s="335"/>
      <c r="AH4" s="335"/>
      <c r="AI4" s="335"/>
      <c r="AJ4" s="335"/>
      <c r="AK4" s="335"/>
      <c r="AL4" s="335"/>
      <c r="AM4" s="335"/>
      <c r="AN4" s="335"/>
      <c r="AO4" s="335"/>
      <c r="AP4" s="335"/>
      <c r="AQ4" s="335"/>
      <c r="AR4" s="335"/>
      <c r="AS4" s="335"/>
      <c r="AT4" s="335"/>
      <c r="AU4" s="335"/>
      <c r="AV4" s="335"/>
      <c r="AW4" s="335"/>
      <c r="AX4" s="335"/>
      <c r="AY4" s="335"/>
      <c r="AZ4" s="335"/>
    </row>
    <row r="5" spans="1:52" s="5" customFormat="1" ht="45">
      <c r="A5" s="3">
        <v>1</v>
      </c>
      <c r="B5" s="3">
        <v>179</v>
      </c>
      <c r="C5" s="3" t="s">
        <v>29</v>
      </c>
      <c r="D5" s="4">
        <f>3170250+30000</f>
        <v>3200250</v>
      </c>
      <c r="E5" s="4">
        <v>3170250</v>
      </c>
      <c r="F5" s="4">
        <f t="shared" ref="F5:F56" si="0">D5-E5</f>
        <v>30000</v>
      </c>
      <c r="G5" s="4">
        <v>3100250</v>
      </c>
      <c r="H5" s="4">
        <v>2934748</v>
      </c>
      <c r="I5" s="4">
        <v>0</v>
      </c>
      <c r="J5" s="4">
        <v>13909</v>
      </c>
      <c r="K5" s="4">
        <f t="shared" ref="K5:K60" si="1">SUM(I5:J5)</f>
        <v>13909</v>
      </c>
      <c r="L5" s="4">
        <f t="shared" ref="L5:L56" si="2">H5+K5</f>
        <v>2948657</v>
      </c>
      <c r="M5" s="4">
        <f>P5+S5-150000+50000</f>
        <v>51593</v>
      </c>
      <c r="N5" s="4">
        <v>200000</v>
      </c>
      <c r="O5" s="4">
        <f t="shared" ref="O5:O56" si="3">D5-L5-M5-N5</f>
        <v>0</v>
      </c>
      <c r="P5" s="4">
        <f t="shared" ref="P5:P68" si="4">G5-L5</f>
        <v>151593</v>
      </c>
      <c r="Q5" s="4"/>
      <c r="R5" s="4"/>
      <c r="S5" s="4">
        <f t="shared" ref="S5:S56" si="5">SUM(Q5:R5)</f>
        <v>0</v>
      </c>
      <c r="T5" s="4">
        <f t="shared" ref="T5:T68" si="6">P5-M5+S5</f>
        <v>100000</v>
      </c>
      <c r="U5" s="4">
        <f t="shared" ref="U5:U68" si="7">N5-T5</f>
        <v>100000</v>
      </c>
      <c r="V5" s="4">
        <f t="shared" ref="V5:V56" si="8">U5-AA5-W5-Z5</f>
        <v>100000</v>
      </c>
      <c r="W5" s="4"/>
      <c r="X5" s="4"/>
      <c r="Y5" s="4"/>
      <c r="Z5" s="4"/>
      <c r="AA5" s="3"/>
      <c r="AB5" s="3" t="s">
        <v>939</v>
      </c>
      <c r="AC5" s="3">
        <v>732000</v>
      </c>
      <c r="AD5" s="335"/>
      <c r="AE5" s="335"/>
      <c r="AF5" s="335"/>
      <c r="AG5" s="335"/>
      <c r="AH5" s="335"/>
      <c r="AI5" s="335"/>
      <c r="AJ5" s="335"/>
      <c r="AK5" s="335"/>
      <c r="AL5" s="335"/>
      <c r="AM5" s="335"/>
      <c r="AN5" s="335"/>
      <c r="AO5" s="335"/>
      <c r="AP5" s="335"/>
      <c r="AQ5" s="335"/>
      <c r="AR5" s="335"/>
      <c r="AS5" s="335"/>
      <c r="AT5" s="335"/>
      <c r="AU5" s="335"/>
      <c r="AV5" s="335"/>
      <c r="AW5" s="335"/>
      <c r="AX5" s="335"/>
      <c r="AY5" s="335"/>
      <c r="AZ5" s="335"/>
    </row>
    <row r="6" spans="1:52" s="5" customFormat="1" ht="45">
      <c r="A6" s="3">
        <f>A5+1</f>
        <v>2</v>
      </c>
      <c r="B6" s="3">
        <v>507</v>
      </c>
      <c r="C6" s="3" t="s">
        <v>43</v>
      </c>
      <c r="D6" s="4">
        <f>1965000+200000+150000</f>
        <v>2315000</v>
      </c>
      <c r="E6" s="4">
        <v>1965000</v>
      </c>
      <c r="F6" s="4">
        <f t="shared" si="0"/>
        <v>350000</v>
      </c>
      <c r="G6" s="4">
        <v>1965000</v>
      </c>
      <c r="H6" s="4">
        <v>1653104</v>
      </c>
      <c r="I6" s="4">
        <v>0</v>
      </c>
      <c r="J6" s="4">
        <v>0</v>
      </c>
      <c r="K6" s="4">
        <f t="shared" si="1"/>
        <v>0</v>
      </c>
      <c r="L6" s="4">
        <f t="shared" si="2"/>
        <v>1653104</v>
      </c>
      <c r="M6" s="4">
        <f>P6+S6-300000+150000</f>
        <v>161896</v>
      </c>
      <c r="N6" s="4">
        <v>500000</v>
      </c>
      <c r="O6" s="4">
        <f t="shared" si="3"/>
        <v>0</v>
      </c>
      <c r="P6" s="4">
        <f t="shared" si="4"/>
        <v>311896</v>
      </c>
      <c r="Q6" s="4"/>
      <c r="R6" s="4"/>
      <c r="S6" s="4">
        <f t="shared" si="5"/>
        <v>0</v>
      </c>
      <c r="T6" s="4">
        <f t="shared" si="6"/>
        <v>150000</v>
      </c>
      <c r="U6" s="4">
        <f t="shared" si="7"/>
        <v>350000</v>
      </c>
      <c r="V6" s="4">
        <f t="shared" si="8"/>
        <v>350000</v>
      </c>
      <c r="W6" s="4"/>
      <c r="X6" s="4"/>
      <c r="Y6" s="4"/>
      <c r="Z6" s="4"/>
      <c r="AA6" s="3"/>
      <c r="AB6" s="3" t="s">
        <v>514</v>
      </c>
      <c r="AC6" s="3">
        <v>742000</v>
      </c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35"/>
      <c r="AY6" s="335"/>
      <c r="AZ6" s="335"/>
    </row>
    <row r="7" spans="1:52" s="5" customFormat="1" ht="31.9" customHeight="1">
      <c r="A7" s="3">
        <f t="shared" ref="A7:A70" si="9">A6+1</f>
        <v>3</v>
      </c>
      <c r="B7" s="3">
        <v>546</v>
      </c>
      <c r="C7" s="3" t="s">
        <v>44</v>
      </c>
      <c r="D7" s="4">
        <v>2920000</v>
      </c>
      <c r="E7" s="4">
        <v>2920000</v>
      </c>
      <c r="F7" s="4">
        <f t="shared" si="0"/>
        <v>0</v>
      </c>
      <c r="G7" s="4">
        <v>2920000</v>
      </c>
      <c r="H7" s="4">
        <v>2895703</v>
      </c>
      <c r="I7" s="4">
        <v>0</v>
      </c>
      <c r="J7" s="4">
        <v>18053</v>
      </c>
      <c r="K7" s="4">
        <f t="shared" si="1"/>
        <v>18053</v>
      </c>
      <c r="L7" s="4">
        <f t="shared" si="2"/>
        <v>2913756</v>
      </c>
      <c r="M7" s="4">
        <f>P7+S7</f>
        <v>6244</v>
      </c>
      <c r="N7" s="4"/>
      <c r="O7" s="4">
        <f t="shared" si="3"/>
        <v>0</v>
      </c>
      <c r="P7" s="4">
        <f t="shared" si="4"/>
        <v>6244</v>
      </c>
      <c r="Q7" s="4"/>
      <c r="R7" s="4"/>
      <c r="S7" s="4">
        <f t="shared" si="5"/>
        <v>0</v>
      </c>
      <c r="T7" s="4">
        <f t="shared" si="6"/>
        <v>0</v>
      </c>
      <c r="U7" s="4">
        <f t="shared" si="7"/>
        <v>0</v>
      </c>
      <c r="V7" s="4">
        <f t="shared" si="8"/>
        <v>0</v>
      </c>
      <c r="W7" s="4"/>
      <c r="X7" s="4"/>
      <c r="Y7" s="4"/>
      <c r="Z7" s="4"/>
      <c r="AA7" s="3"/>
      <c r="AB7" s="3" t="s">
        <v>679</v>
      </c>
      <c r="AC7" s="3">
        <v>742000</v>
      </c>
      <c r="AD7" s="335"/>
      <c r="AE7" s="335"/>
      <c r="AF7" s="335"/>
      <c r="AG7" s="335"/>
      <c r="AH7" s="335"/>
      <c r="AI7" s="335"/>
      <c r="AJ7" s="335"/>
      <c r="AK7" s="335"/>
      <c r="AL7" s="335"/>
      <c r="AM7" s="335"/>
      <c r="AN7" s="335"/>
      <c r="AO7" s="335"/>
      <c r="AP7" s="335"/>
      <c r="AQ7" s="335"/>
      <c r="AR7" s="335"/>
      <c r="AS7" s="335"/>
      <c r="AT7" s="335"/>
      <c r="AU7" s="335"/>
      <c r="AV7" s="335"/>
      <c r="AW7" s="335"/>
      <c r="AX7" s="335"/>
      <c r="AY7" s="335"/>
      <c r="AZ7" s="335"/>
    </row>
    <row r="8" spans="1:52" s="5" customFormat="1" ht="30" customHeight="1">
      <c r="A8" s="3">
        <f t="shared" si="9"/>
        <v>4</v>
      </c>
      <c r="B8" s="3">
        <v>592</v>
      </c>
      <c r="C8" s="3" t="s">
        <v>23</v>
      </c>
      <c r="D8" s="4">
        <v>54893000</v>
      </c>
      <c r="E8" s="4">
        <v>54893000</v>
      </c>
      <c r="F8" s="4">
        <f t="shared" si="0"/>
        <v>0</v>
      </c>
      <c r="G8" s="4">
        <v>21420000</v>
      </c>
      <c r="H8" s="4">
        <v>19882849</v>
      </c>
      <c r="I8" s="4">
        <v>149112</v>
      </c>
      <c r="J8" s="4">
        <v>278238</v>
      </c>
      <c r="K8" s="4">
        <f t="shared" si="1"/>
        <v>427350</v>
      </c>
      <c r="L8" s="4">
        <f t="shared" si="2"/>
        <v>20310199</v>
      </c>
      <c r="M8" s="4">
        <f>P8+S8-1100000+300000</f>
        <v>309801</v>
      </c>
      <c r="N8" s="4">
        <v>1100000</v>
      </c>
      <c r="O8" s="4">
        <f t="shared" si="3"/>
        <v>33173000</v>
      </c>
      <c r="P8" s="4">
        <f t="shared" si="4"/>
        <v>1109801</v>
      </c>
      <c r="Q8" s="4"/>
      <c r="R8" s="4"/>
      <c r="S8" s="4">
        <f t="shared" si="5"/>
        <v>0</v>
      </c>
      <c r="T8" s="4">
        <f t="shared" si="6"/>
        <v>800000</v>
      </c>
      <c r="U8" s="4">
        <f t="shared" si="7"/>
        <v>300000</v>
      </c>
      <c r="V8" s="4">
        <f t="shared" si="8"/>
        <v>300000</v>
      </c>
      <c r="W8" s="4"/>
      <c r="X8" s="4"/>
      <c r="Y8" s="4"/>
      <c r="Z8" s="4"/>
      <c r="AA8" s="3"/>
      <c r="AB8" s="3" t="s">
        <v>727</v>
      </c>
      <c r="AC8" s="3">
        <v>742000</v>
      </c>
      <c r="AD8" s="335"/>
      <c r="AE8" s="335"/>
      <c r="AF8" s="335"/>
      <c r="AG8" s="335"/>
      <c r="AH8" s="335"/>
      <c r="AI8" s="335"/>
      <c r="AJ8" s="335"/>
      <c r="AK8" s="335"/>
      <c r="AL8" s="335"/>
      <c r="AM8" s="335"/>
      <c r="AN8" s="335"/>
      <c r="AO8" s="335"/>
      <c r="AP8" s="335"/>
      <c r="AQ8" s="335"/>
      <c r="AR8" s="335"/>
      <c r="AS8" s="335"/>
      <c r="AT8" s="335"/>
      <c r="AU8" s="335"/>
      <c r="AV8" s="335"/>
      <c r="AW8" s="335"/>
      <c r="AX8" s="335"/>
      <c r="AY8" s="335"/>
      <c r="AZ8" s="335"/>
    </row>
    <row r="9" spans="1:52" s="5" customFormat="1" ht="30" customHeight="1">
      <c r="A9" s="3">
        <f t="shared" si="9"/>
        <v>5</v>
      </c>
      <c r="B9" s="3">
        <v>608</v>
      </c>
      <c r="C9" s="3" t="s">
        <v>30</v>
      </c>
      <c r="D9" s="4">
        <v>8300000</v>
      </c>
      <c r="E9" s="4">
        <v>8300000</v>
      </c>
      <c r="F9" s="4">
        <f t="shared" si="0"/>
        <v>0</v>
      </c>
      <c r="G9" s="4">
        <v>6200000</v>
      </c>
      <c r="H9" s="4">
        <v>5803860</v>
      </c>
      <c r="I9" s="4">
        <v>0</v>
      </c>
      <c r="J9" s="4">
        <v>36837</v>
      </c>
      <c r="K9" s="4">
        <f t="shared" si="1"/>
        <v>36837</v>
      </c>
      <c r="L9" s="4">
        <f t="shared" si="2"/>
        <v>5840697</v>
      </c>
      <c r="M9" s="4">
        <f>P9+S9-250000+250000</f>
        <v>359303</v>
      </c>
      <c r="N9" s="4">
        <v>1000000</v>
      </c>
      <c r="O9" s="4">
        <f t="shared" si="3"/>
        <v>1100000</v>
      </c>
      <c r="P9" s="4">
        <f t="shared" si="4"/>
        <v>359303</v>
      </c>
      <c r="Q9" s="4"/>
      <c r="R9" s="4"/>
      <c r="S9" s="4">
        <f t="shared" si="5"/>
        <v>0</v>
      </c>
      <c r="T9" s="4">
        <f t="shared" si="6"/>
        <v>0</v>
      </c>
      <c r="U9" s="4">
        <f t="shared" si="7"/>
        <v>1000000</v>
      </c>
      <c r="V9" s="4">
        <f t="shared" si="8"/>
        <v>1000000</v>
      </c>
      <c r="W9" s="4"/>
      <c r="X9" s="4"/>
      <c r="Y9" s="4"/>
      <c r="Z9" s="4"/>
      <c r="AA9" s="3"/>
      <c r="AB9" s="3" t="s">
        <v>306</v>
      </c>
      <c r="AC9" s="3">
        <v>745000</v>
      </c>
      <c r="AD9" s="335"/>
      <c r="AE9" s="335"/>
      <c r="AF9" s="335"/>
      <c r="AG9" s="335"/>
      <c r="AH9" s="335"/>
      <c r="AI9" s="335"/>
      <c r="AJ9" s="335"/>
      <c r="AK9" s="335"/>
      <c r="AL9" s="335"/>
      <c r="AM9" s="335"/>
      <c r="AN9" s="335"/>
      <c r="AO9" s="335"/>
      <c r="AP9" s="335"/>
      <c r="AQ9" s="335"/>
      <c r="AR9" s="335"/>
      <c r="AS9" s="335"/>
      <c r="AT9" s="335"/>
      <c r="AU9" s="335"/>
      <c r="AV9" s="335"/>
      <c r="AW9" s="335"/>
      <c r="AX9" s="335"/>
      <c r="AY9" s="335"/>
      <c r="AZ9" s="335"/>
    </row>
    <row r="10" spans="1:52" s="6" customFormat="1" ht="60">
      <c r="A10" s="3">
        <f t="shared" si="9"/>
        <v>6</v>
      </c>
      <c r="B10" s="3">
        <v>626</v>
      </c>
      <c r="C10" s="3" t="s">
        <v>601</v>
      </c>
      <c r="D10" s="4">
        <v>34775000</v>
      </c>
      <c r="E10" s="4">
        <v>34775000</v>
      </c>
      <c r="F10" s="4">
        <f t="shared" si="0"/>
        <v>0</v>
      </c>
      <c r="G10" s="4">
        <v>16075000</v>
      </c>
      <c r="H10" s="4">
        <v>13753546</v>
      </c>
      <c r="I10" s="4">
        <v>0</v>
      </c>
      <c r="J10" s="4">
        <v>194828</v>
      </c>
      <c r="K10" s="4">
        <f t="shared" si="1"/>
        <v>194828</v>
      </c>
      <c r="L10" s="4">
        <f t="shared" si="2"/>
        <v>13948374</v>
      </c>
      <c r="M10" s="4">
        <f>P10+S10-2100000+1000000</f>
        <v>1026626</v>
      </c>
      <c r="N10" s="4">
        <f>15000000-10000000-700000</f>
        <v>4300000</v>
      </c>
      <c r="O10" s="4">
        <f t="shared" si="3"/>
        <v>15500000</v>
      </c>
      <c r="P10" s="4">
        <f t="shared" si="4"/>
        <v>2126626</v>
      </c>
      <c r="Q10" s="4"/>
      <c r="R10" s="4"/>
      <c r="S10" s="4">
        <f t="shared" si="5"/>
        <v>0</v>
      </c>
      <c r="T10" s="4">
        <f t="shared" si="6"/>
        <v>1100000</v>
      </c>
      <c r="U10" s="4">
        <f t="shared" si="7"/>
        <v>3200000</v>
      </c>
      <c r="V10" s="4">
        <f t="shared" si="8"/>
        <v>1200000</v>
      </c>
      <c r="W10" s="4"/>
      <c r="X10" s="4"/>
      <c r="Y10" s="4"/>
      <c r="Z10" s="4"/>
      <c r="AA10" s="4">
        <v>2000000</v>
      </c>
      <c r="AB10" s="3" t="s">
        <v>816</v>
      </c>
      <c r="AC10" s="3">
        <v>732000</v>
      </c>
      <c r="AD10" s="335"/>
      <c r="AE10" s="335"/>
      <c r="AF10" s="335"/>
      <c r="AG10" s="335"/>
      <c r="AH10" s="335"/>
      <c r="AI10" s="335"/>
      <c r="AJ10" s="335"/>
      <c r="AK10" s="335"/>
      <c r="AL10" s="335"/>
      <c r="AM10" s="335"/>
      <c r="AN10" s="335"/>
      <c r="AO10" s="335"/>
      <c r="AP10" s="335"/>
      <c r="AQ10" s="335"/>
      <c r="AR10" s="335"/>
      <c r="AS10" s="335"/>
      <c r="AT10" s="335"/>
      <c r="AU10" s="335"/>
      <c r="AV10" s="335"/>
      <c r="AW10" s="335"/>
      <c r="AX10" s="335"/>
      <c r="AY10" s="335"/>
      <c r="AZ10" s="335"/>
    </row>
    <row r="11" spans="1:52" s="5" customFormat="1" ht="30" customHeight="1">
      <c r="A11" s="3">
        <f t="shared" si="9"/>
        <v>7</v>
      </c>
      <c r="B11" s="3">
        <v>638</v>
      </c>
      <c r="C11" s="3" t="s">
        <v>475</v>
      </c>
      <c r="D11" s="4">
        <f>7000000-2764000+200000</f>
        <v>4436000</v>
      </c>
      <c r="E11" s="4">
        <v>7000000</v>
      </c>
      <c r="F11" s="4">
        <f t="shared" si="0"/>
        <v>-2564000</v>
      </c>
      <c r="G11" s="4">
        <v>3936000</v>
      </c>
      <c r="H11" s="4">
        <v>3713997</v>
      </c>
      <c r="I11" s="4">
        <v>0</v>
      </c>
      <c r="J11" s="4">
        <v>2399</v>
      </c>
      <c r="K11" s="4">
        <f t="shared" si="1"/>
        <v>2399</v>
      </c>
      <c r="L11" s="4">
        <f t="shared" si="2"/>
        <v>3716396</v>
      </c>
      <c r="M11" s="4">
        <f>P11+S11-200000+200000</f>
        <v>719604</v>
      </c>
      <c r="N11" s="4">
        <f>1000000-1000000</f>
        <v>0</v>
      </c>
      <c r="O11" s="4">
        <f t="shared" si="3"/>
        <v>0</v>
      </c>
      <c r="P11" s="4">
        <f t="shared" si="4"/>
        <v>219604</v>
      </c>
      <c r="Q11" s="4">
        <f>300000+200000</f>
        <v>500000</v>
      </c>
      <c r="R11" s="4"/>
      <c r="S11" s="4">
        <f t="shared" si="5"/>
        <v>500000</v>
      </c>
      <c r="T11" s="4">
        <f t="shared" si="6"/>
        <v>0</v>
      </c>
      <c r="U11" s="4">
        <f t="shared" si="7"/>
        <v>0</v>
      </c>
      <c r="V11" s="4">
        <f t="shared" si="8"/>
        <v>0</v>
      </c>
      <c r="W11" s="4"/>
      <c r="X11" s="4"/>
      <c r="Y11" s="4"/>
      <c r="Z11" s="4"/>
      <c r="AA11" s="3"/>
      <c r="AB11" s="3" t="s">
        <v>719</v>
      </c>
      <c r="AC11" s="3">
        <v>742000</v>
      </c>
      <c r="AD11" s="335"/>
      <c r="AE11" s="335"/>
      <c r="AF11" s="335"/>
      <c r="AG11" s="335"/>
      <c r="AH11" s="335"/>
      <c r="AI11" s="335"/>
      <c r="AJ11" s="335"/>
      <c r="AK11" s="335"/>
      <c r="AL11" s="335"/>
      <c r="AM11" s="335"/>
      <c r="AN11" s="335"/>
      <c r="AO11" s="335"/>
      <c r="AP11" s="335"/>
      <c r="AQ11" s="335"/>
      <c r="AR11" s="335"/>
      <c r="AS11" s="335"/>
      <c r="AT11" s="335"/>
      <c r="AU11" s="335"/>
      <c r="AV11" s="335"/>
      <c r="AW11" s="335"/>
      <c r="AX11" s="335"/>
      <c r="AY11" s="335"/>
      <c r="AZ11" s="335"/>
    </row>
    <row r="12" spans="1:52" s="5" customFormat="1" ht="60">
      <c r="A12" s="3">
        <f t="shared" si="9"/>
        <v>8</v>
      </c>
      <c r="B12" s="3">
        <v>1018</v>
      </c>
      <c r="C12" s="3" t="s">
        <v>24</v>
      </c>
      <c r="D12" s="4">
        <v>31900000</v>
      </c>
      <c r="E12" s="4">
        <v>31900000</v>
      </c>
      <c r="F12" s="4">
        <f t="shared" si="0"/>
        <v>0</v>
      </c>
      <c r="G12" s="4">
        <v>3150000</v>
      </c>
      <c r="H12" s="4">
        <v>3059671</v>
      </c>
      <c r="I12" s="4">
        <v>84193</v>
      </c>
      <c r="J12" s="4">
        <v>0</v>
      </c>
      <c r="K12" s="4">
        <f t="shared" si="1"/>
        <v>84193</v>
      </c>
      <c r="L12" s="4">
        <f t="shared" si="2"/>
        <v>3143864</v>
      </c>
      <c r="M12" s="4">
        <f>P12+S12</f>
        <v>6136</v>
      </c>
      <c r="N12" s="4"/>
      <c r="O12" s="4">
        <f t="shared" si="3"/>
        <v>28750000</v>
      </c>
      <c r="P12" s="4">
        <f t="shared" si="4"/>
        <v>6136</v>
      </c>
      <c r="Q12" s="4"/>
      <c r="R12" s="4"/>
      <c r="S12" s="4">
        <f t="shared" si="5"/>
        <v>0</v>
      </c>
      <c r="T12" s="4">
        <f t="shared" si="6"/>
        <v>0</v>
      </c>
      <c r="U12" s="4">
        <f t="shared" si="7"/>
        <v>0</v>
      </c>
      <c r="V12" s="4">
        <f t="shared" si="8"/>
        <v>0</v>
      </c>
      <c r="W12" s="4"/>
      <c r="X12" s="4"/>
      <c r="Y12" s="4"/>
      <c r="Z12" s="4"/>
      <c r="AA12" s="3"/>
      <c r="AB12" s="3" t="s">
        <v>515</v>
      </c>
      <c r="AC12" s="3">
        <v>742000</v>
      </c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5"/>
      <c r="AP12" s="335"/>
      <c r="AQ12" s="335"/>
      <c r="AR12" s="335"/>
      <c r="AS12" s="335"/>
      <c r="AT12" s="335"/>
      <c r="AU12" s="335"/>
      <c r="AV12" s="335"/>
      <c r="AW12" s="335"/>
      <c r="AX12" s="335"/>
      <c r="AY12" s="335"/>
      <c r="AZ12" s="335"/>
    </row>
    <row r="13" spans="1:52" s="5" customFormat="1" ht="45">
      <c r="A13" s="3">
        <f t="shared" si="9"/>
        <v>9</v>
      </c>
      <c r="B13" s="3">
        <v>1100</v>
      </c>
      <c r="C13" s="3" t="s">
        <v>17</v>
      </c>
      <c r="D13" s="4">
        <v>7000000</v>
      </c>
      <c r="E13" s="4">
        <v>7000000</v>
      </c>
      <c r="F13" s="4">
        <f t="shared" si="0"/>
        <v>0</v>
      </c>
      <c r="G13" s="4">
        <f>6250000+250000</f>
        <v>6500000</v>
      </c>
      <c r="H13" s="4">
        <v>5375582</v>
      </c>
      <c r="I13" s="4">
        <v>830137</v>
      </c>
      <c r="J13" s="4">
        <v>277574</v>
      </c>
      <c r="K13" s="4">
        <f t="shared" si="1"/>
        <v>1107711</v>
      </c>
      <c r="L13" s="4">
        <f t="shared" si="2"/>
        <v>6483293</v>
      </c>
      <c r="M13" s="4">
        <f>P13+S13-100000+100000</f>
        <v>166707</v>
      </c>
      <c r="N13" s="4">
        <v>300000</v>
      </c>
      <c r="O13" s="4">
        <f t="shared" si="3"/>
        <v>50000</v>
      </c>
      <c r="P13" s="4">
        <f t="shared" si="4"/>
        <v>16707</v>
      </c>
      <c r="Q13" s="4">
        <v>150000</v>
      </c>
      <c r="R13" s="4"/>
      <c r="S13" s="4">
        <f t="shared" si="5"/>
        <v>150000</v>
      </c>
      <c r="T13" s="4">
        <f t="shared" si="6"/>
        <v>0</v>
      </c>
      <c r="U13" s="4">
        <f t="shared" si="7"/>
        <v>300000</v>
      </c>
      <c r="V13" s="4">
        <f t="shared" si="8"/>
        <v>300000</v>
      </c>
      <c r="W13" s="4"/>
      <c r="X13" s="4"/>
      <c r="Y13" s="4"/>
      <c r="Z13" s="4"/>
      <c r="AA13" s="3"/>
      <c r="AB13" s="3" t="s">
        <v>597</v>
      </c>
      <c r="AC13" s="3">
        <v>732000</v>
      </c>
      <c r="AD13" s="335"/>
      <c r="AE13" s="335"/>
      <c r="AF13" s="335"/>
      <c r="AG13" s="335"/>
      <c r="AH13" s="335"/>
      <c r="AI13" s="335"/>
      <c r="AJ13" s="335"/>
      <c r="AK13" s="335"/>
      <c r="AL13" s="335"/>
      <c r="AM13" s="335"/>
      <c r="AN13" s="335"/>
      <c r="AO13" s="335"/>
      <c r="AP13" s="335"/>
      <c r="AQ13" s="335"/>
      <c r="AR13" s="335"/>
      <c r="AS13" s="335"/>
      <c r="AT13" s="335"/>
      <c r="AU13" s="335"/>
      <c r="AV13" s="335"/>
      <c r="AW13" s="335"/>
      <c r="AX13" s="335"/>
      <c r="AY13" s="335"/>
      <c r="AZ13" s="335"/>
    </row>
    <row r="14" spans="1:52" s="6" customFormat="1" ht="30" customHeight="1">
      <c r="A14" s="3">
        <f t="shared" si="9"/>
        <v>10</v>
      </c>
      <c r="B14" s="3">
        <v>1129</v>
      </c>
      <c r="C14" s="3" t="s">
        <v>31</v>
      </c>
      <c r="D14" s="4">
        <v>7000000</v>
      </c>
      <c r="E14" s="4">
        <v>7000000</v>
      </c>
      <c r="F14" s="4">
        <f t="shared" si="0"/>
        <v>0</v>
      </c>
      <c r="G14" s="4">
        <f>6241771+250000</f>
        <v>6491771</v>
      </c>
      <c r="H14" s="4">
        <v>5523249</v>
      </c>
      <c r="I14" s="4">
        <v>0</v>
      </c>
      <c r="J14" s="4">
        <v>648499</v>
      </c>
      <c r="K14" s="4">
        <f t="shared" si="1"/>
        <v>648499</v>
      </c>
      <c r="L14" s="4">
        <f t="shared" si="2"/>
        <v>6171748</v>
      </c>
      <c r="M14" s="4">
        <f>P14+S14-300000</f>
        <v>20023</v>
      </c>
      <c r="N14" s="4">
        <v>600000</v>
      </c>
      <c r="O14" s="4">
        <f t="shared" si="3"/>
        <v>208229</v>
      </c>
      <c r="P14" s="4">
        <f t="shared" si="4"/>
        <v>320023</v>
      </c>
      <c r="Q14" s="4"/>
      <c r="R14" s="4"/>
      <c r="S14" s="4">
        <f t="shared" si="5"/>
        <v>0</v>
      </c>
      <c r="T14" s="4">
        <f t="shared" si="6"/>
        <v>300000</v>
      </c>
      <c r="U14" s="4">
        <f t="shared" si="7"/>
        <v>300000</v>
      </c>
      <c r="V14" s="4">
        <f t="shared" si="8"/>
        <v>300000</v>
      </c>
      <c r="W14" s="4"/>
      <c r="X14" s="4"/>
      <c r="Y14" s="4"/>
      <c r="Z14" s="4"/>
      <c r="AA14" s="3"/>
      <c r="AB14" s="3" t="s">
        <v>415</v>
      </c>
      <c r="AC14" s="3">
        <v>742000</v>
      </c>
      <c r="AD14" s="335"/>
      <c r="AE14" s="335"/>
      <c r="AF14" s="335"/>
      <c r="AG14" s="335"/>
      <c r="AH14" s="335"/>
      <c r="AI14" s="335"/>
      <c r="AJ14" s="335"/>
      <c r="AK14" s="335"/>
      <c r="AL14" s="335"/>
      <c r="AM14" s="335"/>
      <c r="AN14" s="335"/>
      <c r="AO14" s="335"/>
      <c r="AP14" s="335"/>
      <c r="AQ14" s="335"/>
      <c r="AR14" s="335"/>
      <c r="AS14" s="335"/>
      <c r="AT14" s="335"/>
      <c r="AU14" s="335"/>
      <c r="AV14" s="335"/>
      <c r="AW14" s="335"/>
      <c r="AX14" s="335"/>
      <c r="AY14" s="335"/>
      <c r="AZ14" s="335"/>
    </row>
    <row r="15" spans="1:52" s="5" customFormat="1" ht="45">
      <c r="A15" s="3">
        <f t="shared" si="9"/>
        <v>11</v>
      </c>
      <c r="B15" s="3">
        <v>1220</v>
      </c>
      <c r="C15" s="3" t="s">
        <v>33</v>
      </c>
      <c r="D15" s="4">
        <f>7000000+50000+300000+310000+100000-500000</f>
        <v>7260000</v>
      </c>
      <c r="E15" s="4">
        <v>7000000</v>
      </c>
      <c r="F15" s="4">
        <f t="shared" si="0"/>
        <v>260000</v>
      </c>
      <c r="G15" s="4">
        <f>6010000+150000</f>
        <v>6160000</v>
      </c>
      <c r="H15" s="4">
        <v>5522194</v>
      </c>
      <c r="I15" s="4">
        <v>0</v>
      </c>
      <c r="J15" s="4">
        <v>441804</v>
      </c>
      <c r="K15" s="4">
        <f t="shared" si="1"/>
        <v>441804</v>
      </c>
      <c r="L15" s="4">
        <f t="shared" si="2"/>
        <v>5963998</v>
      </c>
      <c r="M15" s="4">
        <f>P15+S15-450000-10000+300000+160000</f>
        <v>296002</v>
      </c>
      <c r="N15" s="4">
        <f>1500000-500000</f>
        <v>1000000</v>
      </c>
      <c r="O15" s="4">
        <f t="shared" si="3"/>
        <v>0</v>
      </c>
      <c r="P15" s="4">
        <f t="shared" si="4"/>
        <v>196002</v>
      </c>
      <c r="Q15" s="4">
        <v>100000</v>
      </c>
      <c r="R15" s="4"/>
      <c r="S15" s="4">
        <f t="shared" si="5"/>
        <v>100000</v>
      </c>
      <c r="T15" s="4">
        <f t="shared" si="6"/>
        <v>0</v>
      </c>
      <c r="U15" s="4">
        <f t="shared" si="7"/>
        <v>1000000</v>
      </c>
      <c r="V15" s="4">
        <f t="shared" si="8"/>
        <v>1000000</v>
      </c>
      <c r="W15" s="4"/>
      <c r="X15" s="4"/>
      <c r="Y15" s="4"/>
      <c r="Z15" s="4"/>
      <c r="AA15" s="3"/>
      <c r="AB15" s="3" t="s">
        <v>751</v>
      </c>
      <c r="AC15" s="3">
        <v>732000</v>
      </c>
      <c r="AD15" s="335"/>
      <c r="AE15" s="335"/>
      <c r="AF15" s="335"/>
      <c r="AG15" s="335"/>
      <c r="AH15" s="335"/>
      <c r="AI15" s="335"/>
      <c r="AJ15" s="335"/>
      <c r="AK15" s="335"/>
      <c r="AL15" s="335"/>
      <c r="AM15" s="335"/>
      <c r="AN15" s="335"/>
      <c r="AO15" s="335"/>
      <c r="AP15" s="335"/>
      <c r="AQ15" s="335"/>
      <c r="AR15" s="335"/>
      <c r="AS15" s="335"/>
      <c r="AT15" s="335"/>
      <c r="AU15" s="335"/>
      <c r="AV15" s="335"/>
      <c r="AW15" s="335"/>
      <c r="AX15" s="335"/>
      <c r="AY15" s="335"/>
      <c r="AZ15" s="335"/>
    </row>
    <row r="16" spans="1:52" s="5" customFormat="1" ht="45">
      <c r="A16" s="3">
        <f t="shared" si="9"/>
        <v>12</v>
      </c>
      <c r="B16" s="3">
        <v>1363</v>
      </c>
      <c r="C16" s="3" t="s">
        <v>36</v>
      </c>
      <c r="D16" s="4">
        <f>7550000+950000-950000-150000</f>
        <v>7400000</v>
      </c>
      <c r="E16" s="4">
        <v>7550000</v>
      </c>
      <c r="F16" s="4">
        <f t="shared" si="0"/>
        <v>-150000</v>
      </c>
      <c r="G16" s="4">
        <v>7550000</v>
      </c>
      <c r="H16" s="4">
        <v>7068186</v>
      </c>
      <c r="I16" s="4">
        <v>72510</v>
      </c>
      <c r="J16" s="4">
        <v>158417</v>
      </c>
      <c r="K16" s="4">
        <f t="shared" si="1"/>
        <v>230927</v>
      </c>
      <c r="L16" s="4">
        <f t="shared" si="2"/>
        <v>7299113</v>
      </c>
      <c r="M16" s="4">
        <f>P16+S16-950000+950000-150000</f>
        <v>100887</v>
      </c>
      <c r="N16" s="4">
        <f>957852-7852-950000</f>
        <v>0</v>
      </c>
      <c r="O16" s="4">
        <f t="shared" si="3"/>
        <v>0</v>
      </c>
      <c r="P16" s="4">
        <f t="shared" si="4"/>
        <v>250887</v>
      </c>
      <c r="Q16" s="4"/>
      <c r="R16" s="4"/>
      <c r="S16" s="4">
        <f t="shared" si="5"/>
        <v>0</v>
      </c>
      <c r="T16" s="4">
        <f t="shared" si="6"/>
        <v>150000</v>
      </c>
      <c r="U16" s="4">
        <f t="shared" si="7"/>
        <v>-150000</v>
      </c>
      <c r="V16" s="4">
        <f t="shared" si="8"/>
        <v>-150000</v>
      </c>
      <c r="W16" s="4"/>
      <c r="X16" s="4"/>
      <c r="Y16" s="4"/>
      <c r="Z16" s="4"/>
      <c r="AA16" s="3"/>
      <c r="AB16" s="3" t="s">
        <v>870</v>
      </c>
      <c r="AC16" s="3">
        <v>742000</v>
      </c>
      <c r="AD16" s="335"/>
      <c r="AE16" s="335"/>
      <c r="AF16" s="335"/>
      <c r="AG16" s="335"/>
      <c r="AH16" s="335"/>
      <c r="AI16" s="335"/>
      <c r="AJ16" s="335"/>
      <c r="AK16" s="335"/>
      <c r="AL16" s="335"/>
      <c r="AM16" s="335"/>
      <c r="AN16" s="335"/>
      <c r="AO16" s="335"/>
      <c r="AP16" s="335"/>
      <c r="AQ16" s="335"/>
      <c r="AR16" s="335"/>
      <c r="AS16" s="335"/>
      <c r="AT16" s="335"/>
      <c r="AU16" s="335"/>
      <c r="AV16" s="335"/>
      <c r="AW16" s="335"/>
      <c r="AX16" s="335"/>
      <c r="AY16" s="335"/>
      <c r="AZ16" s="335"/>
    </row>
    <row r="17" spans="1:52" s="6" customFormat="1" ht="60">
      <c r="A17" s="3">
        <f t="shared" si="9"/>
        <v>13</v>
      </c>
      <c r="B17" s="3">
        <v>1366</v>
      </c>
      <c r="C17" s="3" t="s">
        <v>37</v>
      </c>
      <c r="D17" s="4">
        <f>1500000+1246000+130000-1500000+124000</f>
        <v>1500000</v>
      </c>
      <c r="E17" s="4">
        <v>1500000</v>
      </c>
      <c r="F17" s="4">
        <f t="shared" si="0"/>
        <v>0</v>
      </c>
      <c r="G17" s="4">
        <f>846000+130000</f>
        <v>976000</v>
      </c>
      <c r="H17" s="4">
        <v>742521</v>
      </c>
      <c r="I17" s="4">
        <v>0</v>
      </c>
      <c r="J17" s="4">
        <v>217545</v>
      </c>
      <c r="K17" s="4">
        <f t="shared" si="1"/>
        <v>217545</v>
      </c>
      <c r="L17" s="4">
        <f t="shared" si="2"/>
        <v>960066</v>
      </c>
      <c r="M17" s="4">
        <f>P17+S17</f>
        <v>115934</v>
      </c>
      <c r="N17" s="4">
        <f>1900000-1500000-100000</f>
        <v>300000</v>
      </c>
      <c r="O17" s="4">
        <f t="shared" si="3"/>
        <v>124000</v>
      </c>
      <c r="P17" s="4">
        <f t="shared" si="4"/>
        <v>15934</v>
      </c>
      <c r="Q17" s="4">
        <v>100000</v>
      </c>
      <c r="R17" s="4"/>
      <c r="S17" s="4">
        <f t="shared" si="5"/>
        <v>100000</v>
      </c>
      <c r="T17" s="4">
        <f t="shared" si="6"/>
        <v>0</v>
      </c>
      <c r="U17" s="4">
        <f t="shared" si="7"/>
        <v>300000</v>
      </c>
      <c r="V17" s="4">
        <f t="shared" si="8"/>
        <v>300000</v>
      </c>
      <c r="W17" s="4"/>
      <c r="X17" s="4"/>
      <c r="Y17" s="4"/>
      <c r="Z17" s="4"/>
      <c r="AA17" s="3"/>
      <c r="AB17" s="3" t="s">
        <v>720</v>
      </c>
      <c r="AC17" s="3">
        <v>742000</v>
      </c>
      <c r="AD17" s="335"/>
      <c r="AE17" s="335"/>
      <c r="AF17" s="335"/>
      <c r="AG17" s="335"/>
      <c r="AH17" s="335"/>
      <c r="AI17" s="335"/>
      <c r="AJ17" s="335"/>
      <c r="AK17" s="335"/>
      <c r="AL17" s="335"/>
      <c r="AM17" s="335"/>
      <c r="AN17" s="335"/>
      <c r="AO17" s="335"/>
      <c r="AP17" s="335"/>
      <c r="AQ17" s="335"/>
      <c r="AR17" s="335"/>
      <c r="AS17" s="335"/>
      <c r="AT17" s="335"/>
      <c r="AU17" s="335"/>
      <c r="AV17" s="335"/>
      <c r="AW17" s="335"/>
      <c r="AX17" s="335"/>
      <c r="AY17" s="335"/>
      <c r="AZ17" s="335"/>
    </row>
    <row r="18" spans="1:52" s="6" customFormat="1" ht="30" customHeight="1">
      <c r="A18" s="3">
        <f t="shared" si="9"/>
        <v>14</v>
      </c>
      <c r="B18" s="3">
        <v>1406</v>
      </c>
      <c r="C18" s="3" t="s">
        <v>115</v>
      </c>
      <c r="D18" s="4">
        <f>1200000+200000-50000</f>
        <v>1350000</v>
      </c>
      <c r="E18" s="4">
        <v>1200000</v>
      </c>
      <c r="F18" s="4">
        <f t="shared" si="0"/>
        <v>150000</v>
      </c>
      <c r="G18" s="4">
        <v>1200000</v>
      </c>
      <c r="H18" s="4">
        <v>913271</v>
      </c>
      <c r="I18" s="4">
        <v>1</v>
      </c>
      <c r="J18" s="4">
        <v>30747</v>
      </c>
      <c r="K18" s="4">
        <f t="shared" si="1"/>
        <v>30748</v>
      </c>
      <c r="L18" s="4">
        <f t="shared" si="2"/>
        <v>944019</v>
      </c>
      <c r="M18" s="4">
        <f>P18+S18-250000+200000</f>
        <v>205981</v>
      </c>
      <c r="N18" s="4">
        <f>250000-50000</f>
        <v>200000</v>
      </c>
      <c r="O18" s="4">
        <f t="shared" si="3"/>
        <v>0</v>
      </c>
      <c r="P18" s="4">
        <f t="shared" si="4"/>
        <v>255981</v>
      </c>
      <c r="Q18" s="4"/>
      <c r="R18" s="4"/>
      <c r="S18" s="4">
        <f t="shared" si="5"/>
        <v>0</v>
      </c>
      <c r="T18" s="4">
        <f t="shared" si="6"/>
        <v>50000</v>
      </c>
      <c r="U18" s="4">
        <f t="shared" si="7"/>
        <v>150000</v>
      </c>
      <c r="V18" s="4">
        <f t="shared" si="8"/>
        <v>150000</v>
      </c>
      <c r="W18" s="4"/>
      <c r="X18" s="4"/>
      <c r="Y18" s="4"/>
      <c r="Z18" s="4"/>
      <c r="AA18" s="3"/>
      <c r="AB18" s="3" t="s">
        <v>721</v>
      </c>
      <c r="AC18" s="3">
        <v>732000</v>
      </c>
      <c r="AD18" s="335"/>
      <c r="AE18" s="335"/>
      <c r="AF18" s="335"/>
      <c r="AG18" s="335"/>
      <c r="AH18" s="335"/>
      <c r="AI18" s="335"/>
      <c r="AJ18" s="335"/>
      <c r="AK18" s="335"/>
      <c r="AL18" s="335"/>
      <c r="AM18" s="335"/>
      <c r="AN18" s="335"/>
      <c r="AO18" s="335"/>
      <c r="AP18" s="335"/>
      <c r="AQ18" s="335"/>
      <c r="AR18" s="335"/>
      <c r="AS18" s="335"/>
      <c r="AT18" s="335"/>
      <c r="AU18" s="335"/>
      <c r="AV18" s="335"/>
      <c r="AW18" s="335"/>
      <c r="AX18" s="335"/>
      <c r="AY18" s="335"/>
      <c r="AZ18" s="335"/>
    </row>
    <row r="19" spans="1:52" s="6" customFormat="1" ht="45">
      <c r="A19" s="3">
        <f t="shared" si="9"/>
        <v>15</v>
      </c>
      <c r="B19" s="3">
        <v>1407</v>
      </c>
      <c r="C19" s="3" t="s">
        <v>18</v>
      </c>
      <c r="D19" s="4">
        <v>5295000</v>
      </c>
      <c r="E19" s="4">
        <v>5295000</v>
      </c>
      <c r="F19" s="4">
        <f t="shared" si="0"/>
        <v>0</v>
      </c>
      <c r="G19" s="4">
        <v>4145000</v>
      </c>
      <c r="H19" s="4">
        <v>2777353</v>
      </c>
      <c r="I19" s="4">
        <v>197044</v>
      </c>
      <c r="J19" s="4">
        <v>622715</v>
      </c>
      <c r="K19" s="4">
        <f t="shared" si="1"/>
        <v>819759</v>
      </c>
      <c r="L19" s="4">
        <f t="shared" si="2"/>
        <v>3597112</v>
      </c>
      <c r="M19" s="4">
        <f>P19+S19-700000+300000+400000-200000</f>
        <v>347888</v>
      </c>
      <c r="N19" s="4">
        <f>700000-400000-100000</f>
        <v>200000</v>
      </c>
      <c r="O19" s="4">
        <f t="shared" si="3"/>
        <v>1150000</v>
      </c>
      <c r="P19" s="4">
        <f t="shared" si="4"/>
        <v>547888</v>
      </c>
      <c r="Q19" s="4"/>
      <c r="R19" s="4"/>
      <c r="S19" s="4">
        <f t="shared" si="5"/>
        <v>0</v>
      </c>
      <c r="T19" s="4">
        <f t="shared" si="6"/>
        <v>200000</v>
      </c>
      <c r="U19" s="4">
        <f t="shared" si="7"/>
        <v>0</v>
      </c>
      <c r="V19" s="4">
        <f t="shared" si="8"/>
        <v>0</v>
      </c>
      <c r="W19" s="4"/>
      <c r="X19" s="4"/>
      <c r="Y19" s="4"/>
      <c r="Z19" s="4"/>
      <c r="AA19" s="3"/>
      <c r="AB19" s="3" t="s">
        <v>750</v>
      </c>
      <c r="AC19" s="3">
        <v>732000</v>
      </c>
      <c r="AD19" s="335"/>
      <c r="AE19" s="335"/>
      <c r="AF19" s="335"/>
      <c r="AG19" s="335"/>
      <c r="AH19" s="335"/>
      <c r="AI19" s="335"/>
      <c r="AJ19" s="335"/>
      <c r="AK19" s="335"/>
      <c r="AL19" s="335"/>
      <c r="AM19" s="335"/>
      <c r="AN19" s="335"/>
      <c r="AO19" s="335"/>
      <c r="AP19" s="335"/>
      <c r="AQ19" s="335"/>
      <c r="AR19" s="335"/>
      <c r="AS19" s="335"/>
      <c r="AT19" s="335"/>
      <c r="AU19" s="335"/>
      <c r="AV19" s="335"/>
      <c r="AW19" s="335"/>
      <c r="AX19" s="335"/>
      <c r="AY19" s="335"/>
      <c r="AZ19" s="335"/>
    </row>
    <row r="20" spans="1:52" s="5" customFormat="1" ht="45">
      <c r="A20" s="3">
        <f t="shared" si="9"/>
        <v>16</v>
      </c>
      <c r="B20" s="3">
        <v>1409</v>
      </c>
      <c r="C20" s="30" t="s">
        <v>516</v>
      </c>
      <c r="D20" s="4">
        <v>7680000</v>
      </c>
      <c r="E20" s="4">
        <v>7680000</v>
      </c>
      <c r="F20" s="4">
        <f t="shared" si="0"/>
        <v>0</v>
      </c>
      <c r="G20" s="4">
        <v>7330000</v>
      </c>
      <c r="H20" s="4">
        <v>5099564</v>
      </c>
      <c r="I20" s="4">
        <v>1314720</v>
      </c>
      <c r="J20" s="4">
        <v>2925</v>
      </c>
      <c r="K20" s="4">
        <f t="shared" si="1"/>
        <v>1317645</v>
      </c>
      <c r="L20" s="4">
        <f t="shared" si="2"/>
        <v>6417209</v>
      </c>
      <c r="M20" s="4">
        <f>P20+S20-900000</f>
        <v>12791</v>
      </c>
      <c r="N20" s="4">
        <f>900000-100000</f>
        <v>800000</v>
      </c>
      <c r="O20" s="4">
        <f t="shared" si="3"/>
        <v>450000</v>
      </c>
      <c r="P20" s="4">
        <f t="shared" si="4"/>
        <v>912791</v>
      </c>
      <c r="Q20" s="4"/>
      <c r="R20" s="4"/>
      <c r="S20" s="4">
        <f t="shared" si="5"/>
        <v>0</v>
      </c>
      <c r="T20" s="4">
        <f t="shared" si="6"/>
        <v>900000</v>
      </c>
      <c r="U20" s="4">
        <f t="shared" si="7"/>
        <v>-100000</v>
      </c>
      <c r="V20" s="4">
        <f t="shared" si="8"/>
        <v>-100000</v>
      </c>
      <c r="W20" s="4"/>
      <c r="X20" s="4"/>
      <c r="Y20" s="4"/>
      <c r="Z20" s="4"/>
      <c r="AA20" s="3"/>
      <c r="AB20" s="3" t="s">
        <v>752</v>
      </c>
      <c r="AC20" s="3">
        <v>732000</v>
      </c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  <c r="AN20" s="335"/>
      <c r="AO20" s="335"/>
      <c r="AP20" s="335"/>
      <c r="AQ20" s="335"/>
      <c r="AR20" s="335"/>
      <c r="AS20" s="335"/>
      <c r="AT20" s="335"/>
      <c r="AU20" s="335"/>
      <c r="AV20" s="335"/>
      <c r="AW20" s="335"/>
      <c r="AX20" s="335"/>
      <c r="AY20" s="335"/>
      <c r="AZ20" s="335"/>
    </row>
    <row r="21" spans="1:52" s="5" customFormat="1" ht="45">
      <c r="A21" s="3">
        <f t="shared" si="9"/>
        <v>17</v>
      </c>
      <c r="B21" s="3">
        <v>1457</v>
      </c>
      <c r="C21" s="3" t="s">
        <v>2463</v>
      </c>
      <c r="D21" s="4">
        <v>230000</v>
      </c>
      <c r="E21" s="4">
        <v>230000</v>
      </c>
      <c r="F21" s="4">
        <f t="shared" si="0"/>
        <v>0</v>
      </c>
      <c r="G21" s="4">
        <v>230000</v>
      </c>
      <c r="H21" s="4">
        <v>171904</v>
      </c>
      <c r="I21" s="4">
        <v>0</v>
      </c>
      <c r="J21" s="4">
        <v>40358</v>
      </c>
      <c r="K21" s="4">
        <f t="shared" si="1"/>
        <v>40358</v>
      </c>
      <c r="L21" s="4">
        <f t="shared" si="2"/>
        <v>212262</v>
      </c>
      <c r="M21" s="4">
        <f>P21+S21</f>
        <v>17738</v>
      </c>
      <c r="N21" s="4"/>
      <c r="O21" s="4">
        <f t="shared" si="3"/>
        <v>0</v>
      </c>
      <c r="P21" s="4">
        <f t="shared" si="4"/>
        <v>17738</v>
      </c>
      <c r="Q21" s="4"/>
      <c r="R21" s="4"/>
      <c r="S21" s="4">
        <f t="shared" si="5"/>
        <v>0</v>
      </c>
      <c r="T21" s="4">
        <f t="shared" si="6"/>
        <v>0</v>
      </c>
      <c r="U21" s="4">
        <f t="shared" si="7"/>
        <v>0</v>
      </c>
      <c r="V21" s="4">
        <f t="shared" si="8"/>
        <v>0</v>
      </c>
      <c r="W21" s="4"/>
      <c r="X21" s="4"/>
      <c r="Y21" s="4"/>
      <c r="Z21" s="4"/>
      <c r="AA21" s="3"/>
      <c r="AB21" s="3" t="s">
        <v>764</v>
      </c>
      <c r="AC21" s="3">
        <v>742000</v>
      </c>
      <c r="AD21" s="335"/>
      <c r="AE21" s="335"/>
      <c r="AF21" s="335"/>
      <c r="AG21" s="335"/>
      <c r="AH21" s="335"/>
      <c r="AI21" s="335"/>
      <c r="AJ21" s="335"/>
      <c r="AK21" s="335"/>
      <c r="AL21" s="335"/>
      <c r="AM21" s="335"/>
      <c r="AN21" s="335"/>
      <c r="AO21" s="335"/>
      <c r="AP21" s="335"/>
      <c r="AQ21" s="335"/>
      <c r="AR21" s="335"/>
      <c r="AS21" s="335"/>
      <c r="AT21" s="335"/>
      <c r="AU21" s="335"/>
      <c r="AV21" s="335"/>
      <c r="AW21" s="335"/>
      <c r="AX21" s="335"/>
      <c r="AY21" s="335"/>
      <c r="AZ21" s="335"/>
    </row>
    <row r="22" spans="1:52" s="5" customFormat="1" ht="90">
      <c r="A22" s="3">
        <f t="shared" si="9"/>
        <v>18</v>
      </c>
      <c r="B22" s="3">
        <v>1466</v>
      </c>
      <c r="C22" s="3" t="s">
        <v>19</v>
      </c>
      <c r="D22" s="4">
        <v>2200000</v>
      </c>
      <c r="E22" s="4">
        <v>2200000</v>
      </c>
      <c r="F22" s="4">
        <f t="shared" si="0"/>
        <v>0</v>
      </c>
      <c r="G22" s="4">
        <v>1500000</v>
      </c>
      <c r="H22" s="4">
        <v>1277745</v>
      </c>
      <c r="I22" s="4">
        <v>0</v>
      </c>
      <c r="J22" s="4">
        <v>29681</v>
      </c>
      <c r="K22" s="4">
        <f t="shared" si="1"/>
        <v>29681</v>
      </c>
      <c r="L22" s="4">
        <f t="shared" si="2"/>
        <v>1307426</v>
      </c>
      <c r="M22" s="4">
        <f>P22+S22-150000+100000</f>
        <v>142574</v>
      </c>
      <c r="N22" s="4">
        <f>400000+150000-150000</f>
        <v>400000</v>
      </c>
      <c r="O22" s="4">
        <f t="shared" si="3"/>
        <v>350000</v>
      </c>
      <c r="P22" s="4">
        <f t="shared" si="4"/>
        <v>192574</v>
      </c>
      <c r="Q22" s="4"/>
      <c r="R22" s="4"/>
      <c r="S22" s="4">
        <f t="shared" si="5"/>
        <v>0</v>
      </c>
      <c r="T22" s="4">
        <f t="shared" si="6"/>
        <v>50000</v>
      </c>
      <c r="U22" s="4">
        <f t="shared" si="7"/>
        <v>350000</v>
      </c>
      <c r="V22" s="4">
        <f t="shared" si="8"/>
        <v>350000</v>
      </c>
      <c r="W22" s="4"/>
      <c r="X22" s="4"/>
      <c r="Y22" s="4"/>
      <c r="Z22" s="4"/>
      <c r="AA22" s="3"/>
      <c r="AB22" s="3" t="s">
        <v>728</v>
      </c>
      <c r="AC22" s="3">
        <v>732000</v>
      </c>
      <c r="AD22" s="335"/>
      <c r="AE22" s="335"/>
      <c r="AF22" s="335"/>
      <c r="AG22" s="335"/>
      <c r="AH22" s="335"/>
      <c r="AI22" s="335"/>
      <c r="AJ22" s="335"/>
      <c r="AK22" s="335"/>
      <c r="AL22" s="335"/>
      <c r="AM22" s="335"/>
      <c r="AN22" s="335"/>
      <c r="AO22" s="335"/>
      <c r="AP22" s="335"/>
      <c r="AQ22" s="335"/>
      <c r="AR22" s="335"/>
      <c r="AS22" s="335"/>
      <c r="AT22" s="335"/>
      <c r="AU22" s="335"/>
      <c r="AV22" s="335"/>
      <c r="AW22" s="335"/>
      <c r="AX22" s="335"/>
      <c r="AY22" s="335"/>
      <c r="AZ22" s="335"/>
    </row>
    <row r="23" spans="1:52" s="5" customFormat="1" ht="60">
      <c r="A23" s="3">
        <f t="shared" si="9"/>
        <v>19</v>
      </c>
      <c r="B23" s="3">
        <v>1511</v>
      </c>
      <c r="C23" s="3" t="s">
        <v>38</v>
      </c>
      <c r="D23" s="4">
        <v>960000</v>
      </c>
      <c r="E23" s="4">
        <v>960000</v>
      </c>
      <c r="F23" s="4">
        <f t="shared" si="0"/>
        <v>0</v>
      </c>
      <c r="G23" s="4">
        <v>100000</v>
      </c>
      <c r="H23" s="4">
        <v>17284</v>
      </c>
      <c r="I23" s="4">
        <v>0</v>
      </c>
      <c r="J23" s="4">
        <v>0</v>
      </c>
      <c r="K23" s="4">
        <f t="shared" si="1"/>
        <v>0</v>
      </c>
      <c r="L23" s="4">
        <f t="shared" si="2"/>
        <v>17284</v>
      </c>
      <c r="M23" s="4">
        <f>P23+S23</f>
        <v>82716</v>
      </c>
      <c r="N23" s="4"/>
      <c r="O23" s="4">
        <f t="shared" si="3"/>
        <v>860000</v>
      </c>
      <c r="P23" s="4">
        <f t="shared" si="4"/>
        <v>82716</v>
      </c>
      <c r="Q23" s="4"/>
      <c r="R23" s="4"/>
      <c r="S23" s="4">
        <f t="shared" si="5"/>
        <v>0</v>
      </c>
      <c r="T23" s="4">
        <f t="shared" si="6"/>
        <v>0</v>
      </c>
      <c r="U23" s="4">
        <f t="shared" si="7"/>
        <v>0</v>
      </c>
      <c r="V23" s="4">
        <f t="shared" si="8"/>
        <v>0</v>
      </c>
      <c r="W23" s="4"/>
      <c r="X23" s="4"/>
      <c r="Y23" s="4"/>
      <c r="Z23" s="4"/>
      <c r="AA23" s="3"/>
      <c r="AB23" s="3" t="s">
        <v>602</v>
      </c>
      <c r="AC23" s="3">
        <v>742000</v>
      </c>
      <c r="AD23" s="335"/>
      <c r="AE23" s="335"/>
      <c r="AF23" s="335"/>
      <c r="AG23" s="335"/>
      <c r="AH23" s="335"/>
      <c r="AI23" s="335"/>
      <c r="AJ23" s="335"/>
      <c r="AK23" s="335"/>
      <c r="AL23" s="335"/>
      <c r="AM23" s="335"/>
      <c r="AN23" s="335"/>
      <c r="AO23" s="335"/>
      <c r="AP23" s="335"/>
      <c r="AQ23" s="335"/>
      <c r="AR23" s="335"/>
      <c r="AS23" s="335"/>
      <c r="AT23" s="335"/>
      <c r="AU23" s="335"/>
      <c r="AV23" s="335"/>
      <c r="AW23" s="335"/>
      <c r="AX23" s="335"/>
      <c r="AY23" s="335"/>
      <c r="AZ23" s="335"/>
    </row>
    <row r="24" spans="1:52" s="5" customFormat="1" ht="60">
      <c r="A24" s="3">
        <f t="shared" si="9"/>
        <v>20</v>
      </c>
      <c r="B24" s="3">
        <v>1527</v>
      </c>
      <c r="C24" s="3" t="s">
        <v>995</v>
      </c>
      <c r="D24" s="4">
        <v>3000000</v>
      </c>
      <c r="E24" s="4">
        <v>3000000</v>
      </c>
      <c r="F24" s="4">
        <f t="shared" si="0"/>
        <v>0</v>
      </c>
      <c r="G24" s="4">
        <v>1200000</v>
      </c>
      <c r="H24" s="4">
        <v>821144</v>
      </c>
      <c r="I24" s="4">
        <v>0</v>
      </c>
      <c r="J24" s="4">
        <v>116813</v>
      </c>
      <c r="K24" s="4">
        <f t="shared" si="1"/>
        <v>116813</v>
      </c>
      <c r="L24" s="4">
        <f t="shared" si="2"/>
        <v>937957</v>
      </c>
      <c r="M24" s="4">
        <f>P24+S24-250000</f>
        <v>12043</v>
      </c>
      <c r="N24" s="4">
        <f>250000-50000</f>
        <v>200000</v>
      </c>
      <c r="O24" s="4">
        <f t="shared" si="3"/>
        <v>1850000</v>
      </c>
      <c r="P24" s="4">
        <f t="shared" si="4"/>
        <v>262043</v>
      </c>
      <c r="Q24" s="4"/>
      <c r="R24" s="4"/>
      <c r="S24" s="4">
        <f t="shared" si="5"/>
        <v>0</v>
      </c>
      <c r="T24" s="4">
        <f t="shared" si="6"/>
        <v>250000</v>
      </c>
      <c r="U24" s="4">
        <f t="shared" si="7"/>
        <v>-50000</v>
      </c>
      <c r="V24" s="4">
        <f t="shared" si="8"/>
        <v>-50000</v>
      </c>
      <c r="W24" s="4"/>
      <c r="X24" s="4"/>
      <c r="Y24" s="4"/>
      <c r="Z24" s="4"/>
      <c r="AA24" s="3"/>
      <c r="AB24" s="3" t="s">
        <v>996</v>
      </c>
      <c r="AC24" s="3">
        <v>732000</v>
      </c>
      <c r="AD24" s="335"/>
      <c r="AE24" s="335"/>
      <c r="AF24" s="335"/>
      <c r="AG24" s="335"/>
      <c r="AH24" s="335"/>
      <c r="AI24" s="335"/>
      <c r="AJ24" s="335"/>
      <c r="AK24" s="335"/>
      <c r="AL24" s="335"/>
      <c r="AM24" s="335"/>
      <c r="AN24" s="335"/>
      <c r="AO24" s="335"/>
      <c r="AP24" s="335"/>
      <c r="AQ24" s="335"/>
      <c r="AR24" s="335"/>
      <c r="AS24" s="335"/>
      <c r="AT24" s="335"/>
      <c r="AU24" s="335"/>
      <c r="AV24" s="335"/>
      <c r="AW24" s="335"/>
      <c r="AX24" s="335"/>
      <c r="AY24" s="335"/>
      <c r="AZ24" s="335"/>
    </row>
    <row r="25" spans="1:52" s="5" customFormat="1" ht="30" customHeight="1">
      <c r="A25" s="3">
        <f t="shared" si="9"/>
        <v>21</v>
      </c>
      <c r="B25" s="3">
        <v>1529</v>
      </c>
      <c r="C25" s="3" t="s">
        <v>47</v>
      </c>
      <c r="D25" s="4">
        <f>500000+150000+50000</f>
        <v>700000</v>
      </c>
      <c r="E25" s="4">
        <v>500000</v>
      </c>
      <c r="F25" s="4">
        <f t="shared" si="0"/>
        <v>200000</v>
      </c>
      <c r="G25" s="4">
        <v>500000</v>
      </c>
      <c r="H25" s="4">
        <v>379082</v>
      </c>
      <c r="I25" s="4">
        <v>0</v>
      </c>
      <c r="J25" s="4">
        <v>95523</v>
      </c>
      <c r="K25" s="4">
        <f t="shared" si="1"/>
        <v>95523</v>
      </c>
      <c r="L25" s="4">
        <f t="shared" si="2"/>
        <v>474605</v>
      </c>
      <c r="M25" s="4">
        <f>P25+S25-50000+50000</f>
        <v>25395</v>
      </c>
      <c r="N25" s="4">
        <v>200000</v>
      </c>
      <c r="O25" s="4">
        <f t="shared" si="3"/>
        <v>0</v>
      </c>
      <c r="P25" s="4">
        <f t="shared" si="4"/>
        <v>25395</v>
      </c>
      <c r="Q25" s="4"/>
      <c r="R25" s="4"/>
      <c r="S25" s="4">
        <f t="shared" si="5"/>
        <v>0</v>
      </c>
      <c r="T25" s="4">
        <f t="shared" si="6"/>
        <v>0</v>
      </c>
      <c r="U25" s="4">
        <f t="shared" si="7"/>
        <v>200000</v>
      </c>
      <c r="V25" s="4">
        <f t="shared" si="8"/>
        <v>200000</v>
      </c>
      <c r="W25" s="4"/>
      <c r="X25" s="4"/>
      <c r="Y25" s="4"/>
      <c r="Z25" s="4"/>
      <c r="AA25" s="3"/>
      <c r="AB25" s="3" t="s">
        <v>397</v>
      </c>
      <c r="AC25" s="3">
        <v>760000</v>
      </c>
      <c r="AD25" s="335"/>
      <c r="AE25" s="335"/>
      <c r="AF25" s="335"/>
      <c r="AG25" s="335"/>
      <c r="AH25" s="335"/>
      <c r="AI25" s="335"/>
      <c r="AJ25" s="335"/>
      <c r="AK25" s="335"/>
      <c r="AL25" s="335"/>
      <c r="AM25" s="335"/>
      <c r="AN25" s="335"/>
      <c r="AO25" s="335"/>
      <c r="AP25" s="335"/>
      <c r="AQ25" s="335"/>
      <c r="AR25" s="335"/>
      <c r="AS25" s="335"/>
      <c r="AT25" s="335"/>
      <c r="AU25" s="335"/>
      <c r="AV25" s="335"/>
      <c r="AW25" s="335"/>
      <c r="AX25" s="335"/>
      <c r="AY25" s="335"/>
      <c r="AZ25" s="335"/>
    </row>
    <row r="26" spans="1:52" s="5" customFormat="1" ht="60">
      <c r="A26" s="3">
        <f t="shared" si="9"/>
        <v>22</v>
      </c>
      <c r="B26" s="3">
        <v>1551</v>
      </c>
      <c r="C26" s="3" t="s">
        <v>99</v>
      </c>
      <c r="D26" s="4">
        <v>525240</v>
      </c>
      <c r="E26" s="4">
        <v>525240</v>
      </c>
      <c r="F26" s="4">
        <f t="shared" si="0"/>
        <v>0</v>
      </c>
      <c r="G26" s="4">
        <v>375240</v>
      </c>
      <c r="H26" s="4">
        <v>225965</v>
      </c>
      <c r="I26" s="4">
        <v>18729</v>
      </c>
      <c r="J26" s="4">
        <v>0</v>
      </c>
      <c r="K26" s="4">
        <f t="shared" si="1"/>
        <v>18729</v>
      </c>
      <c r="L26" s="4">
        <f t="shared" si="2"/>
        <v>244694</v>
      </c>
      <c r="M26" s="4">
        <f>P26+S26-100000</f>
        <v>30546</v>
      </c>
      <c r="N26" s="4">
        <f>100000</f>
        <v>100000</v>
      </c>
      <c r="O26" s="4">
        <f t="shared" si="3"/>
        <v>150000</v>
      </c>
      <c r="P26" s="4">
        <f t="shared" si="4"/>
        <v>130546</v>
      </c>
      <c r="Q26" s="4"/>
      <c r="R26" s="4"/>
      <c r="S26" s="4">
        <f t="shared" si="5"/>
        <v>0</v>
      </c>
      <c r="T26" s="4">
        <f t="shared" si="6"/>
        <v>100000</v>
      </c>
      <c r="U26" s="4">
        <f t="shared" si="7"/>
        <v>0</v>
      </c>
      <c r="V26" s="4">
        <f t="shared" si="8"/>
        <v>0</v>
      </c>
      <c r="W26" s="4"/>
      <c r="X26" s="4"/>
      <c r="Y26" s="4"/>
      <c r="Z26" s="4"/>
      <c r="AA26" s="3"/>
      <c r="AB26" s="3" t="s">
        <v>723</v>
      </c>
      <c r="AC26" s="3">
        <v>732000</v>
      </c>
      <c r="AD26" s="335"/>
      <c r="AE26" s="335"/>
      <c r="AF26" s="335"/>
      <c r="AG26" s="335"/>
      <c r="AH26" s="335"/>
      <c r="AI26" s="335"/>
      <c r="AJ26" s="335"/>
      <c r="AK26" s="335"/>
      <c r="AL26" s="335"/>
      <c r="AM26" s="335"/>
      <c r="AN26" s="335"/>
      <c r="AO26" s="335"/>
      <c r="AP26" s="335"/>
      <c r="AQ26" s="335"/>
      <c r="AR26" s="335"/>
      <c r="AS26" s="335"/>
      <c r="AT26" s="335"/>
      <c r="AU26" s="335"/>
      <c r="AV26" s="335"/>
      <c r="AW26" s="335"/>
      <c r="AX26" s="335"/>
      <c r="AY26" s="335"/>
      <c r="AZ26" s="335"/>
    </row>
    <row r="27" spans="1:52" s="6" customFormat="1" ht="39.6" customHeight="1">
      <c r="A27" s="3">
        <f t="shared" si="9"/>
        <v>23</v>
      </c>
      <c r="B27" s="3">
        <v>1568</v>
      </c>
      <c r="C27" s="3" t="s">
        <v>48</v>
      </c>
      <c r="D27" s="4">
        <v>46375301</v>
      </c>
      <c r="E27" s="4">
        <v>46375301</v>
      </c>
      <c r="F27" s="4">
        <f t="shared" si="0"/>
        <v>0</v>
      </c>
      <c r="G27" s="4">
        <v>28625301</v>
      </c>
      <c r="H27" s="4">
        <v>27779038</v>
      </c>
      <c r="I27" s="4">
        <v>201679</v>
      </c>
      <c r="J27" s="4">
        <v>33946</v>
      </c>
      <c r="K27" s="4">
        <f t="shared" si="1"/>
        <v>235625</v>
      </c>
      <c r="L27" s="4">
        <f t="shared" si="2"/>
        <v>28014663</v>
      </c>
      <c r="M27" s="4">
        <f>P27+S27-600000</f>
        <v>10638</v>
      </c>
      <c r="N27" s="4">
        <v>600000</v>
      </c>
      <c r="O27" s="4">
        <f t="shared" si="3"/>
        <v>17750000</v>
      </c>
      <c r="P27" s="4">
        <f t="shared" si="4"/>
        <v>610638</v>
      </c>
      <c r="Q27" s="4"/>
      <c r="R27" s="4"/>
      <c r="S27" s="4">
        <f t="shared" si="5"/>
        <v>0</v>
      </c>
      <c r="T27" s="4">
        <f t="shared" si="6"/>
        <v>600000</v>
      </c>
      <c r="U27" s="4">
        <f t="shared" si="7"/>
        <v>0</v>
      </c>
      <c r="V27" s="4">
        <f t="shared" si="8"/>
        <v>0</v>
      </c>
      <c r="W27" s="4"/>
      <c r="X27" s="4"/>
      <c r="Y27" s="4"/>
      <c r="Z27" s="4"/>
      <c r="AA27" s="3"/>
      <c r="AB27" s="3" t="s">
        <v>1898</v>
      </c>
      <c r="AC27" s="3">
        <v>746000</v>
      </c>
      <c r="AD27" s="335"/>
      <c r="AE27" s="335"/>
      <c r="AF27" s="335"/>
      <c r="AG27" s="335"/>
      <c r="AH27" s="335"/>
      <c r="AI27" s="335"/>
      <c r="AJ27" s="335"/>
      <c r="AK27" s="335"/>
      <c r="AL27" s="335"/>
      <c r="AM27" s="335"/>
      <c r="AN27" s="335"/>
      <c r="AO27" s="335"/>
      <c r="AP27" s="335"/>
      <c r="AQ27" s="335"/>
      <c r="AR27" s="335"/>
      <c r="AS27" s="335"/>
      <c r="AT27" s="335"/>
      <c r="AU27" s="335"/>
      <c r="AV27" s="335"/>
      <c r="AW27" s="335"/>
      <c r="AX27" s="335"/>
      <c r="AY27" s="335"/>
      <c r="AZ27" s="335"/>
    </row>
    <row r="28" spans="1:52" s="5" customFormat="1" ht="30" customHeight="1">
      <c r="A28" s="3">
        <f t="shared" si="9"/>
        <v>24</v>
      </c>
      <c r="B28" s="3">
        <v>1576</v>
      </c>
      <c r="C28" s="3" t="s">
        <v>49</v>
      </c>
      <c r="D28" s="4">
        <v>1000000</v>
      </c>
      <c r="E28" s="4">
        <v>1000000</v>
      </c>
      <c r="F28" s="4">
        <f t="shared" si="0"/>
        <v>0</v>
      </c>
      <c r="G28" s="4">
        <v>450000</v>
      </c>
      <c r="H28" s="4">
        <v>376310</v>
      </c>
      <c r="I28" s="4">
        <v>0</v>
      </c>
      <c r="J28" s="4">
        <v>0</v>
      </c>
      <c r="K28" s="4">
        <f t="shared" si="1"/>
        <v>0</v>
      </c>
      <c r="L28" s="4">
        <f t="shared" si="2"/>
        <v>376310</v>
      </c>
      <c r="M28" s="4">
        <f>P28+S28-50000</f>
        <v>23690</v>
      </c>
      <c r="N28" s="4">
        <v>50000</v>
      </c>
      <c r="O28" s="4">
        <f t="shared" si="3"/>
        <v>550000</v>
      </c>
      <c r="P28" s="4">
        <f t="shared" si="4"/>
        <v>73690</v>
      </c>
      <c r="Q28" s="4"/>
      <c r="R28" s="4"/>
      <c r="S28" s="4">
        <f t="shared" si="5"/>
        <v>0</v>
      </c>
      <c r="T28" s="4">
        <f t="shared" si="6"/>
        <v>50000</v>
      </c>
      <c r="U28" s="4">
        <f t="shared" si="7"/>
        <v>0</v>
      </c>
      <c r="V28" s="4">
        <f t="shared" si="8"/>
        <v>0</v>
      </c>
      <c r="W28" s="4"/>
      <c r="X28" s="4"/>
      <c r="Y28" s="4"/>
      <c r="Z28" s="4"/>
      <c r="AA28" s="3"/>
      <c r="AB28" s="3" t="s">
        <v>416</v>
      </c>
      <c r="AC28" s="3">
        <v>732000</v>
      </c>
      <c r="AD28" s="335"/>
      <c r="AE28" s="335"/>
      <c r="AF28" s="335"/>
      <c r="AG28" s="335"/>
      <c r="AH28" s="335"/>
      <c r="AI28" s="335"/>
      <c r="AJ28" s="335"/>
      <c r="AK28" s="335"/>
      <c r="AL28" s="335"/>
      <c r="AM28" s="335"/>
      <c r="AN28" s="335"/>
      <c r="AO28" s="335"/>
      <c r="AP28" s="335"/>
      <c r="AQ28" s="335"/>
      <c r="AR28" s="335"/>
      <c r="AS28" s="335"/>
      <c r="AT28" s="335"/>
      <c r="AU28" s="335"/>
      <c r="AV28" s="335"/>
      <c r="AW28" s="335"/>
      <c r="AX28" s="335"/>
      <c r="AY28" s="335"/>
      <c r="AZ28" s="335"/>
    </row>
    <row r="29" spans="1:52" s="6" customFormat="1" ht="45">
      <c r="A29" s="3">
        <f t="shared" si="9"/>
        <v>25</v>
      </c>
      <c r="B29" s="3">
        <v>1587</v>
      </c>
      <c r="C29" s="3" t="s">
        <v>100</v>
      </c>
      <c r="D29" s="4">
        <v>34200000</v>
      </c>
      <c r="E29" s="4">
        <v>34200000</v>
      </c>
      <c r="F29" s="4">
        <f t="shared" si="0"/>
        <v>0</v>
      </c>
      <c r="G29" s="4">
        <v>12550000</v>
      </c>
      <c r="H29" s="4">
        <v>9735645</v>
      </c>
      <c r="I29" s="4">
        <v>1089975</v>
      </c>
      <c r="J29" s="4">
        <v>252573</v>
      </c>
      <c r="K29" s="4">
        <f t="shared" si="1"/>
        <v>1342548</v>
      </c>
      <c r="L29" s="4">
        <f t="shared" si="2"/>
        <v>11078193</v>
      </c>
      <c r="M29" s="4">
        <f>P29+S29-1400000+100000</f>
        <v>171807</v>
      </c>
      <c r="N29" s="4">
        <f>10000000-9000000+1300000-200000</f>
        <v>2100000</v>
      </c>
      <c r="O29" s="4">
        <f t="shared" si="3"/>
        <v>20850000</v>
      </c>
      <c r="P29" s="4">
        <f t="shared" si="4"/>
        <v>1471807</v>
      </c>
      <c r="Q29" s="4"/>
      <c r="R29" s="4"/>
      <c r="S29" s="4">
        <f t="shared" si="5"/>
        <v>0</v>
      </c>
      <c r="T29" s="4">
        <f t="shared" si="6"/>
        <v>1300000</v>
      </c>
      <c r="U29" s="4">
        <f t="shared" si="7"/>
        <v>800000</v>
      </c>
      <c r="V29" s="4">
        <f t="shared" si="8"/>
        <v>800000</v>
      </c>
      <c r="W29" s="4"/>
      <c r="X29" s="4"/>
      <c r="Y29" s="4"/>
      <c r="Z29" s="4"/>
      <c r="AA29" s="3"/>
      <c r="AB29" s="3" t="s">
        <v>1006</v>
      </c>
      <c r="AC29" s="3">
        <v>742000</v>
      </c>
      <c r="AD29" s="335"/>
      <c r="AE29" s="335"/>
      <c r="AF29" s="335"/>
      <c r="AG29" s="335"/>
      <c r="AH29" s="335"/>
      <c r="AI29" s="335"/>
      <c r="AJ29" s="335"/>
      <c r="AK29" s="335"/>
      <c r="AL29" s="335"/>
      <c r="AM29" s="335"/>
      <c r="AN29" s="335"/>
      <c r="AO29" s="335"/>
      <c r="AP29" s="335"/>
      <c r="AQ29" s="335"/>
      <c r="AR29" s="335"/>
      <c r="AS29" s="335"/>
      <c r="AT29" s="335"/>
      <c r="AU29" s="335"/>
      <c r="AV29" s="335"/>
      <c r="AW29" s="335"/>
      <c r="AX29" s="335"/>
      <c r="AY29" s="335"/>
      <c r="AZ29" s="335"/>
    </row>
    <row r="30" spans="1:52" s="5" customFormat="1" ht="30" customHeight="1">
      <c r="A30" s="3">
        <f t="shared" si="9"/>
        <v>26</v>
      </c>
      <c r="B30" s="3">
        <v>1601</v>
      </c>
      <c r="C30" s="3" t="s">
        <v>40</v>
      </c>
      <c r="D30" s="4">
        <v>700000</v>
      </c>
      <c r="E30" s="4">
        <v>700000</v>
      </c>
      <c r="F30" s="4">
        <f t="shared" si="0"/>
        <v>0</v>
      </c>
      <c r="G30" s="4">
        <v>650000</v>
      </c>
      <c r="H30" s="4">
        <v>538227</v>
      </c>
      <c r="I30" s="4">
        <v>0</v>
      </c>
      <c r="J30" s="4">
        <v>0</v>
      </c>
      <c r="K30" s="4">
        <f t="shared" si="1"/>
        <v>0</v>
      </c>
      <c r="L30" s="4">
        <f t="shared" si="2"/>
        <v>538227</v>
      </c>
      <c r="M30" s="4">
        <f>P30+S30-100000</f>
        <v>11773</v>
      </c>
      <c r="N30" s="4">
        <v>100000</v>
      </c>
      <c r="O30" s="4">
        <f t="shared" si="3"/>
        <v>50000</v>
      </c>
      <c r="P30" s="4">
        <f t="shared" si="4"/>
        <v>111773</v>
      </c>
      <c r="Q30" s="4"/>
      <c r="R30" s="4"/>
      <c r="S30" s="4">
        <f t="shared" si="5"/>
        <v>0</v>
      </c>
      <c r="T30" s="4">
        <f t="shared" si="6"/>
        <v>100000</v>
      </c>
      <c r="U30" s="4">
        <f t="shared" si="7"/>
        <v>0</v>
      </c>
      <c r="V30" s="4">
        <f t="shared" si="8"/>
        <v>0</v>
      </c>
      <c r="W30" s="4"/>
      <c r="X30" s="4"/>
      <c r="Y30" s="4"/>
      <c r="Z30" s="4"/>
      <c r="AA30" s="3"/>
      <c r="AB30" s="3" t="s">
        <v>817</v>
      </c>
      <c r="AC30" s="3">
        <v>742000</v>
      </c>
      <c r="AD30" s="335"/>
      <c r="AE30" s="335"/>
      <c r="AF30" s="335"/>
      <c r="AG30" s="335"/>
      <c r="AH30" s="335"/>
      <c r="AI30" s="335"/>
      <c r="AJ30" s="335"/>
      <c r="AK30" s="335"/>
      <c r="AL30" s="335"/>
      <c r="AM30" s="335"/>
      <c r="AN30" s="335"/>
      <c r="AO30" s="335"/>
      <c r="AP30" s="335"/>
      <c r="AQ30" s="335"/>
      <c r="AR30" s="335"/>
      <c r="AS30" s="335"/>
      <c r="AT30" s="335"/>
      <c r="AU30" s="335"/>
      <c r="AV30" s="335"/>
      <c r="AW30" s="335"/>
      <c r="AX30" s="335"/>
      <c r="AY30" s="335"/>
      <c r="AZ30" s="335"/>
    </row>
    <row r="31" spans="1:52" s="5" customFormat="1" ht="30" customHeight="1">
      <c r="A31" s="3">
        <f t="shared" si="9"/>
        <v>27</v>
      </c>
      <c r="B31" s="3">
        <v>1602</v>
      </c>
      <c r="C31" s="3" t="s">
        <v>26</v>
      </c>
      <c r="D31" s="4">
        <f>32000000-1000000</f>
        <v>31000000</v>
      </c>
      <c r="E31" s="4">
        <v>32000000</v>
      </c>
      <c r="F31" s="4">
        <f t="shared" si="0"/>
        <v>-1000000</v>
      </c>
      <c r="G31" s="4">
        <f>32500000-500000</f>
        <v>32000000</v>
      </c>
      <c r="H31" s="4">
        <v>30452036</v>
      </c>
      <c r="I31" s="4">
        <v>0</v>
      </c>
      <c r="J31" s="4">
        <v>4829</v>
      </c>
      <c r="K31" s="4">
        <f t="shared" si="1"/>
        <v>4829</v>
      </c>
      <c r="L31" s="4">
        <f t="shared" si="2"/>
        <v>30456865</v>
      </c>
      <c r="M31" s="4">
        <f>P31+S31-2000000+500000</f>
        <v>43135</v>
      </c>
      <c r="N31" s="4">
        <v>500000</v>
      </c>
      <c r="O31" s="4">
        <f t="shared" si="3"/>
        <v>0</v>
      </c>
      <c r="P31" s="4">
        <f t="shared" si="4"/>
        <v>1543135</v>
      </c>
      <c r="Q31" s="4"/>
      <c r="R31" s="4"/>
      <c r="S31" s="4">
        <f t="shared" si="5"/>
        <v>0</v>
      </c>
      <c r="T31" s="4">
        <f t="shared" si="6"/>
        <v>1500000</v>
      </c>
      <c r="U31" s="4">
        <f t="shared" si="7"/>
        <v>-1000000</v>
      </c>
      <c r="V31" s="4">
        <f t="shared" si="8"/>
        <v>-1000000</v>
      </c>
      <c r="W31" s="4"/>
      <c r="X31" s="4"/>
      <c r="Y31" s="4"/>
      <c r="Z31" s="4"/>
      <c r="AA31" s="3"/>
      <c r="AB31" s="3" t="s">
        <v>871</v>
      </c>
      <c r="AC31" s="3">
        <v>742000</v>
      </c>
      <c r="AD31" s="335"/>
      <c r="AE31" s="335"/>
      <c r="AF31" s="335"/>
      <c r="AG31" s="335"/>
      <c r="AH31" s="335"/>
      <c r="AI31" s="335"/>
      <c r="AJ31" s="335"/>
      <c r="AK31" s="335"/>
      <c r="AL31" s="335"/>
      <c r="AM31" s="335"/>
      <c r="AN31" s="335"/>
      <c r="AO31" s="335"/>
      <c r="AP31" s="335"/>
      <c r="AQ31" s="335"/>
      <c r="AR31" s="335"/>
      <c r="AS31" s="335"/>
      <c r="AT31" s="335"/>
      <c r="AU31" s="335"/>
      <c r="AV31" s="335"/>
      <c r="AW31" s="335"/>
      <c r="AX31" s="335"/>
      <c r="AY31" s="335"/>
      <c r="AZ31" s="335"/>
    </row>
    <row r="32" spans="1:52" s="5" customFormat="1" ht="60">
      <c r="A32" s="3">
        <f t="shared" si="9"/>
        <v>28</v>
      </c>
      <c r="B32" s="3">
        <v>1620</v>
      </c>
      <c r="C32" s="30" t="s">
        <v>517</v>
      </c>
      <c r="D32" s="4">
        <v>1000000</v>
      </c>
      <c r="E32" s="4">
        <v>1000000</v>
      </c>
      <c r="F32" s="4">
        <f t="shared" si="0"/>
        <v>0</v>
      </c>
      <c r="G32" s="4">
        <v>300000</v>
      </c>
      <c r="H32" s="4">
        <v>0</v>
      </c>
      <c r="I32" s="4">
        <v>0</v>
      </c>
      <c r="J32" s="4">
        <v>0</v>
      </c>
      <c r="K32" s="4">
        <f t="shared" si="1"/>
        <v>0</v>
      </c>
      <c r="L32" s="4">
        <f t="shared" si="2"/>
        <v>0</v>
      </c>
      <c r="M32" s="4">
        <f>P32+S32-300000</f>
        <v>0</v>
      </c>
      <c r="N32" s="4">
        <f>300000-200000</f>
        <v>100000</v>
      </c>
      <c r="O32" s="4">
        <f t="shared" si="3"/>
        <v>900000</v>
      </c>
      <c r="P32" s="4">
        <f t="shared" si="4"/>
        <v>300000</v>
      </c>
      <c r="Q32" s="4"/>
      <c r="R32" s="4"/>
      <c r="S32" s="4">
        <f t="shared" si="5"/>
        <v>0</v>
      </c>
      <c r="T32" s="4">
        <f t="shared" si="6"/>
        <v>300000</v>
      </c>
      <c r="U32" s="4">
        <f t="shared" si="7"/>
        <v>-200000</v>
      </c>
      <c r="V32" s="4">
        <f t="shared" si="8"/>
        <v>-200000</v>
      </c>
      <c r="W32" s="4"/>
      <c r="X32" s="4"/>
      <c r="Y32" s="4"/>
      <c r="Z32" s="4"/>
      <c r="AA32" s="3"/>
      <c r="AB32" s="3" t="s">
        <v>479</v>
      </c>
      <c r="AC32" s="3">
        <v>732000</v>
      </c>
      <c r="AD32" s="335"/>
      <c r="AE32" s="335"/>
      <c r="AF32" s="335"/>
      <c r="AG32" s="335"/>
      <c r="AH32" s="335"/>
      <c r="AI32" s="335"/>
      <c r="AJ32" s="335"/>
      <c r="AK32" s="335"/>
      <c r="AL32" s="335"/>
      <c r="AM32" s="335"/>
      <c r="AN32" s="335"/>
      <c r="AO32" s="335"/>
      <c r="AP32" s="335"/>
      <c r="AQ32" s="335"/>
      <c r="AR32" s="335"/>
      <c r="AS32" s="335"/>
      <c r="AT32" s="335"/>
      <c r="AU32" s="335"/>
      <c r="AV32" s="335"/>
      <c r="AW32" s="335"/>
      <c r="AX32" s="335"/>
      <c r="AY32" s="335"/>
      <c r="AZ32" s="335"/>
    </row>
    <row r="33" spans="1:52" s="6" customFormat="1" ht="60">
      <c r="A33" s="3">
        <f t="shared" si="9"/>
        <v>29</v>
      </c>
      <c r="B33" s="3">
        <v>1660</v>
      </c>
      <c r="C33" s="3" t="s">
        <v>20</v>
      </c>
      <c r="D33" s="4">
        <v>2000000</v>
      </c>
      <c r="E33" s="4">
        <v>2000000</v>
      </c>
      <c r="F33" s="4">
        <f t="shared" si="0"/>
        <v>0</v>
      </c>
      <c r="G33" s="4">
        <v>1100000</v>
      </c>
      <c r="H33" s="4">
        <v>163894</v>
      </c>
      <c r="I33" s="4">
        <v>284310</v>
      </c>
      <c r="J33" s="4">
        <v>142597</v>
      </c>
      <c r="K33" s="4">
        <f t="shared" si="1"/>
        <v>426907</v>
      </c>
      <c r="L33" s="4">
        <f t="shared" si="2"/>
        <v>590801</v>
      </c>
      <c r="M33" s="4">
        <f>P33+S33-500000+200000</f>
        <v>209199</v>
      </c>
      <c r="N33" s="4">
        <f>500000-100000</f>
        <v>400000</v>
      </c>
      <c r="O33" s="4">
        <f t="shared" si="3"/>
        <v>800000</v>
      </c>
      <c r="P33" s="4">
        <f t="shared" si="4"/>
        <v>509199</v>
      </c>
      <c r="Q33" s="4"/>
      <c r="R33" s="4"/>
      <c r="S33" s="4">
        <f t="shared" si="5"/>
        <v>0</v>
      </c>
      <c r="T33" s="4">
        <f t="shared" si="6"/>
        <v>300000</v>
      </c>
      <c r="U33" s="4">
        <f t="shared" si="7"/>
        <v>100000</v>
      </c>
      <c r="V33" s="4">
        <f t="shared" si="8"/>
        <v>100000</v>
      </c>
      <c r="W33" s="4"/>
      <c r="X33" s="4"/>
      <c r="Y33" s="4"/>
      <c r="Z33" s="4"/>
      <c r="AA33" s="3"/>
      <c r="AB33" s="3" t="s">
        <v>765</v>
      </c>
      <c r="AC33" s="3">
        <v>732000</v>
      </c>
      <c r="AD33" s="335"/>
      <c r="AE33" s="335"/>
      <c r="AF33" s="335"/>
      <c r="AG33" s="335"/>
      <c r="AH33" s="335"/>
      <c r="AI33" s="335"/>
      <c r="AJ33" s="335"/>
      <c r="AK33" s="335"/>
      <c r="AL33" s="335"/>
      <c r="AM33" s="335"/>
      <c r="AN33" s="335"/>
      <c r="AO33" s="335"/>
      <c r="AP33" s="335"/>
      <c r="AQ33" s="335"/>
      <c r="AR33" s="335"/>
      <c r="AS33" s="335"/>
      <c r="AT33" s="335"/>
      <c r="AU33" s="335"/>
      <c r="AV33" s="335"/>
      <c r="AW33" s="335"/>
      <c r="AX33" s="335"/>
      <c r="AY33" s="335"/>
      <c r="AZ33" s="335"/>
    </row>
    <row r="34" spans="1:52" s="6" customFormat="1" ht="45">
      <c r="A34" s="3">
        <f t="shared" si="9"/>
        <v>30</v>
      </c>
      <c r="B34" s="3">
        <v>1674</v>
      </c>
      <c r="C34" s="3" t="s">
        <v>21</v>
      </c>
      <c r="D34" s="4">
        <v>1800000</v>
      </c>
      <c r="E34" s="4">
        <v>1800000</v>
      </c>
      <c r="F34" s="4">
        <f t="shared" si="0"/>
        <v>0</v>
      </c>
      <c r="G34" s="4">
        <v>1800000</v>
      </c>
      <c r="H34" s="4">
        <v>1565978</v>
      </c>
      <c r="I34" s="4">
        <v>104490</v>
      </c>
      <c r="J34" s="4">
        <v>88003</v>
      </c>
      <c r="K34" s="4">
        <f t="shared" si="1"/>
        <v>192493</v>
      </c>
      <c r="L34" s="4">
        <f t="shared" si="2"/>
        <v>1758471</v>
      </c>
      <c r="M34" s="4">
        <f>P34+S34</f>
        <v>41529</v>
      </c>
      <c r="N34" s="4"/>
      <c r="O34" s="4">
        <f t="shared" si="3"/>
        <v>0</v>
      </c>
      <c r="P34" s="4">
        <f t="shared" si="4"/>
        <v>41529</v>
      </c>
      <c r="Q34" s="4"/>
      <c r="R34" s="4"/>
      <c r="S34" s="4">
        <f t="shared" si="5"/>
        <v>0</v>
      </c>
      <c r="T34" s="4">
        <f t="shared" si="6"/>
        <v>0</v>
      </c>
      <c r="U34" s="4">
        <f t="shared" si="7"/>
        <v>0</v>
      </c>
      <c r="V34" s="4">
        <f t="shared" si="8"/>
        <v>0</v>
      </c>
      <c r="W34" s="4"/>
      <c r="X34" s="4"/>
      <c r="Y34" s="4"/>
      <c r="Z34" s="4"/>
      <c r="AA34" s="4"/>
      <c r="AB34" s="3" t="s">
        <v>766</v>
      </c>
      <c r="AC34" s="3">
        <v>732000</v>
      </c>
      <c r="AD34" s="335"/>
      <c r="AE34" s="335"/>
      <c r="AF34" s="335"/>
      <c r="AG34" s="335"/>
      <c r="AH34" s="335"/>
      <c r="AI34" s="335"/>
      <c r="AJ34" s="335"/>
      <c r="AK34" s="335"/>
      <c r="AL34" s="335"/>
      <c r="AM34" s="335"/>
      <c r="AN34" s="335"/>
      <c r="AO34" s="335"/>
      <c r="AP34" s="335"/>
      <c r="AQ34" s="335"/>
      <c r="AR34" s="335"/>
      <c r="AS34" s="335"/>
      <c r="AT34" s="335"/>
      <c r="AU34" s="335"/>
      <c r="AV34" s="335"/>
      <c r="AW34" s="335"/>
      <c r="AX34" s="335"/>
      <c r="AY34" s="335"/>
      <c r="AZ34" s="335"/>
    </row>
    <row r="35" spans="1:52" s="5" customFormat="1" ht="60">
      <c r="A35" s="3">
        <f t="shared" si="9"/>
        <v>31</v>
      </c>
      <c r="B35" s="3">
        <v>1692</v>
      </c>
      <c r="C35" s="3" t="s">
        <v>22</v>
      </c>
      <c r="D35" s="4">
        <v>2450000</v>
      </c>
      <c r="E35" s="4">
        <v>2450000</v>
      </c>
      <c r="F35" s="4">
        <f t="shared" si="0"/>
        <v>0</v>
      </c>
      <c r="G35" s="4">
        <v>1746509</v>
      </c>
      <c r="H35" s="4">
        <v>578671</v>
      </c>
      <c r="I35" s="4">
        <v>128716</v>
      </c>
      <c r="J35" s="4">
        <v>0</v>
      </c>
      <c r="K35" s="4">
        <f t="shared" si="1"/>
        <v>128716</v>
      </c>
      <c r="L35" s="4">
        <f t="shared" si="2"/>
        <v>707387</v>
      </c>
      <c r="M35" s="4">
        <f>P35+S35-1000000</f>
        <v>39122</v>
      </c>
      <c r="N35" s="4">
        <v>1000000</v>
      </c>
      <c r="O35" s="4">
        <f t="shared" si="3"/>
        <v>703491</v>
      </c>
      <c r="P35" s="4">
        <f t="shared" si="4"/>
        <v>1039122</v>
      </c>
      <c r="Q35" s="4"/>
      <c r="R35" s="4"/>
      <c r="S35" s="4">
        <f t="shared" si="5"/>
        <v>0</v>
      </c>
      <c r="T35" s="4">
        <f t="shared" si="6"/>
        <v>1000000</v>
      </c>
      <c r="U35" s="4">
        <f t="shared" si="7"/>
        <v>0</v>
      </c>
      <c r="V35" s="4">
        <f t="shared" si="8"/>
        <v>-64226</v>
      </c>
      <c r="W35" s="4"/>
      <c r="X35" s="4"/>
      <c r="Y35" s="4"/>
      <c r="Z35" s="4"/>
      <c r="AA35" s="4">
        <v>64226</v>
      </c>
      <c r="AB35" s="3" t="s">
        <v>872</v>
      </c>
      <c r="AC35" s="3">
        <v>732000</v>
      </c>
      <c r="AD35" s="335"/>
      <c r="AE35" s="335"/>
      <c r="AF35" s="335"/>
      <c r="AG35" s="335"/>
      <c r="AH35" s="335"/>
      <c r="AI35" s="335"/>
      <c r="AJ35" s="335"/>
      <c r="AK35" s="335"/>
      <c r="AL35" s="335"/>
      <c r="AM35" s="335"/>
      <c r="AN35" s="335"/>
      <c r="AO35" s="335"/>
      <c r="AP35" s="335"/>
      <c r="AQ35" s="335"/>
      <c r="AR35" s="335"/>
      <c r="AS35" s="335"/>
      <c r="AT35" s="335"/>
      <c r="AU35" s="335"/>
      <c r="AV35" s="335"/>
      <c r="AW35" s="335"/>
      <c r="AX35" s="335"/>
      <c r="AY35" s="335"/>
      <c r="AZ35" s="335"/>
    </row>
    <row r="36" spans="1:52" s="5" customFormat="1" ht="45">
      <c r="A36" s="3">
        <f t="shared" si="9"/>
        <v>32</v>
      </c>
      <c r="B36" s="3">
        <v>1701</v>
      </c>
      <c r="C36" s="3" t="s">
        <v>307</v>
      </c>
      <c r="D36" s="4">
        <v>1250000</v>
      </c>
      <c r="E36" s="4">
        <v>1250000</v>
      </c>
      <c r="F36" s="4">
        <f t="shared" si="0"/>
        <v>0</v>
      </c>
      <c r="G36" s="4">
        <v>570000</v>
      </c>
      <c r="H36" s="4">
        <v>149316</v>
      </c>
      <c r="I36" s="4">
        <v>75117</v>
      </c>
      <c r="J36" s="4">
        <v>263559</v>
      </c>
      <c r="K36" s="4">
        <f t="shared" si="1"/>
        <v>338676</v>
      </c>
      <c r="L36" s="4">
        <f t="shared" si="2"/>
        <v>487992</v>
      </c>
      <c r="M36" s="4">
        <f>P36+S36</f>
        <v>82008</v>
      </c>
      <c r="N36" s="4"/>
      <c r="O36" s="4">
        <f t="shared" si="3"/>
        <v>680000</v>
      </c>
      <c r="P36" s="4">
        <f t="shared" si="4"/>
        <v>82008</v>
      </c>
      <c r="Q36" s="4"/>
      <c r="R36" s="4"/>
      <c r="S36" s="4">
        <f t="shared" si="5"/>
        <v>0</v>
      </c>
      <c r="T36" s="4">
        <f t="shared" si="6"/>
        <v>0</v>
      </c>
      <c r="U36" s="4">
        <f t="shared" si="7"/>
        <v>0</v>
      </c>
      <c r="V36" s="4">
        <f t="shared" si="8"/>
        <v>0</v>
      </c>
      <c r="W36" s="4"/>
      <c r="X36" s="4"/>
      <c r="Y36" s="4"/>
      <c r="Z36" s="4"/>
      <c r="AA36" s="3"/>
      <c r="AB36" s="3" t="s">
        <v>725</v>
      </c>
      <c r="AC36" s="3">
        <v>732000</v>
      </c>
      <c r="AD36" s="335"/>
      <c r="AE36" s="335"/>
      <c r="AF36" s="335"/>
      <c r="AG36" s="335"/>
      <c r="AH36" s="335"/>
      <c r="AI36" s="335"/>
      <c r="AJ36" s="335"/>
      <c r="AK36" s="335"/>
      <c r="AL36" s="335"/>
      <c r="AM36" s="335"/>
      <c r="AN36" s="335"/>
      <c r="AO36" s="335"/>
      <c r="AP36" s="335"/>
      <c r="AQ36" s="335"/>
      <c r="AR36" s="335"/>
      <c r="AS36" s="335"/>
      <c r="AT36" s="335"/>
      <c r="AU36" s="335"/>
      <c r="AV36" s="335"/>
      <c r="AW36" s="335"/>
      <c r="AX36" s="335"/>
      <c r="AY36" s="335"/>
      <c r="AZ36" s="335"/>
    </row>
    <row r="37" spans="1:52" s="5" customFormat="1" ht="30" customHeight="1">
      <c r="A37" s="3">
        <f t="shared" si="9"/>
        <v>33</v>
      </c>
      <c r="B37" s="3">
        <v>1722</v>
      </c>
      <c r="C37" s="3" t="s">
        <v>41</v>
      </c>
      <c r="D37" s="4">
        <v>2400000</v>
      </c>
      <c r="E37" s="4">
        <v>2400000</v>
      </c>
      <c r="F37" s="4">
        <f t="shared" si="0"/>
        <v>0</v>
      </c>
      <c r="G37" s="4">
        <v>300000</v>
      </c>
      <c r="H37" s="4">
        <v>98067</v>
      </c>
      <c r="I37" s="4">
        <v>67053</v>
      </c>
      <c r="J37" s="4">
        <v>8850</v>
      </c>
      <c r="K37" s="4">
        <f t="shared" si="1"/>
        <v>75903</v>
      </c>
      <c r="L37" s="4">
        <f t="shared" si="2"/>
        <v>173970</v>
      </c>
      <c r="M37" s="4">
        <f>P37+S37</f>
        <v>126030</v>
      </c>
      <c r="N37" s="4"/>
      <c r="O37" s="4">
        <f t="shared" si="3"/>
        <v>2100000</v>
      </c>
      <c r="P37" s="4">
        <f t="shared" si="4"/>
        <v>126030</v>
      </c>
      <c r="Q37" s="4"/>
      <c r="R37" s="4"/>
      <c r="S37" s="4">
        <f t="shared" si="5"/>
        <v>0</v>
      </c>
      <c r="T37" s="4">
        <f t="shared" si="6"/>
        <v>0</v>
      </c>
      <c r="U37" s="4">
        <f t="shared" si="7"/>
        <v>0</v>
      </c>
      <c r="V37" s="4">
        <f t="shared" si="8"/>
        <v>0</v>
      </c>
      <c r="W37" s="4"/>
      <c r="X37" s="4"/>
      <c r="Y37" s="4"/>
      <c r="Z37" s="4"/>
      <c r="AA37" s="3"/>
      <c r="AB37" s="3" t="s">
        <v>308</v>
      </c>
      <c r="AC37" s="3">
        <v>742000</v>
      </c>
      <c r="AD37" s="335"/>
      <c r="AE37" s="335"/>
      <c r="AF37" s="335"/>
      <c r="AG37" s="335"/>
      <c r="AH37" s="335"/>
      <c r="AI37" s="335"/>
      <c r="AJ37" s="335"/>
      <c r="AK37" s="335"/>
      <c r="AL37" s="335"/>
      <c r="AM37" s="335"/>
      <c r="AN37" s="335"/>
      <c r="AO37" s="335"/>
      <c r="AP37" s="335"/>
      <c r="AQ37" s="335"/>
      <c r="AR37" s="335"/>
      <c r="AS37" s="335"/>
      <c r="AT37" s="335"/>
      <c r="AU37" s="335"/>
      <c r="AV37" s="335"/>
      <c r="AW37" s="335"/>
      <c r="AX37" s="335"/>
      <c r="AY37" s="335"/>
      <c r="AZ37" s="335"/>
    </row>
    <row r="38" spans="1:52" s="6" customFormat="1" ht="105">
      <c r="A38" s="3">
        <f t="shared" si="9"/>
        <v>34</v>
      </c>
      <c r="B38" s="3">
        <v>1744</v>
      </c>
      <c r="C38" s="3" t="s">
        <v>42</v>
      </c>
      <c r="D38" s="4">
        <v>13000000</v>
      </c>
      <c r="E38" s="4">
        <v>13000000</v>
      </c>
      <c r="F38" s="4">
        <f t="shared" si="0"/>
        <v>0</v>
      </c>
      <c r="G38" s="4">
        <v>7800000</v>
      </c>
      <c r="H38" s="4">
        <v>6005098</v>
      </c>
      <c r="I38" s="4">
        <v>0</v>
      </c>
      <c r="J38" s="4">
        <v>117421</v>
      </c>
      <c r="K38" s="4">
        <f t="shared" si="1"/>
        <v>117421</v>
      </c>
      <c r="L38" s="4">
        <f t="shared" si="2"/>
        <v>6122519</v>
      </c>
      <c r="M38" s="4">
        <f>P38+S38-1600000</f>
        <v>77481</v>
      </c>
      <c r="N38" s="4">
        <f>1600000-100000-500000</f>
        <v>1000000</v>
      </c>
      <c r="O38" s="4">
        <f t="shared" si="3"/>
        <v>5800000</v>
      </c>
      <c r="P38" s="4">
        <f t="shared" si="4"/>
        <v>1677481</v>
      </c>
      <c r="Q38" s="4"/>
      <c r="R38" s="4"/>
      <c r="S38" s="4">
        <f t="shared" si="5"/>
        <v>0</v>
      </c>
      <c r="T38" s="4">
        <f t="shared" si="6"/>
        <v>1600000</v>
      </c>
      <c r="U38" s="4">
        <f t="shared" si="7"/>
        <v>-600000</v>
      </c>
      <c r="V38" s="4">
        <f t="shared" si="8"/>
        <v>-600000</v>
      </c>
      <c r="W38" s="4"/>
      <c r="X38" s="4"/>
      <c r="Y38" s="4"/>
      <c r="Z38" s="4"/>
      <c r="AA38" s="3"/>
      <c r="AB38" s="3" t="s">
        <v>1034</v>
      </c>
      <c r="AC38" s="3">
        <v>742000</v>
      </c>
      <c r="AD38" s="335"/>
      <c r="AE38" s="335"/>
      <c r="AF38" s="335"/>
      <c r="AG38" s="335"/>
      <c r="AH38" s="335"/>
      <c r="AI38" s="335"/>
      <c r="AJ38" s="335"/>
      <c r="AK38" s="335"/>
      <c r="AL38" s="335"/>
      <c r="AM38" s="335"/>
      <c r="AN38" s="335"/>
      <c r="AO38" s="335"/>
      <c r="AP38" s="335"/>
      <c r="AQ38" s="335"/>
      <c r="AR38" s="335"/>
      <c r="AS38" s="335"/>
      <c r="AT38" s="335"/>
      <c r="AU38" s="335"/>
      <c r="AV38" s="335"/>
      <c r="AW38" s="335"/>
      <c r="AX38" s="335"/>
      <c r="AY38" s="335"/>
      <c r="AZ38" s="335"/>
    </row>
    <row r="39" spans="1:52" s="5" customFormat="1" ht="75">
      <c r="A39" s="3">
        <f t="shared" si="9"/>
        <v>35</v>
      </c>
      <c r="B39" s="3">
        <v>1756</v>
      </c>
      <c r="C39" s="3" t="s">
        <v>642</v>
      </c>
      <c r="D39" s="4">
        <v>1700000</v>
      </c>
      <c r="E39" s="4">
        <v>1700000</v>
      </c>
      <c r="F39" s="4">
        <f t="shared" si="0"/>
        <v>0</v>
      </c>
      <c r="G39" s="4">
        <v>1100000</v>
      </c>
      <c r="H39" s="4">
        <v>409839</v>
      </c>
      <c r="I39" s="4">
        <v>34632</v>
      </c>
      <c r="J39" s="4">
        <v>49469</v>
      </c>
      <c r="K39" s="4">
        <f t="shared" si="1"/>
        <v>84101</v>
      </c>
      <c r="L39" s="4">
        <f t="shared" si="2"/>
        <v>493940</v>
      </c>
      <c r="M39" s="4">
        <f>P39+S39-600000</f>
        <v>6060</v>
      </c>
      <c r="N39" s="4">
        <f>600000-100000</f>
        <v>500000</v>
      </c>
      <c r="O39" s="4">
        <f t="shared" si="3"/>
        <v>700000</v>
      </c>
      <c r="P39" s="4">
        <f t="shared" si="4"/>
        <v>606060</v>
      </c>
      <c r="Q39" s="4"/>
      <c r="R39" s="4"/>
      <c r="S39" s="4">
        <f t="shared" si="5"/>
        <v>0</v>
      </c>
      <c r="T39" s="4">
        <f t="shared" si="6"/>
        <v>600000</v>
      </c>
      <c r="U39" s="4">
        <f t="shared" si="7"/>
        <v>-100000</v>
      </c>
      <c r="V39" s="4">
        <f t="shared" si="8"/>
        <v>-100000</v>
      </c>
      <c r="W39" s="4"/>
      <c r="X39" s="4"/>
      <c r="Y39" s="4"/>
      <c r="Z39" s="4"/>
      <c r="AA39" s="4"/>
      <c r="AB39" s="3" t="s">
        <v>763</v>
      </c>
      <c r="AC39" s="3">
        <v>732000</v>
      </c>
      <c r="AD39" s="335"/>
      <c r="AE39" s="335"/>
      <c r="AF39" s="335"/>
      <c r="AG39" s="335"/>
      <c r="AH39" s="335"/>
      <c r="AI39" s="335"/>
      <c r="AJ39" s="335"/>
      <c r="AK39" s="335"/>
      <c r="AL39" s="335"/>
      <c r="AM39" s="335"/>
      <c r="AN39" s="335"/>
      <c r="AO39" s="335"/>
      <c r="AP39" s="335"/>
      <c r="AQ39" s="335"/>
      <c r="AR39" s="335"/>
      <c r="AS39" s="335"/>
      <c r="AT39" s="335"/>
      <c r="AU39" s="335"/>
      <c r="AV39" s="335"/>
      <c r="AW39" s="335"/>
      <c r="AX39" s="335"/>
      <c r="AY39" s="335"/>
      <c r="AZ39" s="335"/>
    </row>
    <row r="40" spans="1:52" s="5" customFormat="1" ht="90">
      <c r="A40" s="3">
        <f t="shared" si="9"/>
        <v>36</v>
      </c>
      <c r="B40" s="3">
        <v>1759</v>
      </c>
      <c r="C40" s="3" t="s">
        <v>518</v>
      </c>
      <c r="D40" s="4">
        <v>500000</v>
      </c>
      <c r="E40" s="4">
        <v>500000</v>
      </c>
      <c r="F40" s="4">
        <f t="shared" si="0"/>
        <v>0</v>
      </c>
      <c r="G40" s="4">
        <v>500000</v>
      </c>
      <c r="H40" s="4">
        <v>478660</v>
      </c>
      <c r="I40" s="4">
        <v>0</v>
      </c>
      <c r="J40" s="4">
        <v>17152</v>
      </c>
      <c r="K40" s="4">
        <f t="shared" si="1"/>
        <v>17152</v>
      </c>
      <c r="L40" s="4">
        <f t="shared" si="2"/>
        <v>495812</v>
      </c>
      <c r="M40" s="4">
        <f>P40+S40</f>
        <v>4188</v>
      </c>
      <c r="N40" s="4"/>
      <c r="O40" s="4">
        <f t="shared" si="3"/>
        <v>0</v>
      </c>
      <c r="P40" s="4">
        <f t="shared" si="4"/>
        <v>4188</v>
      </c>
      <c r="Q40" s="4"/>
      <c r="R40" s="4"/>
      <c r="S40" s="4">
        <f t="shared" si="5"/>
        <v>0</v>
      </c>
      <c r="T40" s="4">
        <f t="shared" si="6"/>
        <v>0</v>
      </c>
      <c r="U40" s="4">
        <f t="shared" si="7"/>
        <v>0</v>
      </c>
      <c r="V40" s="4">
        <f t="shared" si="8"/>
        <v>0</v>
      </c>
      <c r="W40" s="4"/>
      <c r="X40" s="4"/>
      <c r="Y40" s="4"/>
      <c r="Z40" s="4"/>
      <c r="AA40" s="3"/>
      <c r="AB40" s="3" t="s">
        <v>1042</v>
      </c>
      <c r="AC40" s="3">
        <v>732000</v>
      </c>
      <c r="AD40" s="335"/>
      <c r="AE40" s="335"/>
      <c r="AF40" s="335"/>
      <c r="AG40" s="335"/>
      <c r="AH40" s="335"/>
      <c r="AI40" s="335"/>
      <c r="AJ40" s="335"/>
      <c r="AK40" s="335"/>
      <c r="AL40" s="335"/>
      <c r="AM40" s="335"/>
      <c r="AN40" s="335"/>
      <c r="AO40" s="335"/>
      <c r="AP40" s="335"/>
      <c r="AQ40" s="335"/>
      <c r="AR40" s="335"/>
      <c r="AS40" s="335"/>
      <c r="AT40" s="335"/>
      <c r="AU40" s="335"/>
      <c r="AV40" s="335"/>
      <c r="AW40" s="335"/>
      <c r="AX40" s="335"/>
      <c r="AY40" s="335"/>
      <c r="AZ40" s="335"/>
    </row>
    <row r="41" spans="1:52" s="5" customFormat="1" ht="30" customHeight="1">
      <c r="A41" s="3">
        <f t="shared" si="9"/>
        <v>37</v>
      </c>
      <c r="B41" s="3">
        <v>1799</v>
      </c>
      <c r="C41" s="3" t="s">
        <v>106</v>
      </c>
      <c r="D41" s="4">
        <v>1000000</v>
      </c>
      <c r="E41" s="4">
        <v>1000000</v>
      </c>
      <c r="F41" s="4">
        <f t="shared" si="0"/>
        <v>0</v>
      </c>
      <c r="G41" s="4">
        <v>350000</v>
      </c>
      <c r="H41" s="4">
        <v>183189</v>
      </c>
      <c r="I41" s="4">
        <v>32175</v>
      </c>
      <c r="J41" s="4">
        <v>40338</v>
      </c>
      <c r="K41" s="4">
        <f t="shared" si="1"/>
        <v>72513</v>
      </c>
      <c r="L41" s="4">
        <f t="shared" si="2"/>
        <v>255702</v>
      </c>
      <c r="M41" s="4">
        <f>P41+S41-100000+100000</f>
        <v>94298</v>
      </c>
      <c r="N41" s="4">
        <v>100000</v>
      </c>
      <c r="O41" s="4">
        <f t="shared" si="3"/>
        <v>550000</v>
      </c>
      <c r="P41" s="4">
        <f t="shared" si="4"/>
        <v>94298</v>
      </c>
      <c r="Q41" s="4"/>
      <c r="R41" s="4"/>
      <c r="S41" s="4">
        <f t="shared" si="5"/>
        <v>0</v>
      </c>
      <c r="T41" s="4">
        <f t="shared" si="6"/>
        <v>0</v>
      </c>
      <c r="U41" s="4">
        <f t="shared" si="7"/>
        <v>100000</v>
      </c>
      <c r="V41" s="4">
        <f t="shared" si="8"/>
        <v>100000</v>
      </c>
      <c r="W41" s="4"/>
      <c r="X41" s="4"/>
      <c r="Y41" s="4"/>
      <c r="Z41" s="4"/>
      <c r="AA41" s="3"/>
      <c r="AB41" s="3" t="s">
        <v>748</v>
      </c>
      <c r="AC41" s="3">
        <v>732000</v>
      </c>
      <c r="AD41" s="335"/>
      <c r="AE41" s="335"/>
      <c r="AF41" s="335"/>
      <c r="AG41" s="335"/>
      <c r="AH41" s="335"/>
      <c r="AI41" s="335"/>
      <c r="AJ41" s="335"/>
      <c r="AK41" s="335"/>
      <c r="AL41" s="335"/>
      <c r="AM41" s="335"/>
      <c r="AN41" s="335"/>
      <c r="AO41" s="335"/>
      <c r="AP41" s="335"/>
      <c r="AQ41" s="335"/>
      <c r="AR41" s="335"/>
      <c r="AS41" s="335"/>
      <c r="AT41" s="335"/>
      <c r="AU41" s="335"/>
      <c r="AV41" s="335"/>
      <c r="AW41" s="335"/>
      <c r="AX41" s="335"/>
      <c r="AY41" s="335"/>
      <c r="AZ41" s="335"/>
    </row>
    <row r="42" spans="1:52" s="399" customFormat="1" ht="45">
      <c r="A42" s="3">
        <f t="shared" si="9"/>
        <v>38</v>
      </c>
      <c r="B42" s="3">
        <v>1843</v>
      </c>
      <c r="C42" s="3" t="s">
        <v>111</v>
      </c>
      <c r="D42" s="4">
        <f>380000+1240000-1240000</f>
        <v>380000</v>
      </c>
      <c r="E42" s="4">
        <v>380000</v>
      </c>
      <c r="F42" s="4">
        <f t="shared" si="0"/>
        <v>0</v>
      </c>
      <c r="G42" s="4">
        <v>0</v>
      </c>
      <c r="H42" s="4">
        <v>0</v>
      </c>
      <c r="I42" s="4">
        <v>0</v>
      </c>
      <c r="J42" s="4">
        <v>0</v>
      </c>
      <c r="K42" s="4">
        <f t="shared" si="1"/>
        <v>0</v>
      </c>
      <c r="L42" s="4">
        <f t="shared" si="2"/>
        <v>0</v>
      </c>
      <c r="M42" s="4">
        <f>P42+S42</f>
        <v>0</v>
      </c>
      <c r="N42" s="4">
        <f>720000-470000-50000</f>
        <v>200000</v>
      </c>
      <c r="O42" s="4">
        <f t="shared" si="3"/>
        <v>180000</v>
      </c>
      <c r="P42" s="4">
        <f t="shared" si="4"/>
        <v>0</v>
      </c>
      <c r="Q42" s="4"/>
      <c r="R42" s="4"/>
      <c r="S42" s="4">
        <f t="shared" si="5"/>
        <v>0</v>
      </c>
      <c r="T42" s="4">
        <f t="shared" si="6"/>
        <v>0</v>
      </c>
      <c r="U42" s="4">
        <f t="shared" si="7"/>
        <v>200000</v>
      </c>
      <c r="V42" s="4">
        <f t="shared" si="8"/>
        <v>200000</v>
      </c>
      <c r="W42" s="4"/>
      <c r="X42" s="4"/>
      <c r="Y42" s="4"/>
      <c r="Z42" s="4"/>
      <c r="AA42" s="3"/>
      <c r="AB42" s="3" t="s">
        <v>1048</v>
      </c>
      <c r="AC42" s="3">
        <v>732000</v>
      </c>
      <c r="AD42" s="335"/>
      <c r="AE42" s="335"/>
      <c r="AF42" s="335"/>
      <c r="AG42" s="335"/>
      <c r="AH42" s="335"/>
      <c r="AI42" s="335"/>
      <c r="AJ42" s="335"/>
      <c r="AK42" s="335"/>
      <c r="AL42" s="335"/>
      <c r="AM42" s="335"/>
      <c r="AN42" s="335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  <c r="AY42" s="335"/>
      <c r="AZ42" s="335"/>
    </row>
    <row r="43" spans="1:52" s="6" customFormat="1" ht="75">
      <c r="A43" s="3">
        <f t="shared" si="9"/>
        <v>39</v>
      </c>
      <c r="B43" s="3">
        <v>1937</v>
      </c>
      <c r="C43" s="3" t="s">
        <v>424</v>
      </c>
      <c r="D43" s="4">
        <v>1050000</v>
      </c>
      <c r="E43" s="4">
        <v>1050000</v>
      </c>
      <c r="F43" s="4">
        <f t="shared" si="0"/>
        <v>0</v>
      </c>
      <c r="G43" s="4">
        <v>650000</v>
      </c>
      <c r="H43" s="4">
        <v>56082</v>
      </c>
      <c r="I43" s="4">
        <v>244936</v>
      </c>
      <c r="J43" s="4">
        <v>157170</v>
      </c>
      <c r="K43" s="4">
        <f t="shared" si="1"/>
        <v>402106</v>
      </c>
      <c r="L43" s="4">
        <f t="shared" si="2"/>
        <v>458188</v>
      </c>
      <c r="M43" s="4">
        <f>P43+S43-300000+120000</f>
        <v>11812</v>
      </c>
      <c r="N43" s="4">
        <v>300000</v>
      </c>
      <c r="O43" s="4">
        <f t="shared" si="3"/>
        <v>280000</v>
      </c>
      <c r="P43" s="4">
        <f t="shared" si="4"/>
        <v>191812</v>
      </c>
      <c r="Q43" s="4"/>
      <c r="R43" s="4"/>
      <c r="S43" s="4">
        <f t="shared" si="5"/>
        <v>0</v>
      </c>
      <c r="T43" s="4">
        <f t="shared" si="6"/>
        <v>180000</v>
      </c>
      <c r="U43" s="4">
        <f t="shared" si="7"/>
        <v>120000</v>
      </c>
      <c r="V43" s="4">
        <f t="shared" si="8"/>
        <v>120000</v>
      </c>
      <c r="W43" s="4"/>
      <c r="X43" s="4"/>
      <c r="Y43" s="4"/>
      <c r="Z43" s="4"/>
      <c r="AA43" s="3"/>
      <c r="AB43" s="3" t="s">
        <v>818</v>
      </c>
      <c r="AC43" s="3">
        <v>732000</v>
      </c>
      <c r="AD43" s="335"/>
      <c r="AE43" s="335"/>
      <c r="AF43" s="335"/>
      <c r="AG43" s="335"/>
      <c r="AH43" s="335"/>
      <c r="AI43" s="335"/>
      <c r="AJ43" s="335"/>
      <c r="AK43" s="335"/>
      <c r="AL43" s="335"/>
      <c r="AM43" s="335"/>
      <c r="AN43" s="335"/>
      <c r="AO43" s="335"/>
      <c r="AP43" s="335"/>
      <c r="AQ43" s="335"/>
      <c r="AR43" s="335"/>
      <c r="AS43" s="335"/>
      <c r="AT43" s="335"/>
      <c r="AU43" s="335"/>
      <c r="AV43" s="335"/>
      <c r="AW43" s="335"/>
      <c r="AX43" s="335"/>
      <c r="AY43" s="335"/>
      <c r="AZ43" s="335"/>
    </row>
    <row r="44" spans="1:52" s="6" customFormat="1" ht="60">
      <c r="A44" s="3">
        <f t="shared" si="9"/>
        <v>40</v>
      </c>
      <c r="B44" s="30">
        <v>2105</v>
      </c>
      <c r="C44" s="3" t="s">
        <v>419</v>
      </c>
      <c r="D44" s="4">
        <v>60000000</v>
      </c>
      <c r="E44" s="4">
        <v>60000000</v>
      </c>
      <c r="F44" s="4">
        <f t="shared" si="0"/>
        <v>0</v>
      </c>
      <c r="G44" s="4">
        <v>1000000</v>
      </c>
      <c r="H44" s="4">
        <v>0</v>
      </c>
      <c r="I44" s="4">
        <v>0</v>
      </c>
      <c r="J44" s="4">
        <v>129838</v>
      </c>
      <c r="K44" s="4">
        <f t="shared" si="1"/>
        <v>129838</v>
      </c>
      <c r="L44" s="4">
        <f t="shared" si="2"/>
        <v>129838</v>
      </c>
      <c r="M44" s="4">
        <f>P44+S44-800000</f>
        <v>70162</v>
      </c>
      <c r="N44" s="4">
        <f>800000-400000-200000</f>
        <v>200000</v>
      </c>
      <c r="O44" s="4">
        <f t="shared" si="3"/>
        <v>59600000</v>
      </c>
      <c r="P44" s="4">
        <f t="shared" si="4"/>
        <v>870162</v>
      </c>
      <c r="Q44" s="4"/>
      <c r="R44" s="4"/>
      <c r="S44" s="4">
        <f t="shared" si="5"/>
        <v>0</v>
      </c>
      <c r="T44" s="4">
        <f t="shared" si="6"/>
        <v>800000</v>
      </c>
      <c r="U44" s="4">
        <f t="shared" si="7"/>
        <v>-600000</v>
      </c>
      <c r="V44" s="4">
        <f t="shared" si="8"/>
        <v>-600000</v>
      </c>
      <c r="W44" s="4"/>
      <c r="X44" s="4"/>
      <c r="Y44" s="4"/>
      <c r="Z44" s="4"/>
      <c r="AA44" s="3"/>
      <c r="AB44" s="3" t="s">
        <v>819</v>
      </c>
      <c r="AC44" s="3">
        <v>742000</v>
      </c>
      <c r="AD44" s="335"/>
      <c r="AE44" s="335"/>
      <c r="AF44" s="335"/>
      <c r="AG44" s="335"/>
      <c r="AH44" s="335"/>
      <c r="AI44" s="335"/>
      <c r="AJ44" s="335"/>
      <c r="AK44" s="335"/>
      <c r="AL44" s="335"/>
      <c r="AM44" s="335"/>
      <c r="AN44" s="335"/>
      <c r="AO44" s="335"/>
      <c r="AP44" s="335"/>
      <c r="AQ44" s="335"/>
      <c r="AR44" s="335"/>
      <c r="AS44" s="335"/>
      <c r="AT44" s="335"/>
      <c r="AU44" s="335"/>
      <c r="AV44" s="335"/>
      <c r="AW44" s="335"/>
      <c r="AX44" s="335"/>
      <c r="AY44" s="335"/>
      <c r="AZ44" s="335"/>
    </row>
    <row r="45" spans="1:52" s="5" customFormat="1" ht="90">
      <c r="A45" s="3">
        <f t="shared" si="9"/>
        <v>41</v>
      </c>
      <c r="B45" s="30">
        <v>2107</v>
      </c>
      <c r="C45" s="3" t="s">
        <v>312</v>
      </c>
      <c r="D45" s="4">
        <v>340000</v>
      </c>
      <c r="E45" s="4">
        <v>340000</v>
      </c>
      <c r="F45" s="4">
        <f t="shared" si="0"/>
        <v>0</v>
      </c>
      <c r="G45" s="4">
        <v>340000</v>
      </c>
      <c r="H45" s="4">
        <v>0</v>
      </c>
      <c r="I45" s="4">
        <v>0</v>
      </c>
      <c r="J45" s="4">
        <v>0</v>
      </c>
      <c r="K45" s="4">
        <f t="shared" si="1"/>
        <v>0</v>
      </c>
      <c r="L45" s="4">
        <f t="shared" si="2"/>
        <v>0</v>
      </c>
      <c r="M45" s="4">
        <f>P45+S45-340000</f>
        <v>0</v>
      </c>
      <c r="N45" s="4">
        <f>340000-340000</f>
        <v>0</v>
      </c>
      <c r="O45" s="4">
        <f t="shared" si="3"/>
        <v>340000</v>
      </c>
      <c r="P45" s="4">
        <f t="shared" si="4"/>
        <v>340000</v>
      </c>
      <c r="Q45" s="4"/>
      <c r="R45" s="4"/>
      <c r="S45" s="4">
        <f t="shared" si="5"/>
        <v>0</v>
      </c>
      <c r="T45" s="4">
        <f t="shared" si="6"/>
        <v>340000</v>
      </c>
      <c r="U45" s="4">
        <f t="shared" si="7"/>
        <v>-340000</v>
      </c>
      <c r="V45" s="4">
        <f t="shared" si="8"/>
        <v>-340000</v>
      </c>
      <c r="W45" s="4"/>
      <c r="X45" s="4"/>
      <c r="Y45" s="4"/>
      <c r="Z45" s="4"/>
      <c r="AA45" s="3"/>
      <c r="AB45" s="3" t="s">
        <v>1056</v>
      </c>
      <c r="AC45" s="3">
        <v>742000</v>
      </c>
      <c r="AD45" s="335"/>
      <c r="AE45" s="335"/>
      <c r="AF45" s="335"/>
      <c r="AG45" s="335"/>
      <c r="AH45" s="335"/>
      <c r="AI45" s="335"/>
      <c r="AJ45" s="335"/>
      <c r="AK45" s="335"/>
      <c r="AL45" s="335"/>
      <c r="AM45" s="335"/>
      <c r="AN45" s="335"/>
      <c r="AO45" s="335"/>
      <c r="AP45" s="335"/>
      <c r="AQ45" s="335"/>
      <c r="AR45" s="335"/>
      <c r="AS45" s="335"/>
      <c r="AT45" s="335"/>
      <c r="AU45" s="335"/>
      <c r="AV45" s="335"/>
      <c r="AW45" s="335"/>
      <c r="AX45" s="335"/>
      <c r="AY45" s="335"/>
      <c r="AZ45" s="335"/>
    </row>
    <row r="46" spans="1:52" s="5" customFormat="1" ht="30" customHeight="1">
      <c r="A46" s="3">
        <f t="shared" si="9"/>
        <v>42</v>
      </c>
      <c r="B46" s="3">
        <v>2112</v>
      </c>
      <c r="C46" s="3" t="s">
        <v>480</v>
      </c>
      <c r="D46" s="4">
        <v>7650000</v>
      </c>
      <c r="E46" s="4">
        <v>7650000</v>
      </c>
      <c r="F46" s="4">
        <f t="shared" si="0"/>
        <v>0</v>
      </c>
      <c r="G46" s="4">
        <v>2160000</v>
      </c>
      <c r="H46" s="4">
        <v>23072</v>
      </c>
      <c r="I46" s="4">
        <v>0</v>
      </c>
      <c r="J46" s="4">
        <v>121399</v>
      </c>
      <c r="K46" s="4">
        <f t="shared" si="1"/>
        <v>121399</v>
      </c>
      <c r="L46" s="4">
        <f t="shared" si="2"/>
        <v>144471</v>
      </c>
      <c r="M46" s="4">
        <f>P46+S46-2000000</f>
        <v>15529</v>
      </c>
      <c r="N46" s="4">
        <f>2000000-500000</f>
        <v>1500000</v>
      </c>
      <c r="O46" s="4">
        <f t="shared" si="3"/>
        <v>5990000</v>
      </c>
      <c r="P46" s="4">
        <f t="shared" si="4"/>
        <v>2015529</v>
      </c>
      <c r="Q46" s="4"/>
      <c r="R46" s="4"/>
      <c r="S46" s="4">
        <f t="shared" si="5"/>
        <v>0</v>
      </c>
      <c r="T46" s="4">
        <f t="shared" si="6"/>
        <v>2000000</v>
      </c>
      <c r="U46" s="4">
        <f t="shared" si="7"/>
        <v>-500000</v>
      </c>
      <c r="V46" s="4">
        <f t="shared" si="8"/>
        <v>-500000</v>
      </c>
      <c r="W46" s="4"/>
      <c r="X46" s="4"/>
      <c r="Y46" s="4"/>
      <c r="Z46" s="4"/>
      <c r="AA46" s="3"/>
      <c r="AB46" s="255" t="s">
        <v>820</v>
      </c>
      <c r="AC46" s="3">
        <v>732000</v>
      </c>
      <c r="AD46" s="335"/>
      <c r="AE46" s="335"/>
      <c r="AF46" s="335"/>
      <c r="AG46" s="335"/>
      <c r="AH46" s="335"/>
      <c r="AI46" s="335"/>
      <c r="AJ46" s="335"/>
      <c r="AK46" s="335"/>
      <c r="AL46" s="335"/>
      <c r="AM46" s="335"/>
      <c r="AN46" s="335"/>
      <c r="AO46" s="335"/>
      <c r="AP46" s="335"/>
      <c r="AQ46" s="335"/>
      <c r="AR46" s="335"/>
      <c r="AS46" s="335"/>
      <c r="AT46" s="335"/>
      <c r="AU46" s="335"/>
      <c r="AV46" s="335"/>
      <c r="AW46" s="335"/>
      <c r="AX46" s="335"/>
      <c r="AY46" s="335"/>
      <c r="AZ46" s="335"/>
    </row>
    <row r="47" spans="1:52" s="6" customFormat="1" ht="60">
      <c r="A47" s="3">
        <f t="shared" si="9"/>
        <v>43</v>
      </c>
      <c r="B47" s="3">
        <v>2113</v>
      </c>
      <c r="C47" s="3" t="s">
        <v>316</v>
      </c>
      <c r="D47" s="4">
        <v>2550000</v>
      </c>
      <c r="E47" s="4">
        <v>2550000</v>
      </c>
      <c r="F47" s="4">
        <f t="shared" si="0"/>
        <v>0</v>
      </c>
      <c r="G47" s="4">
        <v>200000</v>
      </c>
      <c r="H47" s="4">
        <v>9009</v>
      </c>
      <c r="I47" s="4">
        <v>0</v>
      </c>
      <c r="J47" s="4">
        <v>27963</v>
      </c>
      <c r="K47" s="4">
        <f t="shared" si="1"/>
        <v>27963</v>
      </c>
      <c r="L47" s="4">
        <f t="shared" si="2"/>
        <v>36972</v>
      </c>
      <c r="M47" s="4">
        <f>P47+S47-150000</f>
        <v>13028</v>
      </c>
      <c r="N47" s="4">
        <v>150000</v>
      </c>
      <c r="O47" s="4">
        <f t="shared" si="3"/>
        <v>2350000</v>
      </c>
      <c r="P47" s="4">
        <f t="shared" si="4"/>
        <v>163028</v>
      </c>
      <c r="Q47" s="4"/>
      <c r="R47" s="4"/>
      <c r="S47" s="4">
        <f t="shared" si="5"/>
        <v>0</v>
      </c>
      <c r="T47" s="4">
        <f t="shared" si="6"/>
        <v>150000</v>
      </c>
      <c r="U47" s="4">
        <f t="shared" si="7"/>
        <v>0</v>
      </c>
      <c r="V47" s="4">
        <f t="shared" si="8"/>
        <v>0</v>
      </c>
      <c r="W47" s="4"/>
      <c r="X47" s="4"/>
      <c r="Y47" s="4"/>
      <c r="Z47" s="4"/>
      <c r="AA47" s="3"/>
      <c r="AB47" s="255" t="s">
        <v>821</v>
      </c>
      <c r="AC47" s="3">
        <v>732000</v>
      </c>
      <c r="AD47" s="335"/>
      <c r="AE47" s="335"/>
      <c r="AF47" s="335"/>
      <c r="AG47" s="335"/>
      <c r="AH47" s="335"/>
      <c r="AI47" s="335"/>
      <c r="AJ47" s="335"/>
      <c r="AK47" s="335"/>
      <c r="AL47" s="335"/>
      <c r="AM47" s="335"/>
      <c r="AN47" s="335"/>
      <c r="AO47" s="335"/>
      <c r="AP47" s="335"/>
      <c r="AQ47" s="335"/>
      <c r="AR47" s="335"/>
      <c r="AS47" s="335"/>
      <c r="AT47" s="335"/>
      <c r="AU47" s="335"/>
      <c r="AV47" s="335"/>
      <c r="AW47" s="335"/>
      <c r="AX47" s="335"/>
      <c r="AY47" s="335"/>
      <c r="AZ47" s="335"/>
    </row>
    <row r="48" spans="1:52" s="6" customFormat="1" ht="75">
      <c r="A48" s="3">
        <f t="shared" si="9"/>
        <v>44</v>
      </c>
      <c r="B48" s="3">
        <v>2114</v>
      </c>
      <c r="C48" s="3" t="s">
        <v>398</v>
      </c>
      <c r="D48" s="4">
        <v>1450000</v>
      </c>
      <c r="E48" s="4">
        <v>1450000</v>
      </c>
      <c r="F48" s="4">
        <f t="shared" si="0"/>
        <v>0</v>
      </c>
      <c r="G48" s="4">
        <v>650000</v>
      </c>
      <c r="H48" s="4">
        <v>0</v>
      </c>
      <c r="I48" s="4">
        <v>44352</v>
      </c>
      <c r="J48" s="4">
        <v>83304</v>
      </c>
      <c r="K48" s="4">
        <f t="shared" si="1"/>
        <v>127656</v>
      </c>
      <c r="L48" s="4">
        <f t="shared" si="2"/>
        <v>127656</v>
      </c>
      <c r="M48" s="4">
        <f>P48+S48-500000</f>
        <v>22344</v>
      </c>
      <c r="N48" s="4">
        <f>500000-200000-100000</f>
        <v>200000</v>
      </c>
      <c r="O48" s="4">
        <f t="shared" si="3"/>
        <v>1100000</v>
      </c>
      <c r="P48" s="4">
        <f t="shared" si="4"/>
        <v>522344</v>
      </c>
      <c r="Q48" s="4"/>
      <c r="R48" s="4"/>
      <c r="S48" s="4">
        <f t="shared" si="5"/>
        <v>0</v>
      </c>
      <c r="T48" s="4">
        <f t="shared" si="6"/>
        <v>500000</v>
      </c>
      <c r="U48" s="4">
        <f t="shared" si="7"/>
        <v>-300000</v>
      </c>
      <c r="V48" s="4">
        <f t="shared" si="8"/>
        <v>-300000</v>
      </c>
      <c r="W48" s="4"/>
      <c r="X48" s="4"/>
      <c r="Y48" s="4"/>
      <c r="Z48" s="4"/>
      <c r="AA48" s="3"/>
      <c r="AB48" s="3" t="s">
        <v>753</v>
      </c>
      <c r="AC48" s="3">
        <v>732000</v>
      </c>
      <c r="AD48" s="335"/>
      <c r="AE48" s="335"/>
      <c r="AF48" s="335"/>
      <c r="AG48" s="335"/>
      <c r="AH48" s="335"/>
      <c r="AI48" s="335"/>
      <c r="AJ48" s="335"/>
      <c r="AK48" s="335"/>
      <c r="AL48" s="335"/>
      <c r="AM48" s="335"/>
      <c r="AN48" s="335"/>
      <c r="AO48" s="335"/>
      <c r="AP48" s="335"/>
      <c r="AQ48" s="335"/>
      <c r="AR48" s="335"/>
      <c r="AS48" s="335"/>
      <c r="AT48" s="335"/>
      <c r="AU48" s="335"/>
      <c r="AV48" s="335"/>
      <c r="AW48" s="335"/>
      <c r="AX48" s="335"/>
      <c r="AY48" s="335"/>
      <c r="AZ48" s="335"/>
    </row>
    <row r="49" spans="1:52" s="6" customFormat="1" ht="45">
      <c r="A49" s="3">
        <f t="shared" si="9"/>
        <v>45</v>
      </c>
      <c r="B49" s="3">
        <v>2117</v>
      </c>
      <c r="C49" s="3" t="s">
        <v>729</v>
      </c>
      <c r="D49" s="4">
        <v>750000</v>
      </c>
      <c r="E49" s="4">
        <v>750000</v>
      </c>
      <c r="F49" s="4">
        <f t="shared" si="0"/>
        <v>0</v>
      </c>
      <c r="G49" s="4">
        <v>400000</v>
      </c>
      <c r="H49" s="4">
        <v>24336</v>
      </c>
      <c r="I49" s="4">
        <v>0</v>
      </c>
      <c r="J49" s="4">
        <v>176035</v>
      </c>
      <c r="K49" s="4">
        <f t="shared" si="1"/>
        <v>176035</v>
      </c>
      <c r="L49" s="4">
        <f t="shared" si="2"/>
        <v>200371</v>
      </c>
      <c r="M49" s="4">
        <f>P49+S49-150000</f>
        <v>49629</v>
      </c>
      <c r="N49" s="4">
        <f>150000-50000</f>
        <v>100000</v>
      </c>
      <c r="O49" s="4">
        <f t="shared" si="3"/>
        <v>400000</v>
      </c>
      <c r="P49" s="4">
        <f t="shared" si="4"/>
        <v>199629</v>
      </c>
      <c r="Q49" s="4"/>
      <c r="R49" s="4"/>
      <c r="S49" s="4">
        <f t="shared" si="5"/>
        <v>0</v>
      </c>
      <c r="T49" s="4">
        <f t="shared" si="6"/>
        <v>150000</v>
      </c>
      <c r="U49" s="4">
        <f t="shared" si="7"/>
        <v>-50000</v>
      </c>
      <c r="V49" s="4">
        <f t="shared" si="8"/>
        <v>-50000</v>
      </c>
      <c r="W49" s="8"/>
      <c r="X49" s="8"/>
      <c r="Y49" s="8"/>
      <c r="Z49" s="8"/>
      <c r="AA49" s="8"/>
      <c r="AB49" s="3" t="s">
        <v>730</v>
      </c>
      <c r="AC49" s="3">
        <v>732000</v>
      </c>
      <c r="AD49" s="335"/>
      <c r="AE49" s="335"/>
      <c r="AF49" s="335"/>
      <c r="AG49" s="335"/>
      <c r="AH49" s="335"/>
      <c r="AI49" s="335"/>
      <c r="AJ49" s="335"/>
      <c r="AK49" s="335"/>
      <c r="AL49" s="335"/>
      <c r="AM49" s="335"/>
      <c r="AN49" s="335"/>
      <c r="AO49" s="335"/>
      <c r="AP49" s="335"/>
      <c r="AQ49" s="335"/>
      <c r="AR49" s="335"/>
      <c r="AS49" s="335"/>
      <c r="AT49" s="335"/>
      <c r="AU49" s="335"/>
      <c r="AV49" s="335"/>
      <c r="AW49" s="335"/>
      <c r="AX49" s="335"/>
      <c r="AY49" s="335"/>
      <c r="AZ49" s="335"/>
    </row>
    <row r="50" spans="1:52" s="5" customFormat="1" ht="60">
      <c r="A50" s="3">
        <f t="shared" si="9"/>
        <v>46</v>
      </c>
      <c r="B50" s="30">
        <v>2121</v>
      </c>
      <c r="C50" s="3" t="s">
        <v>420</v>
      </c>
      <c r="D50" s="4">
        <v>300000</v>
      </c>
      <c r="E50" s="4">
        <v>300000</v>
      </c>
      <c r="F50" s="4">
        <f t="shared" si="0"/>
        <v>0</v>
      </c>
      <c r="G50" s="4">
        <v>300000</v>
      </c>
      <c r="H50" s="4">
        <v>75918</v>
      </c>
      <c r="I50" s="4">
        <v>0</v>
      </c>
      <c r="J50" s="4">
        <v>76900</v>
      </c>
      <c r="K50" s="4">
        <f t="shared" si="1"/>
        <v>76900</v>
      </c>
      <c r="L50" s="4">
        <f t="shared" si="2"/>
        <v>152818</v>
      </c>
      <c r="M50" s="4">
        <f>P50+S50-100000</f>
        <v>47182</v>
      </c>
      <c r="N50" s="4">
        <v>100000</v>
      </c>
      <c r="O50" s="4">
        <f t="shared" si="3"/>
        <v>0</v>
      </c>
      <c r="P50" s="4">
        <f t="shared" si="4"/>
        <v>147182</v>
      </c>
      <c r="Q50" s="4"/>
      <c r="R50" s="4"/>
      <c r="S50" s="4">
        <f t="shared" si="5"/>
        <v>0</v>
      </c>
      <c r="T50" s="4">
        <f t="shared" si="6"/>
        <v>100000</v>
      </c>
      <c r="U50" s="4">
        <f t="shared" si="7"/>
        <v>0</v>
      </c>
      <c r="V50" s="4">
        <f t="shared" si="8"/>
        <v>0</v>
      </c>
      <c r="W50" s="4"/>
      <c r="X50" s="4"/>
      <c r="Y50" s="4"/>
      <c r="Z50" s="4"/>
      <c r="AA50" s="4"/>
      <c r="AB50" s="3" t="s">
        <v>421</v>
      </c>
      <c r="AC50" s="3">
        <v>742000</v>
      </c>
      <c r="AD50" s="335"/>
      <c r="AE50" s="335"/>
      <c r="AF50" s="335"/>
      <c r="AG50" s="335"/>
      <c r="AH50" s="335"/>
      <c r="AI50" s="335"/>
      <c r="AJ50" s="335"/>
      <c r="AK50" s="335"/>
      <c r="AL50" s="335"/>
      <c r="AM50" s="335"/>
      <c r="AN50" s="335"/>
      <c r="AO50" s="335"/>
      <c r="AP50" s="335"/>
      <c r="AQ50" s="335"/>
      <c r="AR50" s="335"/>
      <c r="AS50" s="335"/>
      <c r="AT50" s="335"/>
      <c r="AU50" s="335"/>
      <c r="AV50" s="335"/>
      <c r="AW50" s="335"/>
      <c r="AX50" s="335"/>
      <c r="AY50" s="335"/>
      <c r="AZ50" s="335"/>
    </row>
    <row r="51" spans="1:52" s="5" customFormat="1" ht="45">
      <c r="A51" s="3">
        <f t="shared" si="9"/>
        <v>47</v>
      </c>
      <c r="B51" s="30">
        <v>2122</v>
      </c>
      <c r="C51" s="3" t="s">
        <v>477</v>
      </c>
      <c r="D51" s="4">
        <f>300000-200000</f>
        <v>100000</v>
      </c>
      <c r="E51" s="4">
        <v>300000</v>
      </c>
      <c r="F51" s="4">
        <f t="shared" si="0"/>
        <v>-200000</v>
      </c>
      <c r="G51" s="4">
        <v>300000</v>
      </c>
      <c r="H51" s="4">
        <v>38188</v>
      </c>
      <c r="I51" s="4">
        <v>0</v>
      </c>
      <c r="J51" s="4">
        <v>21242</v>
      </c>
      <c r="K51" s="4">
        <f t="shared" si="1"/>
        <v>21242</v>
      </c>
      <c r="L51" s="4">
        <f t="shared" si="2"/>
        <v>59430</v>
      </c>
      <c r="M51" s="4">
        <f>P51+S51-200000</f>
        <v>40570</v>
      </c>
      <c r="N51" s="4">
        <f>200000-200000</f>
        <v>0</v>
      </c>
      <c r="O51" s="4">
        <f t="shared" si="3"/>
        <v>0</v>
      </c>
      <c r="P51" s="4">
        <f t="shared" si="4"/>
        <v>240570</v>
      </c>
      <c r="Q51" s="4"/>
      <c r="R51" s="4"/>
      <c r="S51" s="4">
        <f t="shared" si="5"/>
        <v>0</v>
      </c>
      <c r="T51" s="4">
        <f t="shared" si="6"/>
        <v>200000</v>
      </c>
      <c r="U51" s="4">
        <f t="shared" si="7"/>
        <v>-200000</v>
      </c>
      <c r="V51" s="4">
        <f t="shared" si="8"/>
        <v>-60000</v>
      </c>
      <c r="W51" s="4"/>
      <c r="X51" s="4"/>
      <c r="Y51" s="4"/>
      <c r="Z51" s="4"/>
      <c r="AA51" s="4">
        <v>-140000</v>
      </c>
      <c r="AB51" s="3" t="s">
        <v>731</v>
      </c>
      <c r="AC51" s="3">
        <v>742000</v>
      </c>
      <c r="AD51" s="335"/>
      <c r="AE51" s="335"/>
      <c r="AF51" s="335"/>
      <c r="AG51" s="335"/>
      <c r="AH51" s="335"/>
      <c r="AI51" s="335"/>
      <c r="AJ51" s="335"/>
      <c r="AK51" s="335"/>
      <c r="AL51" s="335"/>
      <c r="AM51" s="335"/>
      <c r="AN51" s="335"/>
      <c r="AO51" s="335"/>
      <c r="AP51" s="335"/>
      <c r="AQ51" s="335"/>
      <c r="AR51" s="335"/>
      <c r="AS51" s="335"/>
      <c r="AT51" s="335"/>
      <c r="AU51" s="335"/>
      <c r="AV51" s="335"/>
      <c r="AW51" s="335"/>
      <c r="AX51" s="335"/>
      <c r="AY51" s="335"/>
      <c r="AZ51" s="335"/>
    </row>
    <row r="52" spans="1:52" s="5" customFormat="1" ht="45">
      <c r="A52" s="3">
        <f t="shared" si="9"/>
        <v>48</v>
      </c>
      <c r="B52" s="30">
        <v>2123</v>
      </c>
      <c r="C52" s="3" t="s">
        <v>478</v>
      </c>
      <c r="D52" s="4">
        <f>750000-500000</f>
        <v>250000</v>
      </c>
      <c r="E52" s="4">
        <v>750000</v>
      </c>
      <c r="F52" s="4">
        <f t="shared" si="0"/>
        <v>-500000</v>
      </c>
      <c r="G52" s="4">
        <v>750000</v>
      </c>
      <c r="H52" s="4">
        <v>38624</v>
      </c>
      <c r="I52" s="4">
        <v>0</v>
      </c>
      <c r="J52" s="4">
        <v>77516</v>
      </c>
      <c r="K52" s="4">
        <f t="shared" si="1"/>
        <v>77516</v>
      </c>
      <c r="L52" s="4">
        <f t="shared" si="2"/>
        <v>116140</v>
      </c>
      <c r="M52" s="4">
        <f>P52+S52-600000</f>
        <v>33860</v>
      </c>
      <c r="N52" s="4">
        <f>600000-500000</f>
        <v>100000</v>
      </c>
      <c r="O52" s="4">
        <f t="shared" si="3"/>
        <v>0</v>
      </c>
      <c r="P52" s="4">
        <f t="shared" si="4"/>
        <v>633860</v>
      </c>
      <c r="Q52" s="4"/>
      <c r="R52" s="4"/>
      <c r="S52" s="4">
        <f t="shared" si="5"/>
        <v>0</v>
      </c>
      <c r="T52" s="4">
        <f t="shared" si="6"/>
        <v>600000</v>
      </c>
      <c r="U52" s="4">
        <f t="shared" si="7"/>
        <v>-500000</v>
      </c>
      <c r="V52" s="4">
        <f t="shared" si="8"/>
        <v>-150000</v>
      </c>
      <c r="W52" s="4"/>
      <c r="X52" s="4"/>
      <c r="Y52" s="4"/>
      <c r="Z52" s="4"/>
      <c r="AA52" s="4">
        <v>-350000</v>
      </c>
      <c r="AB52" s="3" t="s">
        <v>427</v>
      </c>
      <c r="AC52" s="3">
        <v>742000</v>
      </c>
      <c r="AD52" s="335"/>
      <c r="AE52" s="335"/>
      <c r="AF52" s="335"/>
      <c r="AG52" s="335"/>
      <c r="AH52" s="335"/>
      <c r="AI52" s="335"/>
      <c r="AJ52" s="335"/>
      <c r="AK52" s="335"/>
      <c r="AL52" s="335"/>
      <c r="AM52" s="335"/>
      <c r="AN52" s="335"/>
      <c r="AO52" s="335"/>
      <c r="AP52" s="335"/>
      <c r="AQ52" s="335"/>
      <c r="AR52" s="335"/>
      <c r="AS52" s="335"/>
      <c r="AT52" s="335"/>
      <c r="AU52" s="335"/>
      <c r="AV52" s="335"/>
      <c r="AW52" s="335"/>
      <c r="AX52" s="335"/>
      <c r="AY52" s="335"/>
      <c r="AZ52" s="335"/>
    </row>
    <row r="53" spans="1:52" s="5" customFormat="1" ht="75">
      <c r="A53" s="3">
        <f t="shared" si="9"/>
        <v>49</v>
      </c>
      <c r="B53" s="30">
        <v>2141</v>
      </c>
      <c r="C53" s="3" t="s">
        <v>520</v>
      </c>
      <c r="D53" s="4">
        <v>640000</v>
      </c>
      <c r="E53" s="4">
        <v>640000</v>
      </c>
      <c r="F53" s="4">
        <f t="shared" si="0"/>
        <v>0</v>
      </c>
      <c r="G53" s="4">
        <v>0</v>
      </c>
      <c r="H53" s="4">
        <v>0</v>
      </c>
      <c r="I53" s="4">
        <v>0</v>
      </c>
      <c r="J53" s="4">
        <v>0</v>
      </c>
      <c r="K53" s="4">
        <f t="shared" si="1"/>
        <v>0</v>
      </c>
      <c r="L53" s="4">
        <f t="shared" si="2"/>
        <v>0</v>
      </c>
      <c r="M53" s="4">
        <f>P53+S53</f>
        <v>0</v>
      </c>
      <c r="N53" s="4">
        <f>300000-100000-100000</f>
        <v>100000</v>
      </c>
      <c r="O53" s="4">
        <f t="shared" si="3"/>
        <v>540000</v>
      </c>
      <c r="P53" s="4">
        <f t="shared" si="4"/>
        <v>0</v>
      </c>
      <c r="Q53" s="4"/>
      <c r="R53" s="4"/>
      <c r="S53" s="4">
        <f t="shared" si="5"/>
        <v>0</v>
      </c>
      <c r="T53" s="4">
        <f t="shared" si="6"/>
        <v>0</v>
      </c>
      <c r="U53" s="4">
        <f t="shared" si="7"/>
        <v>100000</v>
      </c>
      <c r="V53" s="4">
        <f t="shared" si="8"/>
        <v>100000</v>
      </c>
      <c r="W53" s="4"/>
      <c r="X53" s="4"/>
      <c r="Y53" s="4"/>
      <c r="Z53" s="4"/>
      <c r="AA53" s="4"/>
      <c r="AB53" s="3" t="s">
        <v>822</v>
      </c>
      <c r="AC53" s="3">
        <v>732000</v>
      </c>
      <c r="AD53" s="335"/>
      <c r="AE53" s="335"/>
      <c r="AF53" s="335"/>
      <c r="AG53" s="335"/>
      <c r="AH53" s="335"/>
      <c r="AI53" s="335"/>
      <c r="AJ53" s="335"/>
      <c r="AK53" s="335"/>
      <c r="AL53" s="335"/>
      <c r="AM53" s="335"/>
      <c r="AN53" s="335"/>
      <c r="AO53" s="335"/>
      <c r="AP53" s="335"/>
      <c r="AQ53" s="335"/>
      <c r="AR53" s="335"/>
      <c r="AS53" s="335"/>
      <c r="AT53" s="335"/>
      <c r="AU53" s="335"/>
      <c r="AV53" s="335"/>
      <c r="AW53" s="335"/>
      <c r="AX53" s="335"/>
      <c r="AY53" s="335"/>
      <c r="AZ53" s="335"/>
    </row>
    <row r="54" spans="1:52" s="5" customFormat="1" ht="30" customHeight="1">
      <c r="A54" s="3">
        <f t="shared" si="9"/>
        <v>50</v>
      </c>
      <c r="B54" s="3">
        <v>2142</v>
      </c>
      <c r="C54" s="3" t="s">
        <v>568</v>
      </c>
      <c r="D54" s="4">
        <v>4000000</v>
      </c>
      <c r="E54" s="4">
        <v>4000000</v>
      </c>
      <c r="F54" s="4">
        <f t="shared" si="0"/>
        <v>0</v>
      </c>
      <c r="G54" s="4">
        <f>2400000+1000000</f>
        <v>3400000</v>
      </c>
      <c r="H54" s="4">
        <v>148572</v>
      </c>
      <c r="I54" s="4">
        <v>1045967</v>
      </c>
      <c r="J54" s="4">
        <v>592307</v>
      </c>
      <c r="K54" s="4">
        <f t="shared" si="1"/>
        <v>1638274</v>
      </c>
      <c r="L54" s="4">
        <f t="shared" si="2"/>
        <v>1786846</v>
      </c>
      <c r="M54" s="4">
        <f>P54+S54-500000-500000</f>
        <v>613154</v>
      </c>
      <c r="N54" s="4">
        <f>500000+500000</f>
        <v>1000000</v>
      </c>
      <c r="O54" s="4">
        <f t="shared" si="3"/>
        <v>600000</v>
      </c>
      <c r="P54" s="4">
        <f t="shared" si="4"/>
        <v>1613154</v>
      </c>
      <c r="Q54" s="4"/>
      <c r="R54" s="4"/>
      <c r="S54" s="4">
        <f t="shared" si="5"/>
        <v>0</v>
      </c>
      <c r="T54" s="4">
        <f t="shared" si="6"/>
        <v>1000000</v>
      </c>
      <c r="U54" s="4">
        <f t="shared" si="7"/>
        <v>0</v>
      </c>
      <c r="V54" s="4">
        <f t="shared" si="8"/>
        <v>0</v>
      </c>
      <c r="W54" s="4"/>
      <c r="X54" s="4"/>
      <c r="Y54" s="4"/>
      <c r="Z54" s="4"/>
      <c r="AA54" s="4"/>
      <c r="AB54" s="3" t="s">
        <v>569</v>
      </c>
      <c r="AC54" s="3">
        <v>742000</v>
      </c>
      <c r="AD54" s="335"/>
      <c r="AE54" s="335"/>
      <c r="AF54" s="335"/>
      <c r="AG54" s="335"/>
      <c r="AH54" s="335"/>
      <c r="AI54" s="335"/>
      <c r="AJ54" s="335"/>
      <c r="AK54" s="335"/>
      <c r="AL54" s="335"/>
      <c r="AM54" s="335"/>
      <c r="AN54" s="335"/>
      <c r="AO54" s="335"/>
      <c r="AP54" s="335"/>
      <c r="AQ54" s="335"/>
      <c r="AR54" s="335"/>
      <c r="AS54" s="335"/>
      <c r="AT54" s="335"/>
      <c r="AU54" s="335"/>
      <c r="AV54" s="335"/>
      <c r="AW54" s="335"/>
      <c r="AX54" s="335"/>
      <c r="AY54" s="335"/>
      <c r="AZ54" s="335"/>
    </row>
    <row r="55" spans="1:52" s="5" customFormat="1" ht="30" customHeight="1">
      <c r="A55" s="3">
        <f t="shared" si="9"/>
        <v>51</v>
      </c>
      <c r="B55" s="30">
        <v>2143</v>
      </c>
      <c r="C55" s="3" t="s">
        <v>570</v>
      </c>
      <c r="D55" s="4">
        <f>500000+350000</f>
        <v>850000</v>
      </c>
      <c r="E55" s="4">
        <v>500000</v>
      </c>
      <c r="F55" s="4">
        <f t="shared" si="0"/>
        <v>350000</v>
      </c>
      <c r="G55" s="4">
        <v>500000</v>
      </c>
      <c r="H55" s="4">
        <v>0</v>
      </c>
      <c r="I55" s="4">
        <v>0</v>
      </c>
      <c r="J55" s="4">
        <v>0</v>
      </c>
      <c r="K55" s="4">
        <f t="shared" si="1"/>
        <v>0</v>
      </c>
      <c r="L55" s="4">
        <f t="shared" si="2"/>
        <v>0</v>
      </c>
      <c r="M55" s="4">
        <f>P55+S55-500000</f>
        <v>0</v>
      </c>
      <c r="N55" s="4">
        <f>500000-200000</f>
        <v>300000</v>
      </c>
      <c r="O55" s="4">
        <f t="shared" si="3"/>
        <v>550000</v>
      </c>
      <c r="P55" s="4">
        <f t="shared" si="4"/>
        <v>500000</v>
      </c>
      <c r="Q55" s="4"/>
      <c r="R55" s="4"/>
      <c r="S55" s="4">
        <f t="shared" si="5"/>
        <v>0</v>
      </c>
      <c r="T55" s="4">
        <f t="shared" si="6"/>
        <v>500000</v>
      </c>
      <c r="U55" s="4">
        <f t="shared" si="7"/>
        <v>-200000</v>
      </c>
      <c r="V55" s="4">
        <f t="shared" si="8"/>
        <v>-200000</v>
      </c>
      <c r="W55" s="4"/>
      <c r="X55" s="4"/>
      <c r="Y55" s="4"/>
      <c r="Z55" s="4"/>
      <c r="AA55" s="4"/>
      <c r="AB55" s="3" t="s">
        <v>2474</v>
      </c>
      <c r="AC55" s="3">
        <v>732000</v>
      </c>
      <c r="AD55" s="335"/>
      <c r="AE55" s="335"/>
      <c r="AF55" s="335"/>
      <c r="AG55" s="335"/>
      <c r="AH55" s="335"/>
      <c r="AI55" s="335"/>
      <c r="AJ55" s="335"/>
      <c r="AK55" s="335"/>
      <c r="AL55" s="335"/>
      <c r="AM55" s="335"/>
      <c r="AN55" s="335"/>
      <c r="AO55" s="335"/>
      <c r="AP55" s="335"/>
      <c r="AQ55" s="335"/>
      <c r="AR55" s="335"/>
      <c r="AS55" s="335"/>
      <c r="AT55" s="335"/>
      <c r="AU55" s="335"/>
      <c r="AV55" s="335"/>
      <c r="AW55" s="335"/>
      <c r="AX55" s="335"/>
      <c r="AY55" s="335"/>
      <c r="AZ55" s="335"/>
    </row>
    <row r="56" spans="1:52" s="5" customFormat="1" ht="30" customHeight="1">
      <c r="A56" s="3">
        <f t="shared" si="9"/>
        <v>52</v>
      </c>
      <c r="B56" s="30">
        <v>2144</v>
      </c>
      <c r="C56" s="3" t="s">
        <v>574</v>
      </c>
      <c r="D56" s="4">
        <v>500000</v>
      </c>
      <c r="E56" s="4">
        <v>500000</v>
      </c>
      <c r="F56" s="4">
        <f t="shared" si="0"/>
        <v>0</v>
      </c>
      <c r="G56" s="4">
        <v>500000</v>
      </c>
      <c r="H56" s="4">
        <v>0</v>
      </c>
      <c r="I56" s="4">
        <v>0</v>
      </c>
      <c r="J56" s="4">
        <v>0</v>
      </c>
      <c r="K56" s="4">
        <f t="shared" si="1"/>
        <v>0</v>
      </c>
      <c r="L56" s="4">
        <f t="shared" si="2"/>
        <v>0</v>
      </c>
      <c r="M56" s="4">
        <f>P56+S56-500000</f>
        <v>0</v>
      </c>
      <c r="N56" s="4">
        <f>500000-200000</f>
        <v>300000</v>
      </c>
      <c r="O56" s="4">
        <f t="shared" si="3"/>
        <v>200000</v>
      </c>
      <c r="P56" s="4">
        <f t="shared" si="4"/>
        <v>500000</v>
      </c>
      <c r="Q56" s="4"/>
      <c r="R56" s="4"/>
      <c r="S56" s="4">
        <f t="shared" si="5"/>
        <v>0</v>
      </c>
      <c r="T56" s="4">
        <f t="shared" si="6"/>
        <v>500000</v>
      </c>
      <c r="U56" s="4">
        <f t="shared" si="7"/>
        <v>-200000</v>
      </c>
      <c r="V56" s="4">
        <f t="shared" si="8"/>
        <v>-200000</v>
      </c>
      <c r="W56" s="4"/>
      <c r="X56" s="4"/>
      <c r="Y56" s="4"/>
      <c r="Z56" s="4"/>
      <c r="AA56" s="4"/>
      <c r="AB56" s="3" t="s">
        <v>603</v>
      </c>
      <c r="AC56" s="3">
        <v>732000</v>
      </c>
      <c r="AD56" s="335"/>
      <c r="AE56" s="335"/>
      <c r="AF56" s="335"/>
      <c r="AG56" s="335"/>
      <c r="AH56" s="335"/>
      <c r="AI56" s="335"/>
      <c r="AJ56" s="335"/>
      <c r="AK56" s="335"/>
      <c r="AL56" s="335"/>
      <c r="AM56" s="335"/>
      <c r="AN56" s="335"/>
      <c r="AO56" s="335"/>
      <c r="AP56" s="335"/>
      <c r="AQ56" s="335"/>
      <c r="AR56" s="335"/>
      <c r="AS56" s="335"/>
      <c r="AT56" s="335"/>
      <c r="AU56" s="335"/>
      <c r="AV56" s="335"/>
      <c r="AW56" s="335"/>
      <c r="AX56" s="335"/>
      <c r="AY56" s="335"/>
      <c r="AZ56" s="335"/>
    </row>
    <row r="57" spans="1:52" s="5" customFormat="1" ht="45">
      <c r="A57" s="3">
        <f t="shared" si="9"/>
        <v>53</v>
      </c>
      <c r="B57" s="3">
        <v>2146</v>
      </c>
      <c r="C57" s="3" t="s">
        <v>580</v>
      </c>
      <c r="D57" s="4">
        <v>220000</v>
      </c>
      <c r="E57" s="4">
        <v>220000</v>
      </c>
      <c r="F57" s="4">
        <f>D57-E57</f>
        <v>0</v>
      </c>
      <c r="G57" s="4">
        <v>130000</v>
      </c>
      <c r="H57" s="4">
        <v>16642</v>
      </c>
      <c r="I57" s="4">
        <v>0</v>
      </c>
      <c r="J57" s="4">
        <v>43525</v>
      </c>
      <c r="K57" s="4">
        <f t="shared" si="1"/>
        <v>43525</v>
      </c>
      <c r="L57" s="4">
        <f>H57+K57</f>
        <v>60167</v>
      </c>
      <c r="M57" s="4">
        <f>P57+S57-50000</f>
        <v>19833</v>
      </c>
      <c r="N57" s="4">
        <v>50000</v>
      </c>
      <c r="O57" s="4">
        <f>D57-L57-M57-N57</f>
        <v>90000</v>
      </c>
      <c r="P57" s="4">
        <f t="shared" si="4"/>
        <v>69833</v>
      </c>
      <c r="Q57" s="4"/>
      <c r="R57" s="4"/>
      <c r="S57" s="4">
        <f>SUM(Q57:R57)</f>
        <v>0</v>
      </c>
      <c r="T57" s="4">
        <f t="shared" si="6"/>
        <v>50000</v>
      </c>
      <c r="U57" s="4">
        <f t="shared" si="7"/>
        <v>0</v>
      </c>
      <c r="V57" s="4">
        <f>U57-AA57-W57-Z57</f>
        <v>0</v>
      </c>
      <c r="W57" s="4"/>
      <c r="X57" s="4"/>
      <c r="Y57" s="4"/>
      <c r="Z57" s="4"/>
      <c r="AA57" s="4"/>
      <c r="AB57" s="3" t="s">
        <v>772</v>
      </c>
      <c r="AC57" s="3">
        <v>732000</v>
      </c>
      <c r="AD57" s="335"/>
      <c r="AE57" s="335"/>
      <c r="AF57" s="335"/>
      <c r="AG57" s="335"/>
      <c r="AH57" s="335"/>
      <c r="AI57" s="335"/>
      <c r="AJ57" s="335"/>
      <c r="AK57" s="335"/>
      <c r="AL57" s="335"/>
      <c r="AM57" s="335"/>
      <c r="AN57" s="335"/>
      <c r="AO57" s="335"/>
      <c r="AP57" s="335"/>
      <c r="AQ57" s="335"/>
      <c r="AR57" s="335"/>
      <c r="AS57" s="335"/>
      <c r="AT57" s="335"/>
      <c r="AU57" s="335"/>
      <c r="AV57" s="335"/>
      <c r="AW57" s="335"/>
      <c r="AX57" s="335"/>
      <c r="AY57" s="335"/>
      <c r="AZ57" s="335"/>
    </row>
    <row r="58" spans="1:52" s="5" customFormat="1" ht="45">
      <c r="A58" s="3">
        <f t="shared" si="9"/>
        <v>54</v>
      </c>
      <c r="B58" s="30">
        <v>2189</v>
      </c>
      <c r="C58" s="3" t="s">
        <v>733</v>
      </c>
      <c r="D58" s="4">
        <v>250000</v>
      </c>
      <c r="E58" s="4">
        <v>250000</v>
      </c>
      <c r="F58" s="4">
        <f t="shared" ref="F58:F76" si="10">D58-E58</f>
        <v>0</v>
      </c>
      <c r="G58" s="4">
        <v>30000</v>
      </c>
      <c r="H58" s="4">
        <v>17123</v>
      </c>
      <c r="I58" s="4">
        <v>0</v>
      </c>
      <c r="J58" s="4">
        <v>0</v>
      </c>
      <c r="K58" s="4">
        <f t="shared" si="1"/>
        <v>0</v>
      </c>
      <c r="L58" s="4">
        <f t="shared" ref="L58:L70" si="11">H58+K58</f>
        <v>17123</v>
      </c>
      <c r="M58" s="4">
        <f t="shared" ref="M58:M64" si="12">P58+S58</f>
        <v>12877</v>
      </c>
      <c r="N58" s="4"/>
      <c r="O58" s="4">
        <f t="shared" ref="O58:O70" si="13">D58-L58-M58-N58</f>
        <v>220000</v>
      </c>
      <c r="P58" s="4">
        <f t="shared" si="4"/>
        <v>12877</v>
      </c>
      <c r="Q58" s="4"/>
      <c r="R58" s="4"/>
      <c r="S58" s="4">
        <f t="shared" ref="S58:S70" si="14">SUM(Q58:R58)</f>
        <v>0</v>
      </c>
      <c r="T58" s="4">
        <f t="shared" si="6"/>
        <v>0</v>
      </c>
      <c r="U58" s="4">
        <f t="shared" si="7"/>
        <v>0</v>
      </c>
      <c r="V58" s="4">
        <f t="shared" ref="V58:V76" si="15">U58-AA58-W58-Z58</f>
        <v>0</v>
      </c>
      <c r="W58" s="4"/>
      <c r="X58" s="4"/>
      <c r="Y58" s="4"/>
      <c r="Z58" s="4"/>
      <c r="AA58" s="4"/>
      <c r="AB58" s="373" t="s">
        <v>734</v>
      </c>
      <c r="AC58" s="373">
        <v>742000</v>
      </c>
      <c r="AD58" s="335"/>
      <c r="AE58" s="335"/>
      <c r="AF58" s="335"/>
      <c r="AG58" s="335"/>
      <c r="AH58" s="335"/>
      <c r="AI58" s="335"/>
      <c r="AJ58" s="335"/>
      <c r="AK58" s="335"/>
      <c r="AL58" s="335"/>
      <c r="AM58" s="335"/>
      <c r="AN58" s="335"/>
      <c r="AO58" s="335"/>
      <c r="AP58" s="335"/>
      <c r="AQ58" s="335"/>
      <c r="AR58" s="335"/>
      <c r="AS58" s="335"/>
      <c r="AT58" s="335"/>
      <c r="AU58" s="335"/>
      <c r="AV58" s="335"/>
      <c r="AW58" s="335"/>
      <c r="AX58" s="335"/>
      <c r="AY58" s="335"/>
      <c r="AZ58" s="335"/>
    </row>
    <row r="59" spans="1:52" s="5" customFormat="1" ht="30" customHeight="1">
      <c r="A59" s="3">
        <f t="shared" si="9"/>
        <v>55</v>
      </c>
      <c r="B59" s="30">
        <v>2190</v>
      </c>
      <c r="C59" s="3" t="s">
        <v>735</v>
      </c>
      <c r="D59" s="4">
        <v>250000</v>
      </c>
      <c r="E59" s="4">
        <v>250000</v>
      </c>
      <c r="F59" s="4">
        <f t="shared" si="10"/>
        <v>0</v>
      </c>
      <c r="G59" s="4">
        <v>0</v>
      </c>
      <c r="H59" s="4">
        <v>0</v>
      </c>
      <c r="I59" s="4">
        <v>0</v>
      </c>
      <c r="J59" s="4">
        <v>0</v>
      </c>
      <c r="K59" s="4">
        <f t="shared" si="1"/>
        <v>0</v>
      </c>
      <c r="L59" s="4">
        <f t="shared" si="11"/>
        <v>0</v>
      </c>
      <c r="M59" s="4">
        <f t="shared" si="12"/>
        <v>250000</v>
      </c>
      <c r="N59" s="4"/>
      <c r="O59" s="4">
        <f t="shared" si="13"/>
        <v>0</v>
      </c>
      <c r="P59" s="4">
        <f t="shared" si="4"/>
        <v>0</v>
      </c>
      <c r="Q59" s="4">
        <v>250000</v>
      </c>
      <c r="R59" s="4"/>
      <c r="S59" s="4">
        <f t="shared" si="14"/>
        <v>250000</v>
      </c>
      <c r="T59" s="4">
        <f t="shared" si="6"/>
        <v>0</v>
      </c>
      <c r="U59" s="4">
        <f t="shared" si="7"/>
        <v>0</v>
      </c>
      <c r="V59" s="4">
        <f t="shared" si="15"/>
        <v>0</v>
      </c>
      <c r="W59" s="4"/>
      <c r="X59" s="4"/>
      <c r="Y59" s="4"/>
      <c r="Z59" s="4"/>
      <c r="AA59" s="4"/>
      <c r="AB59" s="373" t="s">
        <v>736</v>
      </c>
      <c r="AC59" s="373">
        <v>742000</v>
      </c>
      <c r="AD59" s="335"/>
      <c r="AE59" s="335"/>
      <c r="AF59" s="335"/>
      <c r="AG59" s="335"/>
      <c r="AH59" s="335"/>
      <c r="AI59" s="335"/>
      <c r="AJ59" s="335"/>
      <c r="AK59" s="335"/>
      <c r="AL59" s="335"/>
      <c r="AM59" s="335"/>
      <c r="AN59" s="335"/>
      <c r="AO59" s="335"/>
      <c r="AP59" s="335"/>
      <c r="AQ59" s="335"/>
      <c r="AR59" s="335"/>
      <c r="AS59" s="335"/>
      <c r="AT59" s="335"/>
      <c r="AU59" s="335"/>
      <c r="AV59" s="335"/>
      <c r="AW59" s="335"/>
      <c r="AX59" s="335"/>
      <c r="AY59" s="335"/>
      <c r="AZ59" s="335"/>
    </row>
    <row r="60" spans="1:52" s="5" customFormat="1" ht="60">
      <c r="A60" s="3">
        <f t="shared" si="9"/>
        <v>56</v>
      </c>
      <c r="B60" s="30">
        <v>2192</v>
      </c>
      <c r="C60" s="3" t="s">
        <v>738</v>
      </c>
      <c r="D60" s="4">
        <v>20400000</v>
      </c>
      <c r="E60" s="4">
        <v>20400000</v>
      </c>
      <c r="F60" s="4">
        <f t="shared" si="10"/>
        <v>0</v>
      </c>
      <c r="G60" s="4">
        <v>0</v>
      </c>
      <c r="H60" s="4">
        <v>0</v>
      </c>
      <c r="I60" s="4">
        <v>0</v>
      </c>
      <c r="J60" s="4">
        <v>0</v>
      </c>
      <c r="K60" s="4">
        <f t="shared" si="1"/>
        <v>0</v>
      </c>
      <c r="L60" s="4">
        <f t="shared" si="11"/>
        <v>0</v>
      </c>
      <c r="M60" s="4">
        <f t="shared" si="12"/>
        <v>100000</v>
      </c>
      <c r="N60" s="4">
        <f>500000-500000</f>
        <v>0</v>
      </c>
      <c r="O60" s="4">
        <f t="shared" si="13"/>
        <v>20300000</v>
      </c>
      <c r="P60" s="4">
        <f t="shared" si="4"/>
        <v>0</v>
      </c>
      <c r="Q60" s="4">
        <v>100000</v>
      </c>
      <c r="R60" s="4"/>
      <c r="S60" s="4">
        <f t="shared" si="14"/>
        <v>100000</v>
      </c>
      <c r="T60" s="4">
        <f t="shared" si="6"/>
        <v>0</v>
      </c>
      <c r="U60" s="4">
        <f t="shared" si="7"/>
        <v>0</v>
      </c>
      <c r="V60" s="4">
        <f t="shared" si="15"/>
        <v>0</v>
      </c>
      <c r="W60" s="4"/>
      <c r="X60" s="4"/>
      <c r="Y60" s="4"/>
      <c r="Z60" s="4"/>
      <c r="AA60" s="4"/>
      <c r="AB60" s="3" t="s">
        <v>754</v>
      </c>
      <c r="AC60" s="3">
        <v>742000</v>
      </c>
      <c r="AD60" s="335"/>
      <c r="AE60" s="335"/>
      <c r="AF60" s="335"/>
      <c r="AG60" s="335"/>
      <c r="AH60" s="335"/>
      <c r="AI60" s="335"/>
      <c r="AJ60" s="335"/>
      <c r="AK60" s="335"/>
      <c r="AL60" s="335"/>
      <c r="AM60" s="335"/>
      <c r="AN60" s="335"/>
      <c r="AO60" s="335"/>
      <c r="AP60" s="335"/>
      <c r="AQ60" s="335"/>
      <c r="AR60" s="335"/>
      <c r="AS60" s="335"/>
      <c r="AT60" s="335"/>
      <c r="AU60" s="335"/>
      <c r="AV60" s="335"/>
      <c r="AW60" s="335"/>
      <c r="AX60" s="335"/>
      <c r="AY60" s="335"/>
      <c r="AZ60" s="335"/>
    </row>
    <row r="61" spans="1:52" s="5" customFormat="1" ht="60">
      <c r="A61" s="3">
        <f t="shared" si="9"/>
        <v>57</v>
      </c>
      <c r="B61" s="30">
        <v>2193</v>
      </c>
      <c r="C61" s="3" t="s">
        <v>739</v>
      </c>
      <c r="D61" s="4">
        <v>500000</v>
      </c>
      <c r="E61" s="4">
        <v>500000</v>
      </c>
      <c r="F61" s="4">
        <f t="shared" si="10"/>
        <v>0</v>
      </c>
      <c r="G61" s="4">
        <v>0</v>
      </c>
      <c r="H61" s="4">
        <v>0</v>
      </c>
      <c r="I61" s="4">
        <v>0</v>
      </c>
      <c r="J61" s="4">
        <v>0</v>
      </c>
      <c r="K61" s="4"/>
      <c r="L61" s="4">
        <f t="shared" si="11"/>
        <v>0</v>
      </c>
      <c r="M61" s="4">
        <f t="shared" si="12"/>
        <v>0</v>
      </c>
      <c r="N61" s="4">
        <v>200000</v>
      </c>
      <c r="O61" s="4">
        <f t="shared" si="13"/>
        <v>300000</v>
      </c>
      <c r="P61" s="4">
        <f t="shared" si="4"/>
        <v>0</v>
      </c>
      <c r="Q61" s="4"/>
      <c r="R61" s="4"/>
      <c r="S61" s="4">
        <f t="shared" si="14"/>
        <v>0</v>
      </c>
      <c r="T61" s="4">
        <f t="shared" si="6"/>
        <v>0</v>
      </c>
      <c r="U61" s="4">
        <f t="shared" si="7"/>
        <v>200000</v>
      </c>
      <c r="V61" s="4">
        <f t="shared" si="15"/>
        <v>200000</v>
      </c>
      <c r="W61" s="4"/>
      <c r="X61" s="4"/>
      <c r="Y61" s="4"/>
      <c r="Z61" s="4"/>
      <c r="AA61" s="4"/>
      <c r="AB61" s="3" t="s">
        <v>823</v>
      </c>
      <c r="AC61" s="3">
        <v>742000</v>
      </c>
      <c r="AD61" s="335"/>
      <c r="AE61" s="335"/>
      <c r="AF61" s="335"/>
      <c r="AG61" s="335"/>
      <c r="AH61" s="335"/>
      <c r="AI61" s="335"/>
      <c r="AJ61" s="335"/>
      <c r="AK61" s="335"/>
      <c r="AL61" s="335"/>
      <c r="AM61" s="335"/>
      <c r="AN61" s="335"/>
      <c r="AO61" s="335"/>
      <c r="AP61" s="335"/>
      <c r="AQ61" s="335"/>
      <c r="AR61" s="335"/>
      <c r="AS61" s="335"/>
      <c r="AT61" s="335"/>
      <c r="AU61" s="335"/>
      <c r="AV61" s="335"/>
      <c r="AW61" s="335"/>
      <c r="AX61" s="335"/>
      <c r="AY61" s="335"/>
      <c r="AZ61" s="335"/>
    </row>
    <row r="62" spans="1:52" s="5" customFormat="1" ht="60">
      <c r="A62" s="3">
        <f t="shared" si="9"/>
        <v>58</v>
      </c>
      <c r="B62" s="30">
        <v>2195</v>
      </c>
      <c r="C62" s="3" t="s">
        <v>741</v>
      </c>
      <c r="D62" s="4">
        <v>2300000</v>
      </c>
      <c r="E62" s="4">
        <v>2300000</v>
      </c>
      <c r="F62" s="4">
        <f t="shared" si="10"/>
        <v>0</v>
      </c>
      <c r="G62" s="4">
        <v>0</v>
      </c>
      <c r="H62" s="4">
        <v>0</v>
      </c>
      <c r="I62" s="4">
        <v>0</v>
      </c>
      <c r="J62" s="4">
        <v>0</v>
      </c>
      <c r="K62" s="4">
        <f t="shared" ref="K62:K67" si="16">SUM(I62:J62)</f>
        <v>0</v>
      </c>
      <c r="L62" s="4">
        <f t="shared" si="11"/>
        <v>0</v>
      </c>
      <c r="M62" s="4">
        <f t="shared" si="12"/>
        <v>0</v>
      </c>
      <c r="N62" s="4">
        <v>100000</v>
      </c>
      <c r="O62" s="4">
        <f t="shared" si="13"/>
        <v>2200000</v>
      </c>
      <c r="P62" s="4">
        <f t="shared" si="4"/>
        <v>0</v>
      </c>
      <c r="Q62" s="4"/>
      <c r="R62" s="4"/>
      <c r="S62" s="4">
        <f t="shared" si="14"/>
        <v>0</v>
      </c>
      <c r="T62" s="4">
        <f t="shared" si="6"/>
        <v>0</v>
      </c>
      <c r="U62" s="4">
        <f t="shared" si="7"/>
        <v>100000</v>
      </c>
      <c r="V62" s="4">
        <f t="shared" si="15"/>
        <v>100000</v>
      </c>
      <c r="W62" s="4"/>
      <c r="X62" s="4"/>
      <c r="Y62" s="4"/>
      <c r="Z62" s="4"/>
      <c r="AA62" s="4"/>
      <c r="AB62" s="3" t="s">
        <v>824</v>
      </c>
      <c r="AC62" s="3">
        <v>742000</v>
      </c>
      <c r="AD62" s="335"/>
      <c r="AE62" s="335"/>
      <c r="AF62" s="335"/>
      <c r="AG62" s="335"/>
      <c r="AH62" s="335"/>
      <c r="AI62" s="335"/>
      <c r="AJ62" s="335"/>
      <c r="AK62" s="335"/>
      <c r="AL62" s="335"/>
      <c r="AM62" s="335"/>
      <c r="AN62" s="335"/>
      <c r="AO62" s="335"/>
      <c r="AP62" s="335"/>
      <c r="AQ62" s="335"/>
      <c r="AR62" s="335"/>
      <c r="AS62" s="335"/>
      <c r="AT62" s="335"/>
      <c r="AU62" s="335"/>
      <c r="AV62" s="335"/>
      <c r="AW62" s="335"/>
      <c r="AX62" s="335"/>
      <c r="AY62" s="335"/>
      <c r="AZ62" s="335"/>
    </row>
    <row r="63" spans="1:52" s="5" customFormat="1" ht="30" customHeight="1">
      <c r="A63" s="3">
        <f t="shared" si="9"/>
        <v>59</v>
      </c>
      <c r="B63" s="30">
        <v>2199</v>
      </c>
      <c r="C63" s="3" t="s">
        <v>745</v>
      </c>
      <c r="D63" s="4">
        <v>1000000</v>
      </c>
      <c r="E63" s="4">
        <v>1000000</v>
      </c>
      <c r="F63" s="4">
        <f t="shared" si="10"/>
        <v>0</v>
      </c>
      <c r="G63" s="4">
        <v>50000</v>
      </c>
      <c r="H63" s="4">
        <v>0</v>
      </c>
      <c r="I63" s="4">
        <v>0</v>
      </c>
      <c r="J63" s="4">
        <v>0</v>
      </c>
      <c r="K63" s="4">
        <f t="shared" si="16"/>
        <v>0</v>
      </c>
      <c r="L63" s="4">
        <f t="shared" si="11"/>
        <v>0</v>
      </c>
      <c r="M63" s="4">
        <f t="shared" si="12"/>
        <v>150000</v>
      </c>
      <c r="N63" s="4">
        <f>200000-50000-50000</f>
        <v>100000</v>
      </c>
      <c r="O63" s="4">
        <f t="shared" si="13"/>
        <v>750000</v>
      </c>
      <c r="P63" s="4">
        <f t="shared" si="4"/>
        <v>50000</v>
      </c>
      <c r="Q63" s="4">
        <v>100000</v>
      </c>
      <c r="R63" s="4"/>
      <c r="S63" s="4">
        <f t="shared" si="14"/>
        <v>100000</v>
      </c>
      <c r="T63" s="4">
        <f t="shared" si="6"/>
        <v>0</v>
      </c>
      <c r="U63" s="4">
        <f t="shared" si="7"/>
        <v>100000</v>
      </c>
      <c r="V63" s="4">
        <f t="shared" si="15"/>
        <v>100000</v>
      </c>
      <c r="W63" s="4"/>
      <c r="X63" s="4"/>
      <c r="Y63" s="4"/>
      <c r="Z63" s="4"/>
      <c r="AA63" s="4"/>
      <c r="AB63" s="3" t="s">
        <v>2331</v>
      </c>
      <c r="AC63" s="3">
        <v>732000</v>
      </c>
      <c r="AD63" s="335"/>
      <c r="AE63" s="335"/>
      <c r="AF63" s="335"/>
      <c r="AG63" s="335"/>
      <c r="AH63" s="335"/>
      <c r="AI63" s="335"/>
      <c r="AJ63" s="335"/>
      <c r="AK63" s="335"/>
      <c r="AL63" s="335"/>
      <c r="AM63" s="335"/>
      <c r="AN63" s="335"/>
      <c r="AO63" s="335"/>
      <c r="AP63" s="335"/>
      <c r="AQ63" s="335"/>
      <c r="AR63" s="335"/>
      <c r="AS63" s="335"/>
      <c r="AT63" s="335"/>
      <c r="AU63" s="335"/>
      <c r="AV63" s="335"/>
      <c r="AW63" s="335"/>
      <c r="AX63" s="335"/>
      <c r="AY63" s="335"/>
      <c r="AZ63" s="335"/>
    </row>
    <row r="64" spans="1:52" s="5" customFormat="1" ht="45">
      <c r="A64" s="3">
        <f t="shared" si="9"/>
        <v>60</v>
      </c>
      <c r="B64" s="30">
        <v>2200</v>
      </c>
      <c r="C64" s="3" t="s">
        <v>746</v>
      </c>
      <c r="D64" s="4">
        <v>1700000</v>
      </c>
      <c r="E64" s="4">
        <v>1700000</v>
      </c>
      <c r="F64" s="4">
        <f t="shared" si="10"/>
        <v>0</v>
      </c>
      <c r="G64" s="4">
        <v>0</v>
      </c>
      <c r="H64" s="4">
        <v>0</v>
      </c>
      <c r="I64" s="4">
        <v>0</v>
      </c>
      <c r="J64" s="4">
        <v>0</v>
      </c>
      <c r="K64" s="4">
        <f t="shared" si="16"/>
        <v>0</v>
      </c>
      <c r="L64" s="4">
        <f t="shared" si="11"/>
        <v>0</v>
      </c>
      <c r="M64" s="4">
        <f t="shared" si="12"/>
        <v>150000</v>
      </c>
      <c r="N64" s="4">
        <f>350000-50000</f>
        <v>300000</v>
      </c>
      <c r="O64" s="4">
        <f t="shared" si="13"/>
        <v>1250000</v>
      </c>
      <c r="P64" s="4">
        <f t="shared" si="4"/>
        <v>0</v>
      </c>
      <c r="Q64" s="4">
        <v>150000</v>
      </c>
      <c r="R64" s="4"/>
      <c r="S64" s="4">
        <f t="shared" si="14"/>
        <v>150000</v>
      </c>
      <c r="T64" s="4">
        <f t="shared" si="6"/>
        <v>0</v>
      </c>
      <c r="U64" s="4">
        <f t="shared" si="7"/>
        <v>300000</v>
      </c>
      <c r="V64" s="4">
        <f t="shared" si="15"/>
        <v>300000</v>
      </c>
      <c r="W64" s="4"/>
      <c r="X64" s="4"/>
      <c r="Y64" s="4"/>
      <c r="Z64" s="4"/>
      <c r="AA64" s="4"/>
      <c r="AB64" s="3" t="s">
        <v>826</v>
      </c>
      <c r="AC64" s="3">
        <v>732000</v>
      </c>
      <c r="AD64" s="335"/>
      <c r="AE64" s="335"/>
      <c r="AF64" s="335"/>
      <c r="AG64" s="335"/>
      <c r="AH64" s="335"/>
      <c r="AI64" s="335"/>
      <c r="AJ64" s="335"/>
      <c r="AK64" s="335"/>
      <c r="AL64" s="335"/>
      <c r="AM64" s="335"/>
      <c r="AN64" s="335"/>
      <c r="AO64" s="335"/>
      <c r="AP64" s="335"/>
      <c r="AQ64" s="335"/>
      <c r="AR64" s="335"/>
      <c r="AS64" s="335"/>
      <c r="AT64" s="335"/>
      <c r="AU64" s="335"/>
      <c r="AV64" s="335"/>
      <c r="AW64" s="335"/>
      <c r="AX64" s="335"/>
      <c r="AY64" s="335"/>
      <c r="AZ64" s="335"/>
    </row>
    <row r="65" spans="1:52" s="5" customFormat="1" ht="30" customHeight="1">
      <c r="A65" s="3">
        <f t="shared" si="9"/>
        <v>61</v>
      </c>
      <c r="B65" s="30">
        <v>2232</v>
      </c>
      <c r="C65" s="3" t="s">
        <v>909</v>
      </c>
      <c r="D65" s="4">
        <v>17200000</v>
      </c>
      <c r="E65" s="4">
        <v>17200000</v>
      </c>
      <c r="F65" s="4">
        <f t="shared" si="10"/>
        <v>0</v>
      </c>
      <c r="G65" s="4">
        <v>500000</v>
      </c>
      <c r="H65" s="4">
        <v>0</v>
      </c>
      <c r="I65" s="4">
        <v>0</v>
      </c>
      <c r="J65" s="4">
        <v>0</v>
      </c>
      <c r="K65" s="4">
        <f t="shared" si="16"/>
        <v>0</v>
      </c>
      <c r="L65" s="4">
        <f t="shared" si="11"/>
        <v>0</v>
      </c>
      <c r="M65" s="4">
        <f>P65+S65-500000</f>
        <v>0</v>
      </c>
      <c r="N65" s="4">
        <v>500000</v>
      </c>
      <c r="O65" s="4">
        <f t="shared" si="13"/>
        <v>16700000</v>
      </c>
      <c r="P65" s="4">
        <f t="shared" si="4"/>
        <v>500000</v>
      </c>
      <c r="Q65" s="4"/>
      <c r="R65" s="4"/>
      <c r="S65" s="4">
        <f t="shared" si="14"/>
        <v>0</v>
      </c>
      <c r="T65" s="4">
        <f t="shared" si="6"/>
        <v>500000</v>
      </c>
      <c r="U65" s="4">
        <f t="shared" si="7"/>
        <v>0</v>
      </c>
      <c r="V65" s="4">
        <f t="shared" si="15"/>
        <v>0</v>
      </c>
      <c r="W65" s="4"/>
      <c r="X65" s="4"/>
      <c r="Y65" s="4"/>
      <c r="Z65" s="4"/>
      <c r="AA65" s="4"/>
      <c r="AB65" s="3" t="s">
        <v>921</v>
      </c>
      <c r="AC65" s="3">
        <v>745000</v>
      </c>
      <c r="AD65" s="335"/>
      <c r="AE65" s="335"/>
      <c r="AF65" s="335"/>
      <c r="AG65" s="335"/>
      <c r="AH65" s="335"/>
      <c r="AI65" s="335"/>
      <c r="AJ65" s="335"/>
      <c r="AK65" s="335"/>
      <c r="AL65" s="335"/>
      <c r="AM65" s="335"/>
      <c r="AN65" s="335"/>
      <c r="AO65" s="335"/>
      <c r="AP65" s="335"/>
      <c r="AQ65" s="335"/>
      <c r="AR65" s="335"/>
      <c r="AS65" s="335"/>
      <c r="AT65" s="335"/>
      <c r="AU65" s="335"/>
      <c r="AV65" s="335"/>
      <c r="AW65" s="335"/>
      <c r="AX65" s="335"/>
      <c r="AY65" s="335"/>
      <c r="AZ65" s="335"/>
    </row>
    <row r="66" spans="1:52" s="5" customFormat="1" ht="30" customHeight="1">
      <c r="A66" s="3">
        <f t="shared" si="9"/>
        <v>62</v>
      </c>
      <c r="B66" s="30">
        <v>2233</v>
      </c>
      <c r="C66" s="3" t="s">
        <v>910</v>
      </c>
      <c r="D66" s="4">
        <v>20250000</v>
      </c>
      <c r="E66" s="4">
        <v>20250000</v>
      </c>
      <c r="F66" s="4">
        <f t="shared" si="10"/>
        <v>0</v>
      </c>
      <c r="G66" s="4">
        <v>500000</v>
      </c>
      <c r="H66" s="4">
        <v>0</v>
      </c>
      <c r="I66" s="4">
        <v>0</v>
      </c>
      <c r="J66" s="4">
        <v>0</v>
      </c>
      <c r="K66" s="4">
        <f t="shared" si="16"/>
        <v>0</v>
      </c>
      <c r="L66" s="4">
        <f t="shared" si="11"/>
        <v>0</v>
      </c>
      <c r="M66" s="4">
        <f>P66+S66-500000</f>
        <v>0</v>
      </c>
      <c r="N66" s="4">
        <v>500000</v>
      </c>
      <c r="O66" s="4">
        <f t="shared" si="13"/>
        <v>19750000</v>
      </c>
      <c r="P66" s="4">
        <f t="shared" si="4"/>
        <v>500000</v>
      </c>
      <c r="Q66" s="4"/>
      <c r="R66" s="4"/>
      <c r="S66" s="4">
        <f t="shared" si="14"/>
        <v>0</v>
      </c>
      <c r="T66" s="4">
        <f t="shared" si="6"/>
        <v>500000</v>
      </c>
      <c r="U66" s="4">
        <f t="shared" si="7"/>
        <v>0</v>
      </c>
      <c r="V66" s="4">
        <f t="shared" si="15"/>
        <v>0</v>
      </c>
      <c r="W66" s="4"/>
      <c r="X66" s="4"/>
      <c r="Y66" s="4"/>
      <c r="Z66" s="4"/>
      <c r="AA66" s="4"/>
      <c r="AB66" s="3" t="s">
        <v>922</v>
      </c>
      <c r="AC66" s="3">
        <v>745000</v>
      </c>
      <c r="AD66" s="335"/>
      <c r="AE66" s="335"/>
      <c r="AF66" s="335"/>
      <c r="AG66" s="335"/>
      <c r="AH66" s="335"/>
      <c r="AI66" s="335"/>
      <c r="AJ66" s="335"/>
      <c r="AK66" s="335"/>
      <c r="AL66" s="335"/>
      <c r="AM66" s="335"/>
      <c r="AN66" s="335"/>
      <c r="AO66" s="335"/>
      <c r="AP66" s="335"/>
      <c r="AQ66" s="335"/>
      <c r="AR66" s="335"/>
      <c r="AS66" s="335"/>
      <c r="AT66" s="335"/>
      <c r="AU66" s="335"/>
      <c r="AV66" s="335"/>
      <c r="AW66" s="335"/>
      <c r="AX66" s="335"/>
      <c r="AY66" s="335"/>
      <c r="AZ66" s="335"/>
    </row>
    <row r="67" spans="1:52" s="5" customFormat="1" ht="30" customHeight="1">
      <c r="A67" s="3">
        <f t="shared" si="9"/>
        <v>63</v>
      </c>
      <c r="B67" s="30">
        <v>20000</v>
      </c>
      <c r="C67" s="3" t="s">
        <v>1112</v>
      </c>
      <c r="D67" s="4">
        <v>2500000</v>
      </c>
      <c r="E67" s="4"/>
      <c r="F67" s="4">
        <f t="shared" si="10"/>
        <v>2500000</v>
      </c>
      <c r="G67" s="4">
        <v>0</v>
      </c>
      <c r="H67" s="4">
        <v>0</v>
      </c>
      <c r="I67" s="4">
        <v>0</v>
      </c>
      <c r="J67" s="4">
        <v>0</v>
      </c>
      <c r="K67" s="4">
        <f t="shared" si="16"/>
        <v>0</v>
      </c>
      <c r="L67" s="4">
        <f t="shared" si="11"/>
        <v>0</v>
      </c>
      <c r="M67" s="4">
        <f>P67+S67</f>
        <v>0</v>
      </c>
      <c r="N67" s="4">
        <f>1500000-700000-200000-300000</f>
        <v>300000</v>
      </c>
      <c r="O67" s="4">
        <f t="shared" si="13"/>
        <v>2200000</v>
      </c>
      <c r="P67" s="4">
        <f t="shared" si="4"/>
        <v>0</v>
      </c>
      <c r="Q67" s="4"/>
      <c r="R67" s="4"/>
      <c r="S67" s="4">
        <f t="shared" si="14"/>
        <v>0</v>
      </c>
      <c r="T67" s="4">
        <f t="shared" si="6"/>
        <v>0</v>
      </c>
      <c r="U67" s="4">
        <f t="shared" si="7"/>
        <v>300000</v>
      </c>
      <c r="V67" s="4">
        <f t="shared" si="15"/>
        <v>300000</v>
      </c>
      <c r="W67" s="4"/>
      <c r="X67" s="4"/>
      <c r="Y67" s="4"/>
      <c r="Z67" s="4"/>
      <c r="AA67" s="4"/>
      <c r="AB67" s="3" t="s">
        <v>1113</v>
      </c>
      <c r="AC67" s="3">
        <v>732000</v>
      </c>
      <c r="AD67" s="335"/>
      <c r="AE67" s="335"/>
      <c r="AF67" s="335"/>
      <c r="AG67" s="335"/>
      <c r="AH67" s="335"/>
      <c r="AI67" s="335"/>
      <c r="AJ67" s="335"/>
      <c r="AK67" s="335"/>
      <c r="AL67" s="335"/>
      <c r="AM67" s="335"/>
      <c r="AN67" s="335"/>
      <c r="AO67" s="335"/>
      <c r="AP67" s="335"/>
      <c r="AQ67" s="335"/>
      <c r="AR67" s="335"/>
      <c r="AS67" s="335"/>
      <c r="AT67" s="335"/>
      <c r="AU67" s="335"/>
      <c r="AV67" s="335"/>
      <c r="AW67" s="335"/>
      <c r="AX67" s="335"/>
      <c r="AY67" s="335"/>
      <c r="AZ67" s="335"/>
    </row>
    <row r="68" spans="1:52" s="5" customFormat="1" ht="30" customHeight="1">
      <c r="A68" s="3">
        <f t="shared" si="9"/>
        <v>64</v>
      </c>
      <c r="B68" s="30">
        <v>20001</v>
      </c>
      <c r="C68" s="3" t="s">
        <v>2160</v>
      </c>
      <c r="D68" s="4">
        <v>3200000</v>
      </c>
      <c r="E68" s="4"/>
      <c r="F68" s="4">
        <f t="shared" si="10"/>
        <v>3200000</v>
      </c>
      <c r="G68" s="4">
        <v>0</v>
      </c>
      <c r="H68" s="4">
        <v>0</v>
      </c>
      <c r="I68" s="4">
        <v>0</v>
      </c>
      <c r="J68" s="4">
        <v>0</v>
      </c>
      <c r="K68" s="4">
        <f>SUM(I68:J68)</f>
        <v>0</v>
      </c>
      <c r="L68" s="4">
        <f t="shared" si="11"/>
        <v>0</v>
      </c>
      <c r="M68" s="4">
        <f>P68+S68</f>
        <v>0</v>
      </c>
      <c r="N68" s="4">
        <f>3200000-2700000-100000</f>
        <v>400000</v>
      </c>
      <c r="O68" s="4">
        <f t="shared" si="13"/>
        <v>2800000</v>
      </c>
      <c r="P68" s="4">
        <f t="shared" si="4"/>
        <v>0</v>
      </c>
      <c r="Q68" s="4"/>
      <c r="R68" s="4"/>
      <c r="S68" s="4">
        <f t="shared" si="14"/>
        <v>0</v>
      </c>
      <c r="T68" s="4">
        <f t="shared" si="6"/>
        <v>0</v>
      </c>
      <c r="U68" s="4">
        <f t="shared" si="7"/>
        <v>400000</v>
      </c>
      <c r="V68" s="4">
        <f t="shared" si="15"/>
        <v>400000</v>
      </c>
      <c r="W68" s="4"/>
      <c r="X68" s="4"/>
      <c r="Y68" s="4"/>
      <c r="Z68" s="4"/>
      <c r="AA68" s="4"/>
      <c r="AB68" s="3" t="s">
        <v>2161</v>
      </c>
      <c r="AC68" s="3">
        <v>742000</v>
      </c>
      <c r="AD68" s="335"/>
      <c r="AE68" s="335"/>
      <c r="AF68" s="335"/>
      <c r="AG68" s="335"/>
      <c r="AH68" s="335"/>
      <c r="AI68" s="335"/>
      <c r="AJ68" s="335"/>
      <c r="AK68" s="335"/>
      <c r="AL68" s="335"/>
      <c r="AM68" s="335"/>
      <c r="AN68" s="335"/>
      <c r="AO68" s="335"/>
      <c r="AP68" s="335"/>
      <c r="AQ68" s="335"/>
      <c r="AR68" s="335"/>
      <c r="AS68" s="335"/>
      <c r="AT68" s="335"/>
      <c r="AU68" s="335"/>
      <c r="AV68" s="335"/>
      <c r="AW68" s="335"/>
      <c r="AX68" s="335"/>
      <c r="AY68" s="335"/>
      <c r="AZ68" s="335"/>
    </row>
    <row r="69" spans="1:52" s="5" customFormat="1" ht="45">
      <c r="A69" s="3">
        <f t="shared" si="9"/>
        <v>65</v>
      </c>
      <c r="B69" s="30">
        <v>20002</v>
      </c>
      <c r="C69" s="3" t="s">
        <v>1119</v>
      </c>
      <c r="D69" s="4">
        <v>1500000</v>
      </c>
      <c r="E69" s="4"/>
      <c r="F69" s="4">
        <f t="shared" si="10"/>
        <v>1500000</v>
      </c>
      <c r="G69" s="4">
        <v>0</v>
      </c>
      <c r="H69" s="4">
        <v>0</v>
      </c>
      <c r="I69" s="4">
        <v>0</v>
      </c>
      <c r="J69" s="4">
        <v>0</v>
      </c>
      <c r="K69" s="4">
        <f>SUM(I69:J69)</f>
        <v>0</v>
      </c>
      <c r="L69" s="4">
        <f t="shared" si="11"/>
        <v>0</v>
      </c>
      <c r="M69" s="4">
        <f>P69+S69</f>
        <v>0</v>
      </c>
      <c r="N69" s="4">
        <f>1500000-750000</f>
        <v>750000</v>
      </c>
      <c r="O69" s="4">
        <f t="shared" si="13"/>
        <v>750000</v>
      </c>
      <c r="P69" s="4">
        <f>G69-L69</f>
        <v>0</v>
      </c>
      <c r="Q69" s="4"/>
      <c r="R69" s="4"/>
      <c r="S69" s="4">
        <f t="shared" si="14"/>
        <v>0</v>
      </c>
      <c r="T69" s="4">
        <f>P69-M69+S69</f>
        <v>0</v>
      </c>
      <c r="U69" s="4">
        <f t="shared" ref="U69:U76" si="17">N69-T69</f>
        <v>750000</v>
      </c>
      <c r="V69" s="4">
        <f t="shared" si="15"/>
        <v>750000</v>
      </c>
      <c r="W69" s="4"/>
      <c r="X69" s="4"/>
      <c r="Y69" s="4"/>
      <c r="Z69" s="4"/>
      <c r="AA69" s="4"/>
      <c r="AB69" s="3" t="s">
        <v>2162</v>
      </c>
      <c r="AC69" s="3">
        <v>742000</v>
      </c>
      <c r="AD69" s="335"/>
      <c r="AE69" s="335"/>
      <c r="AF69" s="335"/>
      <c r="AG69" s="335"/>
      <c r="AH69" s="335"/>
      <c r="AI69" s="335"/>
      <c r="AJ69" s="335"/>
      <c r="AK69" s="335"/>
      <c r="AL69" s="335"/>
      <c r="AM69" s="335"/>
      <c r="AN69" s="335"/>
      <c r="AO69" s="335"/>
      <c r="AP69" s="335"/>
      <c r="AQ69" s="335"/>
      <c r="AR69" s="335"/>
      <c r="AS69" s="335"/>
      <c r="AT69" s="335"/>
      <c r="AU69" s="335"/>
      <c r="AV69" s="335"/>
      <c r="AW69" s="335"/>
      <c r="AX69" s="335"/>
      <c r="AY69" s="335"/>
      <c r="AZ69" s="335"/>
    </row>
    <row r="70" spans="1:52" s="5" customFormat="1" ht="45">
      <c r="A70" s="3">
        <f t="shared" si="9"/>
        <v>66</v>
      </c>
      <c r="B70" s="30">
        <v>20003</v>
      </c>
      <c r="C70" s="3" t="s">
        <v>1120</v>
      </c>
      <c r="D70" s="4">
        <v>5300000</v>
      </c>
      <c r="E70" s="4"/>
      <c r="F70" s="4">
        <f t="shared" si="10"/>
        <v>5300000</v>
      </c>
      <c r="G70" s="4">
        <v>0</v>
      </c>
      <c r="H70" s="4">
        <v>0</v>
      </c>
      <c r="I70" s="4">
        <v>0</v>
      </c>
      <c r="J70" s="4">
        <v>0</v>
      </c>
      <c r="K70" s="4">
        <f>SUM(I70:J70)</f>
        <v>0</v>
      </c>
      <c r="L70" s="4">
        <f t="shared" si="11"/>
        <v>0</v>
      </c>
      <c r="M70" s="4">
        <f>P70+S70</f>
        <v>0</v>
      </c>
      <c r="N70" s="4">
        <f>500000-200000</f>
        <v>300000</v>
      </c>
      <c r="O70" s="4">
        <f t="shared" si="13"/>
        <v>5000000</v>
      </c>
      <c r="P70" s="4">
        <f>G70-L70</f>
        <v>0</v>
      </c>
      <c r="Q70" s="4"/>
      <c r="R70" s="4"/>
      <c r="S70" s="4">
        <f t="shared" si="14"/>
        <v>0</v>
      </c>
      <c r="T70" s="4">
        <f>P70-M70+S70</f>
        <v>0</v>
      </c>
      <c r="U70" s="4">
        <f t="shared" si="17"/>
        <v>300000</v>
      </c>
      <c r="V70" s="4">
        <f t="shared" si="15"/>
        <v>300000</v>
      </c>
      <c r="W70" s="4"/>
      <c r="X70" s="4"/>
      <c r="Y70" s="4"/>
      <c r="Z70" s="4"/>
      <c r="AA70" s="4"/>
      <c r="AB70" s="3" t="s">
        <v>1121</v>
      </c>
      <c r="AC70" s="3">
        <v>742000</v>
      </c>
      <c r="AD70" s="335"/>
      <c r="AE70" s="335"/>
      <c r="AF70" s="335"/>
      <c r="AG70" s="335"/>
      <c r="AH70" s="335"/>
      <c r="AI70" s="335"/>
      <c r="AJ70" s="335"/>
      <c r="AK70" s="335"/>
      <c r="AL70" s="335"/>
      <c r="AM70" s="335"/>
      <c r="AN70" s="335"/>
      <c r="AO70" s="335"/>
      <c r="AP70" s="335"/>
      <c r="AQ70" s="335"/>
      <c r="AR70" s="335"/>
      <c r="AS70" s="335"/>
      <c r="AT70" s="335"/>
      <c r="AU70" s="335"/>
      <c r="AV70" s="335"/>
      <c r="AW70" s="335"/>
      <c r="AX70" s="335"/>
      <c r="AY70" s="335"/>
      <c r="AZ70" s="335"/>
    </row>
    <row r="71" spans="1:52" s="5" customFormat="1" ht="90">
      <c r="A71" s="3">
        <f t="shared" ref="A71:A76" si="18">A70+1</f>
        <v>67</v>
      </c>
      <c r="B71" s="30">
        <v>20004</v>
      </c>
      <c r="C71" s="3" t="s">
        <v>1123</v>
      </c>
      <c r="D71" s="4">
        <v>24750000</v>
      </c>
      <c r="E71" s="4"/>
      <c r="F71" s="4">
        <f t="shared" si="10"/>
        <v>24750000</v>
      </c>
      <c r="G71" s="4"/>
      <c r="H71" s="4"/>
      <c r="I71" s="4"/>
      <c r="J71" s="4"/>
      <c r="K71" s="4"/>
      <c r="L71" s="4"/>
      <c r="M71" s="4"/>
      <c r="N71" s="4">
        <f>1500000-1000000</f>
        <v>500000</v>
      </c>
      <c r="O71" s="4">
        <f t="shared" ref="O71:O76" si="19">D71-L71-M71-N71</f>
        <v>24250000</v>
      </c>
      <c r="P71" s="4"/>
      <c r="Q71" s="4"/>
      <c r="R71" s="4"/>
      <c r="S71" s="4"/>
      <c r="T71" s="4"/>
      <c r="U71" s="4">
        <f t="shared" si="17"/>
        <v>500000</v>
      </c>
      <c r="V71" s="4">
        <f t="shared" si="15"/>
        <v>500000</v>
      </c>
      <c r="W71" s="4"/>
      <c r="X71" s="4"/>
      <c r="Y71" s="4"/>
      <c r="Z71" s="4"/>
      <c r="AA71" s="4"/>
      <c r="AB71" s="3" t="s">
        <v>1124</v>
      </c>
      <c r="AC71" s="3">
        <v>742000</v>
      </c>
      <c r="AD71" s="335"/>
      <c r="AE71" s="335"/>
      <c r="AF71" s="335"/>
      <c r="AG71" s="335"/>
      <c r="AH71" s="335"/>
      <c r="AI71" s="335"/>
      <c r="AJ71" s="335"/>
      <c r="AK71" s="335"/>
      <c r="AL71" s="335"/>
      <c r="AM71" s="335"/>
      <c r="AN71" s="335"/>
      <c r="AO71" s="335"/>
      <c r="AP71" s="335"/>
      <c r="AQ71" s="335"/>
      <c r="AR71" s="335"/>
      <c r="AS71" s="335"/>
      <c r="AT71" s="335"/>
      <c r="AU71" s="335"/>
      <c r="AV71" s="335"/>
      <c r="AW71" s="335"/>
      <c r="AX71" s="335"/>
      <c r="AY71" s="335"/>
      <c r="AZ71" s="335"/>
    </row>
    <row r="72" spans="1:52" s="5" customFormat="1" ht="30" customHeight="1">
      <c r="A72" s="3">
        <f t="shared" si="18"/>
        <v>68</v>
      </c>
      <c r="B72" s="30">
        <v>20005</v>
      </c>
      <c r="C72" s="3" t="s">
        <v>1126</v>
      </c>
      <c r="D72" s="4">
        <v>1685000</v>
      </c>
      <c r="E72" s="4"/>
      <c r="F72" s="4">
        <f t="shared" si="10"/>
        <v>1685000</v>
      </c>
      <c r="G72" s="4"/>
      <c r="H72" s="4"/>
      <c r="I72" s="4"/>
      <c r="J72" s="4"/>
      <c r="K72" s="4"/>
      <c r="L72" s="4"/>
      <c r="M72" s="4"/>
      <c r="N72" s="4">
        <f>1685000-1185000</f>
        <v>500000</v>
      </c>
      <c r="O72" s="4">
        <f t="shared" si="19"/>
        <v>1185000</v>
      </c>
      <c r="P72" s="4"/>
      <c r="Q72" s="4"/>
      <c r="R72" s="4"/>
      <c r="S72" s="4"/>
      <c r="T72" s="4"/>
      <c r="U72" s="4">
        <f t="shared" si="17"/>
        <v>500000</v>
      </c>
      <c r="V72" s="4">
        <f t="shared" si="15"/>
        <v>500000</v>
      </c>
      <c r="W72" s="4"/>
      <c r="X72" s="4"/>
      <c r="Y72" s="4"/>
      <c r="Z72" s="4"/>
      <c r="AA72" s="4"/>
      <c r="AB72" s="3" t="s">
        <v>1127</v>
      </c>
      <c r="AC72" s="3">
        <v>746000</v>
      </c>
      <c r="AD72" s="335"/>
      <c r="AE72" s="335"/>
      <c r="AF72" s="335"/>
      <c r="AG72" s="335"/>
      <c r="AH72" s="335"/>
      <c r="AI72" s="335"/>
      <c r="AJ72" s="335"/>
      <c r="AK72" s="335"/>
      <c r="AL72" s="335"/>
      <c r="AM72" s="335"/>
      <c r="AN72" s="335"/>
      <c r="AO72" s="335"/>
      <c r="AP72" s="335"/>
      <c r="AQ72" s="335"/>
      <c r="AR72" s="335"/>
      <c r="AS72" s="335"/>
      <c r="AT72" s="335"/>
      <c r="AU72" s="335"/>
      <c r="AV72" s="335"/>
      <c r="AW72" s="335"/>
      <c r="AX72" s="335"/>
      <c r="AY72" s="335"/>
      <c r="AZ72" s="335"/>
    </row>
    <row r="73" spans="1:52" s="5" customFormat="1" ht="30" customHeight="1">
      <c r="A73" s="3">
        <f t="shared" si="18"/>
        <v>69</v>
      </c>
      <c r="B73" s="30">
        <v>20006</v>
      </c>
      <c r="C73" s="3" t="s">
        <v>1129</v>
      </c>
      <c r="D73" s="4">
        <v>4000000</v>
      </c>
      <c r="E73" s="4"/>
      <c r="F73" s="4">
        <f t="shared" si="10"/>
        <v>4000000</v>
      </c>
      <c r="G73" s="4"/>
      <c r="H73" s="4"/>
      <c r="I73" s="4"/>
      <c r="J73" s="4"/>
      <c r="K73" s="4"/>
      <c r="L73" s="4"/>
      <c r="M73" s="4"/>
      <c r="N73" s="4">
        <f>800000-200000</f>
        <v>600000</v>
      </c>
      <c r="O73" s="4">
        <f t="shared" si="19"/>
        <v>3400000</v>
      </c>
      <c r="P73" s="4"/>
      <c r="Q73" s="4"/>
      <c r="R73" s="4"/>
      <c r="S73" s="4"/>
      <c r="T73" s="4"/>
      <c r="U73" s="4">
        <f t="shared" si="17"/>
        <v>600000</v>
      </c>
      <c r="V73" s="4">
        <f t="shared" si="15"/>
        <v>600000</v>
      </c>
      <c r="W73" s="4"/>
      <c r="X73" s="4"/>
      <c r="Y73" s="4"/>
      <c r="Z73" s="4"/>
      <c r="AA73" s="4"/>
      <c r="AB73" s="3" t="s">
        <v>1130</v>
      </c>
      <c r="AC73" s="3">
        <v>746000</v>
      </c>
      <c r="AD73" s="335"/>
      <c r="AE73" s="335"/>
      <c r="AF73" s="335"/>
      <c r="AG73" s="335"/>
      <c r="AH73" s="335"/>
      <c r="AI73" s="335"/>
      <c r="AJ73" s="335"/>
      <c r="AK73" s="335"/>
      <c r="AL73" s="335"/>
      <c r="AM73" s="335"/>
      <c r="AN73" s="335"/>
      <c r="AO73" s="335"/>
      <c r="AP73" s="335"/>
      <c r="AQ73" s="335"/>
      <c r="AR73" s="335"/>
      <c r="AS73" s="335"/>
      <c r="AT73" s="335"/>
      <c r="AU73" s="335"/>
      <c r="AV73" s="335"/>
      <c r="AW73" s="335"/>
      <c r="AX73" s="335"/>
      <c r="AY73" s="335"/>
      <c r="AZ73" s="335"/>
    </row>
    <row r="74" spans="1:52" s="5" customFormat="1" ht="30" customHeight="1">
      <c r="A74" s="3">
        <f t="shared" si="18"/>
        <v>70</v>
      </c>
      <c r="B74" s="30">
        <v>20007</v>
      </c>
      <c r="C74" s="3" t="s">
        <v>1131</v>
      </c>
      <c r="D74" s="4">
        <v>700000</v>
      </c>
      <c r="E74" s="4"/>
      <c r="F74" s="4">
        <f t="shared" si="10"/>
        <v>700000</v>
      </c>
      <c r="G74" s="4">
        <v>0</v>
      </c>
      <c r="H74" s="4">
        <v>0</v>
      </c>
      <c r="I74" s="4">
        <v>0</v>
      </c>
      <c r="J74" s="4">
        <v>0</v>
      </c>
      <c r="K74" s="4">
        <f>SUM(I74:J74)</f>
        <v>0</v>
      </c>
      <c r="L74" s="4">
        <f>H74+K74</f>
        <v>0</v>
      </c>
      <c r="M74" s="4">
        <f>P74+S74</f>
        <v>0</v>
      </c>
      <c r="N74" s="4">
        <v>700000</v>
      </c>
      <c r="O74" s="4">
        <f t="shared" si="19"/>
        <v>0</v>
      </c>
      <c r="P74" s="4">
        <f>G74-L74</f>
        <v>0</v>
      </c>
      <c r="Q74" s="4"/>
      <c r="R74" s="4"/>
      <c r="S74" s="4">
        <f>SUM(Q74:R74)</f>
        <v>0</v>
      </c>
      <c r="T74" s="4">
        <f>P74-M74+S74</f>
        <v>0</v>
      </c>
      <c r="U74" s="4">
        <f t="shared" si="17"/>
        <v>700000</v>
      </c>
      <c r="V74" s="4">
        <f t="shared" si="15"/>
        <v>700000</v>
      </c>
      <c r="W74" s="4"/>
      <c r="X74" s="4"/>
      <c r="Y74" s="4"/>
      <c r="Z74" s="4"/>
      <c r="AA74" s="4"/>
      <c r="AB74" s="3" t="s">
        <v>1132</v>
      </c>
      <c r="AC74" s="3">
        <v>746000</v>
      </c>
      <c r="AD74" s="335"/>
      <c r="AE74" s="335"/>
      <c r="AF74" s="335"/>
      <c r="AG74" s="335"/>
      <c r="AH74" s="335"/>
      <c r="AI74" s="335"/>
      <c r="AJ74" s="335"/>
      <c r="AK74" s="335"/>
      <c r="AL74" s="335"/>
      <c r="AM74" s="335"/>
      <c r="AN74" s="335"/>
      <c r="AO74" s="335"/>
      <c r="AP74" s="335"/>
      <c r="AQ74" s="335"/>
      <c r="AR74" s="335"/>
      <c r="AS74" s="335"/>
      <c r="AT74" s="335"/>
      <c r="AU74" s="335"/>
      <c r="AV74" s="335"/>
      <c r="AW74" s="335"/>
      <c r="AX74" s="335"/>
      <c r="AY74" s="335"/>
      <c r="AZ74" s="335"/>
    </row>
    <row r="75" spans="1:52" s="5" customFormat="1" ht="30" customHeight="1">
      <c r="A75" s="3">
        <f t="shared" si="18"/>
        <v>71</v>
      </c>
      <c r="B75" s="30">
        <v>20008</v>
      </c>
      <c r="C75" s="3" t="s">
        <v>1134</v>
      </c>
      <c r="D75" s="4">
        <v>1900000</v>
      </c>
      <c r="E75" s="4"/>
      <c r="F75" s="4">
        <f t="shared" si="10"/>
        <v>1900000</v>
      </c>
      <c r="G75" s="4"/>
      <c r="H75" s="4"/>
      <c r="I75" s="4"/>
      <c r="J75" s="4"/>
      <c r="K75" s="4"/>
      <c r="L75" s="4"/>
      <c r="M75" s="4"/>
      <c r="N75" s="4">
        <f>1100000-650000</f>
        <v>450000</v>
      </c>
      <c r="O75" s="4">
        <f t="shared" si="19"/>
        <v>1450000</v>
      </c>
      <c r="P75" s="4"/>
      <c r="Q75" s="4"/>
      <c r="R75" s="4"/>
      <c r="S75" s="4"/>
      <c r="T75" s="4"/>
      <c r="U75" s="4">
        <f t="shared" si="17"/>
        <v>450000</v>
      </c>
      <c r="V75" s="4">
        <f t="shared" si="15"/>
        <v>450000</v>
      </c>
      <c r="W75" s="4"/>
      <c r="X75" s="4"/>
      <c r="Y75" s="4"/>
      <c r="Z75" s="4"/>
      <c r="AA75" s="4"/>
      <c r="AB75" s="3" t="s">
        <v>1135</v>
      </c>
      <c r="AC75" s="3">
        <v>732000</v>
      </c>
      <c r="AD75" s="335"/>
      <c r="AE75" s="335"/>
      <c r="AF75" s="335"/>
      <c r="AG75" s="335"/>
      <c r="AH75" s="335"/>
      <c r="AI75" s="335"/>
      <c r="AJ75" s="335"/>
      <c r="AK75" s="335"/>
      <c r="AL75" s="335"/>
      <c r="AM75" s="335"/>
      <c r="AN75" s="335"/>
      <c r="AO75" s="335"/>
      <c r="AP75" s="335"/>
      <c r="AQ75" s="335"/>
      <c r="AR75" s="335"/>
      <c r="AS75" s="335"/>
      <c r="AT75" s="335"/>
      <c r="AU75" s="335"/>
      <c r="AV75" s="335"/>
      <c r="AW75" s="335"/>
      <c r="AX75" s="335"/>
      <c r="AY75" s="335"/>
      <c r="AZ75" s="335"/>
    </row>
    <row r="76" spans="1:52" s="5" customFormat="1" ht="75">
      <c r="A76" s="3">
        <f t="shared" si="18"/>
        <v>72</v>
      </c>
      <c r="B76" s="30">
        <v>20009</v>
      </c>
      <c r="C76" s="3" t="s">
        <v>2218</v>
      </c>
      <c r="D76" s="4">
        <v>2150000</v>
      </c>
      <c r="E76" s="4"/>
      <c r="F76" s="4">
        <f t="shared" si="10"/>
        <v>2150000</v>
      </c>
      <c r="G76" s="4"/>
      <c r="H76" s="4"/>
      <c r="I76" s="4"/>
      <c r="J76" s="4"/>
      <c r="K76" s="4"/>
      <c r="L76" s="4"/>
      <c r="M76" s="4"/>
      <c r="N76" s="4">
        <f>1200000-400000-300000</f>
        <v>500000</v>
      </c>
      <c r="O76" s="4">
        <f t="shared" si="19"/>
        <v>1650000</v>
      </c>
      <c r="P76" s="4"/>
      <c r="Q76" s="4"/>
      <c r="R76" s="4"/>
      <c r="S76" s="4"/>
      <c r="T76" s="4"/>
      <c r="U76" s="4">
        <f t="shared" si="17"/>
        <v>500000</v>
      </c>
      <c r="V76" s="4">
        <f t="shared" si="15"/>
        <v>500000</v>
      </c>
      <c r="W76" s="4"/>
      <c r="X76" s="4"/>
      <c r="Y76" s="4"/>
      <c r="Z76" s="4"/>
      <c r="AA76" s="4"/>
      <c r="AB76" s="3" t="s">
        <v>2475</v>
      </c>
      <c r="AC76" s="3">
        <v>732000</v>
      </c>
      <c r="AD76" s="335"/>
      <c r="AE76" s="335"/>
      <c r="AF76" s="335"/>
      <c r="AG76" s="335"/>
      <c r="AH76" s="335"/>
      <c r="AI76" s="335"/>
      <c r="AJ76" s="335"/>
      <c r="AK76" s="335"/>
      <c r="AL76" s="335"/>
      <c r="AM76" s="335"/>
      <c r="AN76" s="335"/>
      <c r="AO76" s="335"/>
      <c r="AP76" s="335"/>
      <c r="AQ76" s="335"/>
      <c r="AR76" s="335"/>
      <c r="AS76" s="335"/>
      <c r="AT76" s="335"/>
      <c r="AU76" s="335"/>
      <c r="AV76" s="335"/>
      <c r="AW76" s="335"/>
      <c r="AX76" s="335"/>
      <c r="AY76" s="335"/>
      <c r="AZ76" s="335"/>
    </row>
    <row r="77" spans="1:52" s="370" customFormat="1" ht="30" customHeight="1">
      <c r="A77" s="302">
        <f>A76</f>
        <v>72</v>
      </c>
      <c r="B77" s="302"/>
      <c r="C77" s="32" t="s">
        <v>412</v>
      </c>
      <c r="D77" s="369">
        <f>SUM(D5:D76)</f>
        <v>527779791</v>
      </c>
      <c r="E77" s="369">
        <f t="shared" ref="E77:AA77" si="20">SUM(E5:E76)</f>
        <v>483168791</v>
      </c>
      <c r="F77" s="369">
        <f t="shared" si="20"/>
        <v>44611000</v>
      </c>
      <c r="G77" s="369">
        <f t="shared" si="20"/>
        <v>205226071</v>
      </c>
      <c r="H77" s="369">
        <f t="shared" si="20"/>
        <v>168574056</v>
      </c>
      <c r="I77" s="369">
        <f t="shared" si="20"/>
        <v>6019848</v>
      </c>
      <c r="J77" s="369">
        <f t="shared" si="20"/>
        <v>5752801</v>
      </c>
      <c r="K77" s="369">
        <f t="shared" si="20"/>
        <v>11772649</v>
      </c>
      <c r="L77" s="369">
        <f>SUM(L5:L76)</f>
        <v>180346705</v>
      </c>
      <c r="M77" s="369">
        <f>SUM(M5:M76)</f>
        <v>6759366</v>
      </c>
      <c r="N77" s="369">
        <f>SUM(N5:N76)</f>
        <v>29150000</v>
      </c>
      <c r="O77" s="369">
        <f>SUM(O5:O76)</f>
        <v>311523720</v>
      </c>
      <c r="P77" s="369">
        <f>SUM(P5:P76)</f>
        <v>24879366</v>
      </c>
      <c r="Q77" s="369">
        <f t="shared" si="20"/>
        <v>1450000</v>
      </c>
      <c r="R77" s="369">
        <f t="shared" si="20"/>
        <v>0</v>
      </c>
      <c r="S77" s="369">
        <f t="shared" si="20"/>
        <v>1450000</v>
      </c>
      <c r="T77" s="369">
        <f t="shared" si="20"/>
        <v>19570000</v>
      </c>
      <c r="U77" s="369">
        <f t="shared" si="20"/>
        <v>9580000</v>
      </c>
      <c r="V77" s="369">
        <f t="shared" si="20"/>
        <v>8005774</v>
      </c>
      <c r="W77" s="369">
        <f t="shared" si="20"/>
        <v>0</v>
      </c>
      <c r="X77" s="369">
        <f t="shared" si="20"/>
        <v>0</v>
      </c>
      <c r="Y77" s="369">
        <f t="shared" si="20"/>
        <v>0</v>
      </c>
      <c r="Z77" s="369">
        <f t="shared" si="20"/>
        <v>0</v>
      </c>
      <c r="AA77" s="369">
        <f t="shared" si="20"/>
        <v>1574226</v>
      </c>
      <c r="AB77" s="369">
        <f>SUM(AB5:AB66)</f>
        <v>0</v>
      </c>
      <c r="AC77" s="369"/>
      <c r="AD77" s="335"/>
      <c r="AE77" s="335"/>
      <c r="AF77" s="335"/>
      <c r="AG77" s="335"/>
      <c r="AH77" s="335"/>
      <c r="AI77" s="335"/>
      <c r="AJ77" s="335"/>
      <c r="AK77" s="335"/>
      <c r="AL77" s="335"/>
      <c r="AM77" s="335"/>
      <c r="AN77" s="335"/>
      <c r="AO77" s="335"/>
      <c r="AP77" s="335"/>
      <c r="AQ77" s="335"/>
      <c r="AR77" s="335"/>
      <c r="AS77" s="335"/>
      <c r="AT77" s="335"/>
      <c r="AU77" s="335"/>
      <c r="AV77" s="335"/>
      <c r="AW77" s="335"/>
      <c r="AX77" s="335"/>
      <c r="AY77" s="335"/>
      <c r="AZ77" s="335"/>
    </row>
    <row r="78" spans="1:52" hidden="1">
      <c r="L78" s="14">
        <f>K77+H77</f>
        <v>180346705</v>
      </c>
      <c r="M78" s="14">
        <f>P77+S77-T77</f>
        <v>6759366</v>
      </c>
      <c r="P78" s="14">
        <f>G77-L77</f>
        <v>24879366</v>
      </c>
    </row>
    <row r="82" spans="3:20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3:20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3:20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3:20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</row>
    <row r="86" spans="3:20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3:20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3:20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3:20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3:20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</row>
    <row r="91" spans="3:20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</row>
    <row r="92" spans="3:20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3:20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</row>
  </sheetData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23"/>
  <sheetViews>
    <sheetView showZeros="0" rightToLeft="1" topLeftCell="A10" workbookViewId="0">
      <selection activeCell="D41" sqref="C41:D41"/>
    </sheetView>
  </sheetViews>
  <sheetFormatPr defaultColWidth="9.140625" defaultRowHeight="14.25"/>
  <cols>
    <col min="1" max="1" width="9.140625" style="145"/>
    <col min="2" max="7" width="9.140625" style="87"/>
    <col min="8" max="8" width="14.28515625" style="87" customWidth="1"/>
    <col min="9" max="16384" width="9.140625" style="87"/>
  </cols>
  <sheetData>
    <row r="3" spans="1:10" ht="18.75">
      <c r="B3" s="146"/>
      <c r="C3" s="146"/>
      <c r="D3" s="146"/>
      <c r="E3" s="146"/>
      <c r="F3" s="146"/>
      <c r="G3" s="146"/>
      <c r="H3" s="146"/>
    </row>
    <row r="4" spans="1:10" ht="20.25">
      <c r="B4" s="97" t="s">
        <v>243</v>
      </c>
      <c r="H4" s="97" t="s">
        <v>244</v>
      </c>
      <c r="J4" s="315"/>
    </row>
    <row r="5" spans="1:10" ht="15.75">
      <c r="B5" s="89"/>
    </row>
    <row r="6" spans="1:10" ht="24.95" customHeight="1">
      <c r="A6" s="147"/>
      <c r="B6" s="89" t="s">
        <v>183</v>
      </c>
      <c r="H6" s="89">
        <v>3</v>
      </c>
    </row>
    <row r="7" spans="1:10" ht="24.95" customHeight="1">
      <c r="A7" s="147"/>
      <c r="B7" s="89" t="s">
        <v>2422</v>
      </c>
      <c r="H7" s="89">
        <v>4</v>
      </c>
    </row>
    <row r="8" spans="1:10" ht="24.95" customHeight="1">
      <c r="A8" s="147"/>
      <c r="B8" s="89" t="s">
        <v>2045</v>
      </c>
      <c r="F8" s="89"/>
    </row>
    <row r="9" spans="1:10" ht="24.95" customHeight="1">
      <c r="A9" s="147"/>
      <c r="B9" s="89" t="s">
        <v>245</v>
      </c>
      <c r="F9" s="148"/>
      <c r="G9" s="198"/>
      <c r="H9" s="95" t="s">
        <v>2477</v>
      </c>
    </row>
    <row r="10" spans="1:10" ht="24.95" customHeight="1">
      <c r="A10" s="147"/>
      <c r="B10" s="89" t="s">
        <v>414</v>
      </c>
      <c r="F10" s="149"/>
      <c r="G10" s="198"/>
      <c r="H10" s="95" t="s">
        <v>2478</v>
      </c>
    </row>
    <row r="11" spans="1:10" ht="24.95" customHeight="1">
      <c r="A11" s="147"/>
      <c r="B11" s="89" t="s">
        <v>208</v>
      </c>
      <c r="F11" s="149"/>
      <c r="G11" s="198"/>
      <c r="H11" s="95" t="s">
        <v>2479</v>
      </c>
    </row>
    <row r="12" spans="1:10" ht="24.95" customHeight="1">
      <c r="A12" s="147"/>
      <c r="B12" s="89" t="s">
        <v>1137</v>
      </c>
      <c r="F12" s="150"/>
      <c r="G12" s="198"/>
      <c r="H12" s="95" t="s">
        <v>2480</v>
      </c>
    </row>
    <row r="13" spans="1:10" ht="24.95" customHeight="1">
      <c r="A13" s="147"/>
      <c r="B13" s="89" t="s">
        <v>168</v>
      </c>
      <c r="F13" s="150"/>
      <c r="G13" s="198"/>
      <c r="H13" s="95" t="s">
        <v>2481</v>
      </c>
    </row>
    <row r="14" spans="1:10" ht="24.95" customHeight="1">
      <c r="A14" s="147"/>
      <c r="B14" s="89" t="s">
        <v>381</v>
      </c>
      <c r="F14" s="150"/>
      <c r="G14" s="198"/>
      <c r="H14" s="95" t="s">
        <v>2482</v>
      </c>
    </row>
    <row r="15" spans="1:10" ht="24.95" customHeight="1">
      <c r="A15" s="147"/>
      <c r="B15" s="89" t="s">
        <v>270</v>
      </c>
      <c r="F15" s="149"/>
      <c r="G15" s="198"/>
      <c r="H15" s="95" t="s">
        <v>2483</v>
      </c>
    </row>
    <row r="16" spans="1:10" ht="24.95" customHeight="1">
      <c r="A16" s="147"/>
      <c r="B16" s="89" t="s">
        <v>271</v>
      </c>
      <c r="F16" s="149"/>
      <c r="G16" s="198"/>
      <c r="H16" s="95" t="s">
        <v>2484</v>
      </c>
    </row>
    <row r="17" spans="1:8" ht="24.95" customHeight="1">
      <c r="A17" s="147"/>
      <c r="B17" s="89" t="s">
        <v>473</v>
      </c>
      <c r="F17" s="149"/>
      <c r="G17" s="198"/>
      <c r="H17" s="95" t="s">
        <v>2485</v>
      </c>
    </row>
    <row r="18" spans="1:8" ht="24.95" customHeight="1">
      <c r="A18" s="147"/>
      <c r="B18" s="89" t="s">
        <v>252</v>
      </c>
      <c r="F18" s="149"/>
      <c r="G18" s="198"/>
      <c r="H18" s="95" t="s">
        <v>2486</v>
      </c>
    </row>
    <row r="19" spans="1:8" ht="24.95" customHeight="1">
      <c r="A19" s="147"/>
      <c r="B19" s="89" t="s">
        <v>2423</v>
      </c>
      <c r="H19" s="95" t="s">
        <v>2487</v>
      </c>
    </row>
    <row r="20" spans="1:8" ht="24.95" customHeight="1">
      <c r="A20" s="147"/>
      <c r="B20" s="89" t="s">
        <v>232</v>
      </c>
      <c r="H20" s="95" t="s">
        <v>2488</v>
      </c>
    </row>
    <row r="21" spans="1:8" ht="15.75">
      <c r="A21" s="147"/>
    </row>
    <row r="23" spans="1:8">
      <c r="B23" s="435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Z96"/>
  <sheetViews>
    <sheetView showZeros="0" rightToLeft="1" zoomScaleNormal="100" workbookViewId="0">
      <pane xSplit="4" ySplit="4" topLeftCell="L77" activePane="bottomRight" state="frozen"/>
      <selection activeCell="E41" sqref="E41"/>
      <selection pane="topRight" activeCell="E41" sqref="E41"/>
      <selection pane="bottomLeft" activeCell="E41" sqref="E41"/>
      <selection pane="bottomRight" activeCell="E41" sqref="E41"/>
    </sheetView>
  </sheetViews>
  <sheetFormatPr defaultColWidth="9.140625" defaultRowHeight="15"/>
  <cols>
    <col min="1" max="1" width="4.28515625" style="12" customWidth="1"/>
    <col min="2" max="2" width="6.140625" style="12" customWidth="1"/>
    <col min="3" max="3" width="22.28515625" style="769" customWidth="1"/>
    <col min="4" max="4" width="11.140625" style="14" customWidth="1"/>
    <col min="5" max="5" width="11.140625" style="14" hidden="1" customWidth="1"/>
    <col min="6" max="6" width="10.7109375" style="14" hidden="1" customWidth="1"/>
    <col min="7" max="8" width="11.140625" style="14" hidden="1" customWidth="1"/>
    <col min="9" max="11" width="10.7109375" style="14" hidden="1" customWidth="1"/>
    <col min="12" max="12" width="10.140625" style="14" customWidth="1"/>
    <col min="13" max="13" width="9.28515625" style="14" customWidth="1"/>
    <col min="14" max="14" width="9.7109375" style="14" customWidth="1"/>
    <col min="15" max="15" width="10" style="14" customWidth="1"/>
    <col min="16" max="19" width="10.7109375" style="14" hidden="1" customWidth="1"/>
    <col min="20" max="20" width="9.7109375" style="14" customWidth="1"/>
    <col min="21" max="22" width="9.28515625" style="12" customWidth="1"/>
    <col min="23" max="26" width="10.7109375" style="12" hidden="1" customWidth="1"/>
    <col min="27" max="27" width="8.85546875" style="12" customWidth="1"/>
    <col min="28" max="28" width="30.42578125" style="769" customWidth="1"/>
    <col min="29" max="29" width="9.140625" style="12" customWidth="1"/>
    <col min="30" max="30" width="15.7109375" style="335" hidden="1" customWidth="1"/>
    <col min="31" max="31" width="25.42578125" style="335" hidden="1" customWidth="1"/>
    <col min="32" max="32" width="22.5703125" style="437" hidden="1" customWidth="1"/>
    <col min="33" max="34" width="11.5703125" style="441" hidden="1" customWidth="1"/>
    <col min="35" max="36" width="9.140625" style="12" hidden="1" customWidth="1"/>
    <col min="37" max="37" width="24.85546875" style="439" hidden="1" customWidth="1"/>
    <col min="38" max="38" width="23" style="12" hidden="1" customWidth="1"/>
    <col min="39" max="40" width="18.140625" style="12" hidden="1" customWidth="1"/>
    <col min="41" max="41" width="20.140625" style="12" hidden="1" customWidth="1"/>
    <col min="42" max="42" width="13.7109375" style="12" hidden="1" customWidth="1"/>
    <col min="43" max="44" width="17.42578125" style="12" hidden="1" customWidth="1"/>
    <col min="45" max="45" width="21.7109375" style="459" hidden="1" customWidth="1"/>
    <col min="46" max="46" width="17.42578125" style="12" hidden="1" customWidth="1"/>
    <col min="47" max="47" width="21.7109375" style="632" hidden="1" customWidth="1"/>
    <col min="48" max="48" width="9.7109375" style="12" hidden="1" customWidth="1"/>
    <col min="49" max="49" width="9.140625" style="12" hidden="1" customWidth="1"/>
    <col min="50" max="50" width="23" style="661" hidden="1" customWidth="1"/>
    <col min="51" max="51" width="12.140625" style="12" hidden="1" customWidth="1"/>
    <col min="52" max="52" width="9.140625" style="12" hidden="1" customWidth="1"/>
    <col min="53" max="16384" width="9.140625" style="12"/>
  </cols>
  <sheetData>
    <row r="1" spans="1:52" s="27" customFormat="1" ht="18.75">
      <c r="A1" s="26"/>
      <c r="B1" s="26"/>
      <c r="C1" s="767"/>
      <c r="J1" s="14"/>
      <c r="K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356"/>
      <c r="X1" s="356"/>
      <c r="Y1" s="356"/>
      <c r="Z1" s="356"/>
      <c r="AA1" s="356"/>
      <c r="AB1" s="771"/>
      <c r="AD1" s="335"/>
      <c r="AE1" s="335"/>
      <c r="AF1" s="437"/>
      <c r="AG1" s="438"/>
      <c r="AH1" s="438"/>
      <c r="AK1" s="439"/>
      <c r="AS1" s="440"/>
      <c r="AU1" s="440"/>
      <c r="AX1" s="657"/>
    </row>
    <row r="2" spans="1:52" ht="18.75">
      <c r="A2" s="63" t="s">
        <v>414</v>
      </c>
      <c r="B2" s="26"/>
      <c r="C2" s="768"/>
      <c r="D2" s="27"/>
      <c r="E2" s="27"/>
      <c r="F2" s="27"/>
      <c r="K2" s="26"/>
      <c r="M2" s="354"/>
      <c r="N2" s="354"/>
      <c r="O2" s="354"/>
      <c r="P2" s="354"/>
      <c r="Q2" s="354"/>
      <c r="R2" s="354"/>
      <c r="S2" s="354"/>
      <c r="T2" s="354"/>
      <c r="U2" s="356"/>
      <c r="V2" s="356"/>
      <c r="W2" s="356"/>
      <c r="X2" s="356"/>
      <c r="Y2" s="356"/>
      <c r="Z2" s="356"/>
      <c r="AA2" s="356"/>
      <c r="AB2" s="770"/>
      <c r="AS2" s="440"/>
      <c r="AU2" s="440"/>
      <c r="AX2" s="657"/>
    </row>
    <row r="3" spans="1:52" ht="24.6" customHeight="1">
      <c r="D3" s="355"/>
      <c r="E3" s="13"/>
      <c r="F3" s="13"/>
      <c r="G3" s="442"/>
      <c r="H3" s="13"/>
      <c r="I3" s="13"/>
      <c r="J3" s="13"/>
      <c r="K3" s="13"/>
      <c r="L3" s="355"/>
      <c r="M3" s="398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S3" s="440"/>
      <c r="AU3" s="440"/>
      <c r="AX3" s="657"/>
    </row>
    <row r="4" spans="1:52" s="29" customFormat="1" ht="86.25" customHeight="1">
      <c r="A4" s="9" t="s">
        <v>0</v>
      </c>
      <c r="B4" s="9" t="s">
        <v>1</v>
      </c>
      <c r="C4" s="9" t="s">
        <v>2</v>
      </c>
      <c r="D4" s="9" t="s">
        <v>89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9</v>
      </c>
      <c r="J4" s="9" t="s">
        <v>153</v>
      </c>
      <c r="K4" s="9" t="s">
        <v>10</v>
      </c>
      <c r="L4" s="9" t="s">
        <v>11</v>
      </c>
      <c r="M4" s="9" t="s">
        <v>891</v>
      </c>
      <c r="N4" s="9" t="s">
        <v>892</v>
      </c>
      <c r="O4" s="9" t="s">
        <v>893</v>
      </c>
      <c r="P4" s="9" t="s">
        <v>12</v>
      </c>
      <c r="Q4" s="9" t="s">
        <v>894</v>
      </c>
      <c r="R4" s="9" t="s">
        <v>895</v>
      </c>
      <c r="S4" s="9" t="s">
        <v>896</v>
      </c>
      <c r="T4" s="9" t="s">
        <v>897</v>
      </c>
      <c r="U4" s="9" t="s">
        <v>898</v>
      </c>
      <c r="V4" s="9" t="s">
        <v>13</v>
      </c>
      <c r="W4" s="9" t="s">
        <v>14</v>
      </c>
      <c r="X4" s="9" t="s">
        <v>15</v>
      </c>
      <c r="Y4" s="9" t="s">
        <v>265</v>
      </c>
      <c r="Z4" s="9" t="s">
        <v>749</v>
      </c>
      <c r="AA4" s="9" t="s">
        <v>84</v>
      </c>
      <c r="AB4" s="16" t="s">
        <v>304</v>
      </c>
      <c r="AC4" s="9" t="s">
        <v>16</v>
      </c>
      <c r="AD4" s="9" t="s">
        <v>923</v>
      </c>
      <c r="AE4" s="9" t="s">
        <v>924</v>
      </c>
      <c r="AF4" s="9" t="s">
        <v>925</v>
      </c>
      <c r="AG4" s="443" t="s">
        <v>926</v>
      </c>
      <c r="AH4" s="443" t="s">
        <v>927</v>
      </c>
      <c r="AI4" s="9" t="s">
        <v>928</v>
      </c>
      <c r="AJ4" s="9" t="s">
        <v>491</v>
      </c>
      <c r="AK4" s="9" t="s">
        <v>929</v>
      </c>
      <c r="AL4" s="9" t="s">
        <v>930</v>
      </c>
      <c r="AM4" s="9" t="s">
        <v>931</v>
      </c>
      <c r="AN4" s="9" t="s">
        <v>932</v>
      </c>
      <c r="AO4" s="9" t="s">
        <v>933</v>
      </c>
      <c r="AP4" s="9" t="s">
        <v>934</v>
      </c>
      <c r="AQ4" s="9" t="s">
        <v>935</v>
      </c>
      <c r="AR4" s="9" t="s">
        <v>936</v>
      </c>
      <c r="AS4" s="444" t="s">
        <v>937</v>
      </c>
      <c r="AT4" s="9" t="s">
        <v>938</v>
      </c>
      <c r="AU4" s="444" t="s">
        <v>2150</v>
      </c>
      <c r="AV4" s="9" t="s">
        <v>2206</v>
      </c>
      <c r="AW4" s="9" t="s">
        <v>2209</v>
      </c>
      <c r="AX4" s="658" t="s">
        <v>2219</v>
      </c>
      <c r="AY4" s="658" t="s">
        <v>2220</v>
      </c>
      <c r="AZ4" s="9" t="s">
        <v>2226</v>
      </c>
    </row>
    <row r="5" spans="1:52" s="5" customFormat="1" ht="40.15" customHeight="1">
      <c r="A5" s="3">
        <v>1</v>
      </c>
      <c r="B5" s="3">
        <f>'תקציב הנדסה 2022 '!B5</f>
        <v>179</v>
      </c>
      <c r="C5" s="255" t="str">
        <f>'תקציב הנדסה 2022 '!C5</f>
        <v>יעודי קרקע -מפת בסיס</v>
      </c>
      <c r="D5" s="4">
        <f>'תקציב הנדסה 2022 '!D5</f>
        <v>3200250</v>
      </c>
      <c r="E5" s="4">
        <f>'תקציב הנדסה 2022 '!E5</f>
        <v>3170250</v>
      </c>
      <c r="F5" s="4">
        <f>'תקציב הנדסה 2022 '!F5</f>
        <v>30000</v>
      </c>
      <c r="G5" s="4">
        <f>'תקציב הנדסה 2022 '!G5</f>
        <v>3100250</v>
      </c>
      <c r="H5" s="4">
        <f>'תקציב הנדסה 2022 '!H5</f>
        <v>2934748</v>
      </c>
      <c r="I5" s="4">
        <f>'תקציב הנדסה 2022 '!I5</f>
        <v>0</v>
      </c>
      <c r="J5" s="4">
        <f>'תקציב הנדסה 2022 '!J5</f>
        <v>13909</v>
      </c>
      <c r="K5" s="4">
        <f>'תקציב הנדסה 2022 '!K5</f>
        <v>13909</v>
      </c>
      <c r="L5" s="4">
        <f>'תקציב הנדסה 2022 '!L5</f>
        <v>2948657</v>
      </c>
      <c r="M5" s="4">
        <f>'תקציב הנדסה 2022 '!M5</f>
        <v>51593</v>
      </c>
      <c r="N5" s="4">
        <f>'תקציב הנדסה 2022 '!N5</f>
        <v>200000</v>
      </c>
      <c r="O5" s="4">
        <f>'תקציב הנדסה 2022 '!O5</f>
        <v>0</v>
      </c>
      <c r="P5" s="4">
        <f>'תקציב הנדסה 2022 '!P5</f>
        <v>151593</v>
      </c>
      <c r="Q5" s="4">
        <f>'תקציב הנדסה 2022 '!Q5</f>
        <v>0</v>
      </c>
      <c r="R5" s="4">
        <f>'תקציב הנדסה 2022 '!R5</f>
        <v>0</v>
      </c>
      <c r="S5" s="4">
        <f>'תקציב הנדסה 2022 '!S5</f>
        <v>0</v>
      </c>
      <c r="T5" s="4">
        <f>'תקציב הנדסה 2022 '!T5</f>
        <v>100000</v>
      </c>
      <c r="U5" s="4">
        <f>'תקציב הנדסה 2022 '!U5</f>
        <v>100000</v>
      </c>
      <c r="V5" s="4">
        <f>'תקציב הנדסה 2022 '!V5</f>
        <v>100000</v>
      </c>
      <c r="W5" s="4">
        <f>'תקציב הנדסה 2022 '!W5</f>
        <v>0</v>
      </c>
      <c r="X5" s="4">
        <f>'תקציב הנדסה 2022 '!X5</f>
        <v>0</v>
      </c>
      <c r="Y5" s="4">
        <f>'תקציב הנדסה 2022 '!Y5</f>
        <v>0</v>
      </c>
      <c r="Z5" s="4">
        <f>'תקציב הנדסה 2022 '!Z5</f>
        <v>0</v>
      </c>
      <c r="AA5" s="4">
        <f>'תקציב הנדסה 2022 '!AA5</f>
        <v>0</v>
      </c>
      <c r="AB5" s="255" t="str">
        <f>'תקציב הנדסה 2022 '!AB5</f>
        <v xml:space="preserve">עדכון מע. מידע הנדסי כתוצאה משינוי ייעודי קרקע עקב החלטות ועדות התכנון. </v>
      </c>
      <c r="AC5" s="3">
        <f>'תקציב הנדסה 2022 '!AC5</f>
        <v>732000</v>
      </c>
      <c r="AD5" s="374"/>
      <c r="AE5" s="278" t="s">
        <v>940</v>
      </c>
      <c r="AF5" s="445"/>
      <c r="AG5" s="190">
        <v>50000</v>
      </c>
      <c r="AH5" s="190">
        <f>AG5</f>
        <v>50000</v>
      </c>
      <c r="AI5" s="3"/>
      <c r="AJ5" s="446">
        <f t="shared" ref="AJ5:AJ35" si="0">AG5-AH5-AI5</f>
        <v>0</v>
      </c>
      <c r="AK5" s="447"/>
      <c r="AL5" s="3"/>
      <c r="AM5" s="3"/>
      <c r="AN5" s="4"/>
      <c r="AO5" s="9" t="str">
        <f>AE5</f>
        <v>ככל שיאושר תקציב נוסף ב - 2022 יהיה בתב"ר חדש.</v>
      </c>
      <c r="AP5" s="3"/>
      <c r="AQ5" s="3"/>
      <c r="AR5" s="3" t="s">
        <v>941</v>
      </c>
      <c r="AS5" s="448"/>
      <c r="AT5" s="3" t="s">
        <v>942</v>
      </c>
      <c r="AU5" s="630"/>
      <c r="AV5" s="4"/>
      <c r="AW5" s="4"/>
      <c r="AX5" s="4"/>
      <c r="AY5" s="4"/>
      <c r="AZ5" s="4">
        <v>-100000</v>
      </c>
    </row>
    <row r="6" spans="1:52" s="5" customFormat="1" ht="60">
      <c r="A6" s="3">
        <f t="shared" ref="A6:A38" si="1">A5+1</f>
        <v>2</v>
      </c>
      <c r="B6" s="3">
        <f>'תקציב הנדסה 2022 '!B10</f>
        <v>626</v>
      </c>
      <c r="C6" s="255" t="str">
        <f>'תקציב הנדסה 2022 '!C10</f>
        <v xml:space="preserve">תכנון וביצוע  תוכנית אב לשבילי אופניים </v>
      </c>
      <c r="D6" s="4">
        <f>'תקציב הנדסה 2022 '!D10</f>
        <v>34775000</v>
      </c>
      <c r="E6" s="4">
        <f>'תקציב הנדסה 2022 '!E10</f>
        <v>34775000</v>
      </c>
      <c r="F6" s="4">
        <f>'תקציב הנדסה 2022 '!F10</f>
        <v>0</v>
      </c>
      <c r="G6" s="4">
        <f>'תקציב הנדסה 2022 '!G10</f>
        <v>16075000</v>
      </c>
      <c r="H6" s="4">
        <f>'תקציב הנדסה 2022 '!H10</f>
        <v>13753546</v>
      </c>
      <c r="I6" s="4">
        <f>'תקציב הנדסה 2022 '!I10</f>
        <v>0</v>
      </c>
      <c r="J6" s="4">
        <f>'תקציב הנדסה 2022 '!J10</f>
        <v>194828</v>
      </c>
      <c r="K6" s="4">
        <f>'תקציב הנדסה 2022 '!K10</f>
        <v>194828</v>
      </c>
      <c r="L6" s="4">
        <f>'תקציב הנדסה 2022 '!L10</f>
        <v>13948374</v>
      </c>
      <c r="M6" s="4">
        <f>'תקציב הנדסה 2022 '!M10</f>
        <v>1026626</v>
      </c>
      <c r="N6" s="4">
        <f>'תקציב הנדסה 2022 '!N10</f>
        <v>4300000</v>
      </c>
      <c r="O6" s="4">
        <f>'תקציב הנדסה 2022 '!O10</f>
        <v>15500000</v>
      </c>
      <c r="P6" s="4">
        <f>'תקציב הנדסה 2022 '!P10</f>
        <v>2126626</v>
      </c>
      <c r="Q6" s="4">
        <f>'תקציב הנדסה 2022 '!Q10</f>
        <v>0</v>
      </c>
      <c r="R6" s="4">
        <f>'תקציב הנדסה 2022 '!R10</f>
        <v>0</v>
      </c>
      <c r="S6" s="4">
        <f>'תקציב הנדסה 2022 '!S10</f>
        <v>0</v>
      </c>
      <c r="T6" s="4">
        <f>'תקציב הנדסה 2022 '!T10</f>
        <v>1100000</v>
      </c>
      <c r="U6" s="4">
        <f>'תקציב הנדסה 2022 '!U10</f>
        <v>3200000</v>
      </c>
      <c r="V6" s="4">
        <f>'תקציב הנדסה 2022 '!V10</f>
        <v>1200000</v>
      </c>
      <c r="W6" s="4">
        <f>'תקציב הנדסה 2022 '!W10</f>
        <v>0</v>
      </c>
      <c r="X6" s="4">
        <f>'תקציב הנדסה 2022 '!X10</f>
        <v>0</v>
      </c>
      <c r="Y6" s="4">
        <f>'תקציב הנדסה 2022 '!Y10</f>
        <v>0</v>
      </c>
      <c r="Z6" s="4">
        <f>'תקציב הנדסה 2022 '!Z10</f>
        <v>0</v>
      </c>
      <c r="AA6" s="4">
        <f>'תקציב הנדסה 2022 '!AA10</f>
        <v>2000000</v>
      </c>
      <c r="AB6" s="255" t="str">
        <f>'תקציב הנדסה 2022 '!AB10</f>
        <v>תכנון וביצוע שבילי אופנים ברחבי העיר .  תכנון וביצוע: אלטנוילנד , ז'בוטינסקי , העצמאות , הדר. מימון מ. הפיס.</v>
      </c>
      <c r="AC6" s="3">
        <f>'תקציב הנדסה 2022 '!AC10</f>
        <v>732000</v>
      </c>
      <c r="AD6" s="190"/>
      <c r="AE6" s="278" t="s">
        <v>954</v>
      </c>
      <c r="AF6" s="278"/>
      <c r="AG6" s="190">
        <v>1000000</v>
      </c>
      <c r="AH6" s="190">
        <v>1000000</v>
      </c>
      <c r="AI6" s="7"/>
      <c r="AJ6" s="446">
        <f t="shared" si="0"/>
        <v>0</v>
      </c>
      <c r="AK6" s="449" t="s">
        <v>955</v>
      </c>
      <c r="AL6" s="32" t="s">
        <v>956</v>
      </c>
      <c r="AM6" s="7" t="s">
        <v>957</v>
      </c>
      <c r="AN6" s="64" t="s">
        <v>958</v>
      </c>
      <c r="AO6" s="9" t="s">
        <v>959</v>
      </c>
      <c r="AP6" s="7"/>
      <c r="AQ6" s="7"/>
      <c r="AR6" s="3" t="s">
        <v>960</v>
      </c>
      <c r="AS6" s="448" t="s">
        <v>961</v>
      </c>
      <c r="AT6" s="3" t="s">
        <v>1899</v>
      </c>
      <c r="AU6" s="630" t="s">
        <v>2152</v>
      </c>
      <c r="AV6" s="4"/>
      <c r="AW6" s="4">
        <v>-500000</v>
      </c>
      <c r="AX6" s="659"/>
      <c r="AY6" s="4"/>
      <c r="AZ6" s="4">
        <v>-500000</v>
      </c>
    </row>
    <row r="7" spans="1:52" s="5" customFormat="1" ht="45">
      <c r="A7" s="3">
        <f>A6+1</f>
        <v>3</v>
      </c>
      <c r="B7" s="3">
        <f>'תקציב הנדסה 2022 '!B13</f>
        <v>1100</v>
      </c>
      <c r="C7" s="255" t="str">
        <f>'תקציב הנדסה 2022 '!C13</f>
        <v>תכנון מתחם הר' 2200</v>
      </c>
      <c r="D7" s="4">
        <f>'תקציב הנדסה 2022 '!D13</f>
        <v>7000000</v>
      </c>
      <c r="E7" s="4">
        <f>'תקציב הנדסה 2022 '!E13</f>
        <v>7000000</v>
      </c>
      <c r="F7" s="4">
        <f>'תקציב הנדסה 2022 '!F13</f>
        <v>0</v>
      </c>
      <c r="G7" s="4">
        <f>'תקציב הנדסה 2022 '!G13</f>
        <v>6500000</v>
      </c>
      <c r="H7" s="4">
        <f>'תקציב הנדסה 2022 '!H13</f>
        <v>5375582</v>
      </c>
      <c r="I7" s="4">
        <f>'תקציב הנדסה 2022 '!I13</f>
        <v>830137</v>
      </c>
      <c r="J7" s="4">
        <f>'תקציב הנדסה 2022 '!J13</f>
        <v>277574</v>
      </c>
      <c r="K7" s="4">
        <f>'תקציב הנדסה 2022 '!K13</f>
        <v>1107711</v>
      </c>
      <c r="L7" s="4">
        <f>'תקציב הנדסה 2022 '!L13</f>
        <v>6483293</v>
      </c>
      <c r="M7" s="4">
        <f>'תקציב הנדסה 2022 '!M13</f>
        <v>166707</v>
      </c>
      <c r="N7" s="4">
        <f>'תקציב הנדסה 2022 '!N13</f>
        <v>300000</v>
      </c>
      <c r="O7" s="4">
        <f>'תקציב הנדסה 2022 '!O13</f>
        <v>50000</v>
      </c>
      <c r="P7" s="4">
        <f>'תקציב הנדסה 2022 '!P13</f>
        <v>16707</v>
      </c>
      <c r="Q7" s="4">
        <f>'תקציב הנדסה 2022 '!Q13</f>
        <v>150000</v>
      </c>
      <c r="R7" s="4">
        <f>'תקציב הנדסה 2022 '!R13</f>
        <v>0</v>
      </c>
      <c r="S7" s="4">
        <f>'תקציב הנדסה 2022 '!S13</f>
        <v>150000</v>
      </c>
      <c r="T7" s="4">
        <f>'תקציב הנדסה 2022 '!T13</f>
        <v>0</v>
      </c>
      <c r="U7" s="4">
        <f>'תקציב הנדסה 2022 '!U13</f>
        <v>300000</v>
      </c>
      <c r="V7" s="4">
        <f>'תקציב הנדסה 2022 '!V13</f>
        <v>300000</v>
      </c>
      <c r="W7" s="4">
        <f>'תקציב הנדסה 2022 '!W13</f>
        <v>0</v>
      </c>
      <c r="X7" s="4">
        <f>'תקציב הנדסה 2022 '!X13</f>
        <v>0</v>
      </c>
      <c r="Y7" s="4">
        <f>'תקציב הנדסה 2022 '!Y13</f>
        <v>0</v>
      </c>
      <c r="Z7" s="4">
        <f>'תקציב הנדסה 2022 '!Z13</f>
        <v>0</v>
      </c>
      <c r="AA7" s="4">
        <f>'תקציב הנדסה 2022 '!AA13</f>
        <v>0</v>
      </c>
      <c r="AB7" s="255" t="str">
        <f>'תקציב הנדסה 2022 '!AB13</f>
        <v xml:space="preserve">תכנון מתחם חוף התכלת. עתירה של בעלי הקרקע הפרטיים על השתהות בקידום  התוכנית . </v>
      </c>
      <c r="AC7" s="3">
        <f>'תקציב הנדסה 2022 '!AC13</f>
        <v>732000</v>
      </c>
      <c r="AD7" s="190"/>
      <c r="AE7" s="278"/>
      <c r="AF7" s="278"/>
      <c r="AG7" s="378">
        <v>150000</v>
      </c>
      <c r="AH7" s="190">
        <f>100000-100000</f>
        <v>0</v>
      </c>
      <c r="AI7" s="190">
        <f>50000+100000</f>
        <v>150000</v>
      </c>
      <c r="AJ7" s="446">
        <f t="shared" si="0"/>
        <v>0</v>
      </c>
      <c r="AK7" s="449"/>
      <c r="AL7" s="7"/>
      <c r="AM7" s="3"/>
      <c r="AN7" s="4"/>
      <c r="AO7" s="9"/>
      <c r="AP7" s="3"/>
      <c r="AQ7" s="3"/>
      <c r="AR7" s="3"/>
      <c r="AS7" s="448"/>
      <c r="AT7" s="3"/>
      <c r="AU7" s="630"/>
      <c r="AV7" s="4"/>
      <c r="AW7" s="4">
        <v>-300000</v>
      </c>
      <c r="AX7" s="659"/>
      <c r="AY7" s="4"/>
      <c r="AZ7" s="4">
        <v>-100000</v>
      </c>
    </row>
    <row r="8" spans="1:52" s="5" customFormat="1" ht="60">
      <c r="A8" s="3">
        <f t="shared" si="1"/>
        <v>4</v>
      </c>
      <c r="B8" s="3">
        <f>'תקציב הנדסה 2022 '!B15</f>
        <v>1220</v>
      </c>
      <c r="C8" s="255" t="str">
        <f>'תקציב הנדסה 2022 '!C15</f>
        <v>תכנונים כלליים</v>
      </c>
      <c r="D8" s="4">
        <f>'תקציב הנדסה 2022 '!D15</f>
        <v>7260000</v>
      </c>
      <c r="E8" s="4">
        <f>'תקציב הנדסה 2022 '!E15</f>
        <v>7000000</v>
      </c>
      <c r="F8" s="4">
        <f>'תקציב הנדסה 2022 '!F15</f>
        <v>260000</v>
      </c>
      <c r="G8" s="4">
        <f>'תקציב הנדסה 2022 '!G15</f>
        <v>6160000</v>
      </c>
      <c r="H8" s="4">
        <f>'תקציב הנדסה 2022 '!H15</f>
        <v>5522194</v>
      </c>
      <c r="I8" s="4">
        <f>'תקציב הנדסה 2022 '!I15</f>
        <v>0</v>
      </c>
      <c r="J8" s="4">
        <f>'תקציב הנדסה 2022 '!J15</f>
        <v>441804</v>
      </c>
      <c r="K8" s="4">
        <f>'תקציב הנדסה 2022 '!K15</f>
        <v>441804</v>
      </c>
      <c r="L8" s="4">
        <f>'תקציב הנדסה 2022 '!L15</f>
        <v>5963998</v>
      </c>
      <c r="M8" s="4">
        <f>'תקציב הנדסה 2022 '!M15</f>
        <v>296002</v>
      </c>
      <c r="N8" s="4">
        <f>'תקציב הנדסה 2022 '!N15</f>
        <v>1000000</v>
      </c>
      <c r="O8" s="4">
        <f>'תקציב הנדסה 2022 '!O15</f>
        <v>0</v>
      </c>
      <c r="P8" s="4">
        <f>'תקציב הנדסה 2022 '!P15</f>
        <v>196002</v>
      </c>
      <c r="Q8" s="4">
        <f>'תקציב הנדסה 2022 '!Q15</f>
        <v>100000</v>
      </c>
      <c r="R8" s="4">
        <f>'תקציב הנדסה 2022 '!R15</f>
        <v>0</v>
      </c>
      <c r="S8" s="4">
        <f>'תקציב הנדסה 2022 '!S15</f>
        <v>100000</v>
      </c>
      <c r="T8" s="4">
        <f>'תקציב הנדסה 2022 '!T15</f>
        <v>0</v>
      </c>
      <c r="U8" s="4">
        <f>'תקציב הנדסה 2022 '!U15</f>
        <v>1000000</v>
      </c>
      <c r="V8" s="4">
        <f>'תקציב הנדסה 2022 '!V15</f>
        <v>1000000</v>
      </c>
      <c r="W8" s="4">
        <f>'תקציב הנדסה 2022 '!W15</f>
        <v>0</v>
      </c>
      <c r="X8" s="4">
        <f>'תקציב הנדסה 2022 '!X15</f>
        <v>0</v>
      </c>
      <c r="Y8" s="4">
        <f>'תקציב הנדסה 2022 '!Y15</f>
        <v>0</v>
      </c>
      <c r="Z8" s="4">
        <f>'תקציב הנדסה 2022 '!Z15</f>
        <v>0</v>
      </c>
      <c r="AA8" s="4">
        <f>'תקציב הנדסה 2022 '!AA15</f>
        <v>0</v>
      </c>
      <c r="AB8" s="255" t="str">
        <f>'תקציב הנדסה 2022 '!AB15</f>
        <v>סל תכנון של תוכניות ופרויקטים, מדידות ותכנון ראשוני כולל פיתוח רחבת העיריה ,אלתרמן.</v>
      </c>
      <c r="AC8" s="3">
        <f>'תקציב הנדסה 2022 '!AC15</f>
        <v>732000</v>
      </c>
      <c r="AD8" s="190"/>
      <c r="AE8" s="278" t="s">
        <v>970</v>
      </c>
      <c r="AF8" s="278"/>
      <c r="AG8" s="190">
        <v>300000</v>
      </c>
      <c r="AH8" s="190">
        <v>200000</v>
      </c>
      <c r="AI8" s="190">
        <v>100000</v>
      </c>
      <c r="AJ8" s="446">
        <f t="shared" si="0"/>
        <v>0</v>
      </c>
      <c r="AK8" s="449"/>
      <c r="AL8" s="7"/>
      <c r="AM8" s="3"/>
      <c r="AN8" s="4"/>
      <c r="AO8" s="9" t="str">
        <f>AE8</f>
        <v>לבדוק עלויות בתב"ר השייכים לפרויקטים ייעודיים. לקבל עדכון הקטנת סכום.</v>
      </c>
      <c r="AP8" s="3"/>
      <c r="AQ8" s="3"/>
      <c r="AR8" s="3" t="s">
        <v>971</v>
      </c>
      <c r="AS8" s="448"/>
      <c r="AT8" s="3" t="s">
        <v>971</v>
      </c>
      <c r="AU8" s="630"/>
      <c r="AV8" s="4"/>
      <c r="AW8" s="4">
        <v>-500000</v>
      </c>
      <c r="AX8" s="659"/>
      <c r="AY8" s="4"/>
      <c r="AZ8" s="4">
        <v>-500000</v>
      </c>
    </row>
    <row r="9" spans="1:52" s="5" customFormat="1" ht="30">
      <c r="A9" s="3">
        <f t="shared" si="1"/>
        <v>5</v>
      </c>
      <c r="B9" s="3">
        <f>'תקציב הנדסה 2022 '!B18</f>
        <v>1406</v>
      </c>
      <c r="C9" s="255" t="str">
        <f>'תקציב הנדסה 2022 '!C18</f>
        <v>שימור אתרים</v>
      </c>
      <c r="D9" s="4">
        <f>'תקציב הנדסה 2022 '!D18</f>
        <v>1350000</v>
      </c>
      <c r="E9" s="4">
        <f>'תקציב הנדסה 2022 '!E18</f>
        <v>1200000</v>
      </c>
      <c r="F9" s="4">
        <f>'תקציב הנדסה 2022 '!F18</f>
        <v>150000</v>
      </c>
      <c r="G9" s="4">
        <f>'תקציב הנדסה 2022 '!G18</f>
        <v>1200000</v>
      </c>
      <c r="H9" s="4">
        <f>'תקציב הנדסה 2022 '!H18</f>
        <v>913271</v>
      </c>
      <c r="I9" s="4">
        <f>'תקציב הנדסה 2022 '!I18</f>
        <v>1</v>
      </c>
      <c r="J9" s="4">
        <f>'תקציב הנדסה 2022 '!J18</f>
        <v>30747</v>
      </c>
      <c r="K9" s="4">
        <f>'תקציב הנדסה 2022 '!K18</f>
        <v>30748</v>
      </c>
      <c r="L9" s="4">
        <f>'תקציב הנדסה 2022 '!L18</f>
        <v>944019</v>
      </c>
      <c r="M9" s="4">
        <f>'תקציב הנדסה 2022 '!M18</f>
        <v>205981</v>
      </c>
      <c r="N9" s="4">
        <f>'תקציב הנדסה 2022 '!N18</f>
        <v>200000</v>
      </c>
      <c r="O9" s="4">
        <f>'תקציב הנדסה 2022 '!O18</f>
        <v>0</v>
      </c>
      <c r="P9" s="4">
        <f>'תקציב הנדסה 2022 '!P18</f>
        <v>255981</v>
      </c>
      <c r="Q9" s="4">
        <f>'תקציב הנדסה 2022 '!Q18</f>
        <v>0</v>
      </c>
      <c r="R9" s="4">
        <f>'תקציב הנדסה 2022 '!R18</f>
        <v>0</v>
      </c>
      <c r="S9" s="4">
        <f>'תקציב הנדסה 2022 '!S18</f>
        <v>0</v>
      </c>
      <c r="T9" s="4">
        <f>'תקציב הנדסה 2022 '!T18</f>
        <v>50000</v>
      </c>
      <c r="U9" s="4">
        <f>'תקציב הנדסה 2022 '!U18</f>
        <v>150000</v>
      </c>
      <c r="V9" s="4">
        <f>'תקציב הנדסה 2022 '!V18</f>
        <v>150000</v>
      </c>
      <c r="W9" s="4">
        <f>'תקציב הנדסה 2022 '!W18</f>
        <v>0</v>
      </c>
      <c r="X9" s="4">
        <f>'תקציב הנדסה 2022 '!X18</f>
        <v>0</v>
      </c>
      <c r="Y9" s="4">
        <f>'תקציב הנדסה 2022 '!Y18</f>
        <v>0</v>
      </c>
      <c r="Z9" s="4">
        <f>'תקציב הנדסה 2022 '!Z18</f>
        <v>0</v>
      </c>
      <c r="AA9" s="4">
        <f>'תקציב הנדסה 2022 '!AA18</f>
        <v>0</v>
      </c>
      <c r="AB9" s="255" t="str">
        <f>'תקציב הנדסה 2022 '!AB18</f>
        <v>סל תכנון הכנת תב"עות לשימור אתרים. השלמת תנאים למתן תוקף.</v>
      </c>
      <c r="AC9" s="3">
        <f>'תקציב הנדסה 2022 '!AC18</f>
        <v>732000</v>
      </c>
      <c r="AD9" s="190"/>
      <c r="AE9" s="278"/>
      <c r="AF9" s="278"/>
      <c r="AG9" s="190">
        <v>200000</v>
      </c>
      <c r="AH9" s="190">
        <v>200000</v>
      </c>
      <c r="AI9" s="7"/>
      <c r="AJ9" s="446">
        <f t="shared" si="0"/>
        <v>0</v>
      </c>
      <c r="AK9" s="449"/>
      <c r="AL9" s="7"/>
      <c r="AM9" s="7"/>
      <c r="AN9" s="4"/>
      <c r="AO9" s="9"/>
      <c r="AP9" s="7"/>
      <c r="AQ9" s="7"/>
      <c r="AR9" s="7"/>
      <c r="AS9" s="448"/>
      <c r="AT9" s="7"/>
      <c r="AU9" s="630"/>
      <c r="AV9" s="4"/>
      <c r="AW9" s="4">
        <v>-100000</v>
      </c>
      <c r="AX9" s="4"/>
      <c r="AY9" s="4"/>
      <c r="AZ9" s="4">
        <v>-100000</v>
      </c>
    </row>
    <row r="10" spans="1:52" s="6" customFormat="1" ht="45">
      <c r="A10" s="3">
        <f t="shared" si="1"/>
        <v>6</v>
      </c>
      <c r="B10" s="3">
        <f>'תקציב הנדסה 2022 '!B19</f>
        <v>1407</v>
      </c>
      <c r="C10" s="255" t="str">
        <f>'תקציב הנדסה 2022 '!C19</f>
        <v>תב"עות קטנות</v>
      </c>
      <c r="D10" s="4">
        <f>'תקציב הנדסה 2022 '!D19</f>
        <v>5295000</v>
      </c>
      <c r="E10" s="4">
        <f>'תקציב הנדסה 2022 '!E19</f>
        <v>5295000</v>
      </c>
      <c r="F10" s="4">
        <f>'תקציב הנדסה 2022 '!F19</f>
        <v>0</v>
      </c>
      <c r="G10" s="4">
        <f>'תקציב הנדסה 2022 '!G19</f>
        <v>4145000</v>
      </c>
      <c r="H10" s="4">
        <f>'תקציב הנדסה 2022 '!H19</f>
        <v>2777353</v>
      </c>
      <c r="I10" s="4">
        <f>'תקציב הנדסה 2022 '!I19</f>
        <v>197044</v>
      </c>
      <c r="J10" s="4">
        <f>'תקציב הנדסה 2022 '!J19</f>
        <v>622715</v>
      </c>
      <c r="K10" s="4">
        <f>'תקציב הנדסה 2022 '!K19</f>
        <v>819759</v>
      </c>
      <c r="L10" s="4">
        <f>'תקציב הנדסה 2022 '!L19</f>
        <v>3597112</v>
      </c>
      <c r="M10" s="4">
        <f>'תקציב הנדסה 2022 '!M19</f>
        <v>347888</v>
      </c>
      <c r="N10" s="4">
        <f>'תקציב הנדסה 2022 '!N19</f>
        <v>200000</v>
      </c>
      <c r="O10" s="4">
        <f>'תקציב הנדסה 2022 '!O19</f>
        <v>1150000</v>
      </c>
      <c r="P10" s="4">
        <f>'תקציב הנדסה 2022 '!P19</f>
        <v>547888</v>
      </c>
      <c r="Q10" s="4">
        <f>'תקציב הנדסה 2022 '!Q19</f>
        <v>0</v>
      </c>
      <c r="R10" s="4">
        <f>'תקציב הנדסה 2022 '!R19</f>
        <v>0</v>
      </c>
      <c r="S10" s="4">
        <f>'תקציב הנדסה 2022 '!S19</f>
        <v>0</v>
      </c>
      <c r="T10" s="4">
        <f>'תקציב הנדסה 2022 '!T19</f>
        <v>200000</v>
      </c>
      <c r="U10" s="4">
        <f>'תקציב הנדסה 2022 '!U19</f>
        <v>0</v>
      </c>
      <c r="V10" s="4">
        <f>'תקציב הנדסה 2022 '!V19</f>
        <v>0</v>
      </c>
      <c r="W10" s="4">
        <f>'תקציב הנדסה 2022 '!W19</f>
        <v>0</v>
      </c>
      <c r="X10" s="4">
        <f>'תקציב הנדסה 2022 '!X19</f>
        <v>0</v>
      </c>
      <c r="Y10" s="4">
        <f>'תקציב הנדסה 2022 '!Y19</f>
        <v>0</v>
      </c>
      <c r="Z10" s="4">
        <f>'תקציב הנדסה 2022 '!Z19</f>
        <v>0</v>
      </c>
      <c r="AA10" s="4">
        <f>'תקציב הנדסה 2022 '!AA19</f>
        <v>0</v>
      </c>
      <c r="AB10" s="255" t="str">
        <f>'תקציב הנדסה 2022 '!AB19</f>
        <v>סל תכנון של תב"עות הנדרשות במהלך השנה כולל  תוכניות גגות מרתפים מבנים ציבוריים.</v>
      </c>
      <c r="AC10" s="3">
        <f>'תקציב הנדסה 2022 '!AC19</f>
        <v>732000</v>
      </c>
      <c r="AD10" s="190"/>
      <c r="AE10" s="278" t="s">
        <v>983</v>
      </c>
      <c r="AF10" s="278"/>
      <c r="AG10" s="7">
        <v>300000</v>
      </c>
      <c r="AH10" s="190">
        <v>300000</v>
      </c>
      <c r="AI10" s="7"/>
      <c r="AJ10" s="446">
        <f t="shared" si="0"/>
        <v>0</v>
      </c>
      <c r="AK10" s="449"/>
      <c r="AL10" s="7"/>
      <c r="AM10" s="7"/>
      <c r="AN10" s="4"/>
      <c r="AO10" s="7"/>
      <c r="AP10" s="7"/>
      <c r="AQ10" s="7"/>
      <c r="AR10" s="3" t="s">
        <v>984</v>
      </c>
      <c r="AS10" s="448"/>
      <c r="AT10" s="3" t="s">
        <v>984</v>
      </c>
      <c r="AU10" s="630"/>
      <c r="AV10" s="4"/>
      <c r="AW10" s="4">
        <v>-300000</v>
      </c>
      <c r="AX10" s="4">
        <v>300000</v>
      </c>
      <c r="AY10" s="4">
        <f>AX10-N10</f>
        <v>100000</v>
      </c>
      <c r="AZ10" s="4">
        <v>-300000</v>
      </c>
    </row>
    <row r="11" spans="1:52" s="5" customFormat="1" ht="45">
      <c r="A11" s="3">
        <f t="shared" si="1"/>
        <v>7</v>
      </c>
      <c r="B11" s="3">
        <f>'תקציב הנדסה 2022 '!B20</f>
        <v>1409</v>
      </c>
      <c r="C11" s="255" t="str">
        <f>'תקציב הנדסה 2022 '!C20</f>
        <v xml:space="preserve"> תוכנית המתאר הכוללנית </v>
      </c>
      <c r="D11" s="4">
        <f>'תקציב הנדסה 2022 '!D20</f>
        <v>7680000</v>
      </c>
      <c r="E11" s="4">
        <f>'תקציב הנדסה 2022 '!E20</f>
        <v>7680000</v>
      </c>
      <c r="F11" s="4">
        <f>'תקציב הנדסה 2022 '!F20</f>
        <v>0</v>
      </c>
      <c r="G11" s="4">
        <f>'תקציב הנדסה 2022 '!G20</f>
        <v>7330000</v>
      </c>
      <c r="H11" s="4">
        <f>'תקציב הנדסה 2022 '!H20</f>
        <v>5099564</v>
      </c>
      <c r="I11" s="4">
        <f>'תקציב הנדסה 2022 '!I20</f>
        <v>1314720</v>
      </c>
      <c r="J11" s="4">
        <f>'תקציב הנדסה 2022 '!J20</f>
        <v>2925</v>
      </c>
      <c r="K11" s="4">
        <f>'תקציב הנדסה 2022 '!K20</f>
        <v>1317645</v>
      </c>
      <c r="L11" s="4">
        <f>'תקציב הנדסה 2022 '!L20</f>
        <v>6417209</v>
      </c>
      <c r="M11" s="4">
        <f>'תקציב הנדסה 2022 '!M20</f>
        <v>12791</v>
      </c>
      <c r="N11" s="4">
        <f>'תקציב הנדסה 2022 '!N20</f>
        <v>800000</v>
      </c>
      <c r="O11" s="4">
        <f>'תקציב הנדסה 2022 '!O20</f>
        <v>450000</v>
      </c>
      <c r="P11" s="4">
        <f>'תקציב הנדסה 2022 '!P20</f>
        <v>912791</v>
      </c>
      <c r="Q11" s="4">
        <f>'תקציב הנדסה 2022 '!Q20</f>
        <v>0</v>
      </c>
      <c r="R11" s="4">
        <f>'תקציב הנדסה 2022 '!R20</f>
        <v>0</v>
      </c>
      <c r="S11" s="4">
        <f>'תקציב הנדסה 2022 '!S20</f>
        <v>0</v>
      </c>
      <c r="T11" s="4">
        <f>'תקציב הנדסה 2022 '!T20</f>
        <v>900000</v>
      </c>
      <c r="U11" s="4">
        <f>'תקציב הנדסה 2022 '!U20</f>
        <v>-100000</v>
      </c>
      <c r="V11" s="4">
        <f>'תקציב הנדסה 2022 '!V20</f>
        <v>-100000</v>
      </c>
      <c r="W11" s="4">
        <f>'תקציב הנדסה 2022 '!W20</f>
        <v>0</v>
      </c>
      <c r="X11" s="4">
        <f>'תקציב הנדסה 2022 '!X20</f>
        <v>0</v>
      </c>
      <c r="Y11" s="4">
        <f>'תקציב הנדסה 2022 '!Y20</f>
        <v>0</v>
      </c>
      <c r="Z11" s="4">
        <f>'תקציב הנדסה 2022 '!Z20</f>
        <v>0</v>
      </c>
      <c r="AA11" s="4">
        <f>'תקציב הנדסה 2022 '!AA20</f>
        <v>0</v>
      </c>
      <c r="AB11" s="255" t="str">
        <f>'תקציב הנדסה 2022 '!AB20</f>
        <v xml:space="preserve">הכנת תוכנית מתאר כוללנית על מנת לאפשר לעיריה לתכנן תוכניות בסמכות וועדה מקומית. </v>
      </c>
      <c r="AC11" s="3">
        <f>'תקציב הנדסה 2022 '!AC20</f>
        <v>732000</v>
      </c>
      <c r="AD11" s="190"/>
      <c r="AE11" s="278"/>
      <c r="AF11" s="278"/>
      <c r="AG11" s="3"/>
      <c r="AH11" s="190"/>
      <c r="AI11" s="3"/>
      <c r="AJ11" s="446">
        <f t="shared" si="0"/>
        <v>0</v>
      </c>
      <c r="AK11" s="449"/>
      <c r="AL11" s="3"/>
      <c r="AM11" s="3"/>
      <c r="AN11" s="4"/>
      <c r="AO11" s="3"/>
      <c r="AP11" s="3"/>
      <c r="AQ11" s="3"/>
      <c r="AR11" s="3"/>
      <c r="AS11" s="448"/>
      <c r="AT11" s="3"/>
      <c r="AU11" s="630"/>
      <c r="AV11" s="4"/>
      <c r="AW11" s="4">
        <v>-400000</v>
      </c>
      <c r="AX11" s="4"/>
      <c r="AY11" s="4"/>
      <c r="AZ11" s="4">
        <v>-400000</v>
      </c>
    </row>
    <row r="12" spans="1:52" s="5" customFormat="1" ht="90">
      <c r="A12" s="3">
        <f t="shared" si="1"/>
        <v>8</v>
      </c>
      <c r="B12" s="3">
        <f>'תקציב הנדסה 2022 '!B22</f>
        <v>1466</v>
      </c>
      <c r="C12" s="255" t="str">
        <f>'תקציב הנדסה 2022 '!C22</f>
        <v>תמ"א 38</v>
      </c>
      <c r="D12" s="4">
        <f>'תקציב הנדסה 2022 '!D22</f>
        <v>2200000</v>
      </c>
      <c r="E12" s="4">
        <f>'תקציב הנדסה 2022 '!E22</f>
        <v>2200000</v>
      </c>
      <c r="F12" s="4">
        <f>'תקציב הנדסה 2022 '!F22</f>
        <v>0</v>
      </c>
      <c r="G12" s="4">
        <f>'תקציב הנדסה 2022 '!G22</f>
        <v>1500000</v>
      </c>
      <c r="H12" s="4">
        <f>'תקציב הנדסה 2022 '!H22</f>
        <v>1277745</v>
      </c>
      <c r="I12" s="4">
        <f>'תקציב הנדסה 2022 '!I22</f>
        <v>0</v>
      </c>
      <c r="J12" s="4">
        <f>'תקציב הנדסה 2022 '!J22</f>
        <v>29681</v>
      </c>
      <c r="K12" s="4">
        <f>'תקציב הנדסה 2022 '!K22</f>
        <v>29681</v>
      </c>
      <c r="L12" s="4">
        <f>'תקציב הנדסה 2022 '!L22</f>
        <v>1307426</v>
      </c>
      <c r="M12" s="4">
        <f>'תקציב הנדסה 2022 '!M22</f>
        <v>142574</v>
      </c>
      <c r="N12" s="4">
        <f>'תקציב הנדסה 2022 '!N22</f>
        <v>400000</v>
      </c>
      <c r="O12" s="4">
        <f>'תקציב הנדסה 2022 '!O22</f>
        <v>350000</v>
      </c>
      <c r="P12" s="4">
        <f>'תקציב הנדסה 2022 '!P22</f>
        <v>192574</v>
      </c>
      <c r="Q12" s="4">
        <f>'תקציב הנדסה 2022 '!Q22</f>
        <v>0</v>
      </c>
      <c r="R12" s="4">
        <f>'תקציב הנדסה 2022 '!R22</f>
        <v>0</v>
      </c>
      <c r="S12" s="4">
        <f>'תקציב הנדסה 2022 '!S22</f>
        <v>0</v>
      </c>
      <c r="T12" s="4">
        <f>'תקציב הנדסה 2022 '!T22</f>
        <v>50000</v>
      </c>
      <c r="U12" s="4">
        <f>'תקציב הנדסה 2022 '!U22</f>
        <v>350000</v>
      </c>
      <c r="V12" s="4">
        <f>'תקציב הנדסה 2022 '!V22</f>
        <v>350000</v>
      </c>
      <c r="W12" s="4">
        <f>'תקציב הנדסה 2022 '!W22</f>
        <v>0</v>
      </c>
      <c r="X12" s="4">
        <f>'תקציב הנדסה 2022 '!X22</f>
        <v>0</v>
      </c>
      <c r="Y12" s="4">
        <f>'תקציב הנדסה 2022 '!Y22</f>
        <v>0</v>
      </c>
      <c r="Z12" s="4">
        <f>'תקציב הנדסה 2022 '!Z22</f>
        <v>0</v>
      </c>
      <c r="AA12" s="4">
        <f>'תקציב הנדסה 2022 '!AA22</f>
        <v>0</v>
      </c>
      <c r="AB12" s="255" t="str">
        <f>'תקציב הנדסה 2022 '!AB22</f>
        <v>העצמת הזכויות הנוספות לבנינים לצורך הגברת הכדאיות של ביצוע חיזוק מבנים. בדיקת מבנים קיימים להיתכנות תמ"א והתאמת המדיניות בעיר לתמ"א החדשה שטרם סוכמה.</v>
      </c>
      <c r="AC12" s="3">
        <f>'תקציב הנדסה 2022 '!AC22</f>
        <v>732000</v>
      </c>
      <c r="AD12" s="190"/>
      <c r="AE12" s="278" t="s">
        <v>962</v>
      </c>
      <c r="AF12" s="278"/>
      <c r="AG12" s="190">
        <v>100000</v>
      </c>
      <c r="AH12" s="190">
        <v>100000</v>
      </c>
      <c r="AI12" s="3"/>
      <c r="AJ12" s="446">
        <f t="shared" si="0"/>
        <v>0</v>
      </c>
      <c r="AK12" s="449"/>
      <c r="AL12" s="32"/>
      <c r="AM12" s="3"/>
      <c r="AN12" s="4"/>
      <c r="AO12" s="9" t="str">
        <f>AE12</f>
        <v>לקבל תאור עבודות ופרוט אומדן.</v>
      </c>
      <c r="AP12" s="3"/>
      <c r="AQ12" s="3"/>
      <c r="AR12" s="3" t="s">
        <v>987</v>
      </c>
      <c r="AS12" s="448" t="s">
        <v>988</v>
      </c>
      <c r="AT12" s="3" t="s">
        <v>987</v>
      </c>
      <c r="AU12" s="630"/>
      <c r="AV12" s="4"/>
      <c r="AW12" s="4">
        <v>-100000</v>
      </c>
      <c r="AX12" s="4"/>
      <c r="AY12" s="4"/>
      <c r="AZ12" s="4">
        <v>-100000</v>
      </c>
    </row>
    <row r="13" spans="1:52" s="5" customFormat="1" ht="60">
      <c r="A13" s="3">
        <f t="shared" si="1"/>
        <v>9</v>
      </c>
      <c r="B13" s="3">
        <f>'תקציב הנדסה 2022 '!B24</f>
        <v>1527</v>
      </c>
      <c r="C13" s="255" t="str">
        <f>'תקציב הנדסה 2022 '!C24</f>
        <v xml:space="preserve">התחדשות עירונית יד  התשעה </v>
      </c>
      <c r="D13" s="4">
        <f>'תקציב הנדסה 2022 '!D24</f>
        <v>3000000</v>
      </c>
      <c r="E13" s="4">
        <f>'תקציב הנדסה 2022 '!E24</f>
        <v>3000000</v>
      </c>
      <c r="F13" s="4">
        <f>'תקציב הנדסה 2022 '!F24</f>
        <v>0</v>
      </c>
      <c r="G13" s="4">
        <f>'תקציב הנדסה 2022 '!G24</f>
        <v>1200000</v>
      </c>
      <c r="H13" s="4">
        <f>'תקציב הנדסה 2022 '!H24</f>
        <v>821144</v>
      </c>
      <c r="I13" s="4">
        <f>'תקציב הנדסה 2022 '!I24</f>
        <v>0</v>
      </c>
      <c r="J13" s="4">
        <f>'תקציב הנדסה 2022 '!J24</f>
        <v>116813</v>
      </c>
      <c r="K13" s="4">
        <f>'תקציב הנדסה 2022 '!K24</f>
        <v>116813</v>
      </c>
      <c r="L13" s="4">
        <f>'תקציב הנדסה 2022 '!L24</f>
        <v>937957</v>
      </c>
      <c r="M13" s="4">
        <f>'תקציב הנדסה 2022 '!M24</f>
        <v>12043</v>
      </c>
      <c r="N13" s="4">
        <f>'תקציב הנדסה 2022 '!N24</f>
        <v>200000</v>
      </c>
      <c r="O13" s="4">
        <f>'תקציב הנדסה 2022 '!O24</f>
        <v>1850000</v>
      </c>
      <c r="P13" s="4">
        <f>'תקציב הנדסה 2022 '!P24</f>
        <v>262043</v>
      </c>
      <c r="Q13" s="4">
        <f>'תקציב הנדסה 2022 '!Q24</f>
        <v>0</v>
      </c>
      <c r="R13" s="4">
        <f>'תקציב הנדסה 2022 '!R24</f>
        <v>0</v>
      </c>
      <c r="S13" s="4">
        <f>'תקציב הנדסה 2022 '!S24</f>
        <v>0</v>
      </c>
      <c r="T13" s="4">
        <f>'תקציב הנדסה 2022 '!T24</f>
        <v>250000</v>
      </c>
      <c r="U13" s="4">
        <f>'תקציב הנדסה 2022 '!U24</f>
        <v>-50000</v>
      </c>
      <c r="V13" s="4">
        <f>'תקציב הנדסה 2022 '!V24</f>
        <v>-50000</v>
      </c>
      <c r="W13" s="4">
        <f>'תקציב הנדסה 2022 '!W24</f>
        <v>0</v>
      </c>
      <c r="X13" s="4">
        <f>'תקציב הנדסה 2022 '!X24</f>
        <v>0</v>
      </c>
      <c r="Y13" s="4">
        <f>'תקציב הנדסה 2022 '!Y24</f>
        <v>0</v>
      </c>
      <c r="Z13" s="4">
        <f>'תקציב הנדסה 2022 '!Z24</f>
        <v>0</v>
      </c>
      <c r="AA13" s="4">
        <f>'תקציב הנדסה 2022 '!AA24</f>
        <v>0</v>
      </c>
      <c r="AB13" s="255" t="str">
        <f>'תקציב הנדסה 2022 '!AB24</f>
        <v>תכנון התחדשות עירונית ביד התשעה במסגרת תוכנית כללית/תוכניות מתחמיות. 2022 : הכנת מסמך עקרונות.</v>
      </c>
      <c r="AC13" s="3">
        <f>'תקציב הנדסה 2022 '!AC24</f>
        <v>732000</v>
      </c>
      <c r="AD13" s="451"/>
      <c r="AE13" s="278"/>
      <c r="AF13" s="278"/>
      <c r="AG13" s="190"/>
      <c r="AH13" s="190"/>
      <c r="AI13" s="3"/>
      <c r="AJ13" s="446">
        <f t="shared" si="0"/>
        <v>0</v>
      </c>
      <c r="AK13" s="449"/>
      <c r="AL13" s="32"/>
      <c r="AM13" s="3"/>
      <c r="AN13" s="4"/>
      <c r="AO13" s="9"/>
      <c r="AP13" s="3"/>
      <c r="AQ13" s="3"/>
      <c r="AR13" s="3"/>
      <c r="AS13" s="448" t="s">
        <v>997</v>
      </c>
      <c r="AT13" s="3"/>
      <c r="AU13" s="630"/>
      <c r="AV13" s="4"/>
      <c r="AW13" s="4">
        <v>-50000</v>
      </c>
      <c r="AX13" s="4"/>
      <c r="AY13" s="4"/>
      <c r="AZ13" s="4">
        <v>-50000</v>
      </c>
    </row>
    <row r="14" spans="1:52" s="6" customFormat="1" ht="61.9" customHeight="1">
      <c r="A14" s="3">
        <f t="shared" si="1"/>
        <v>10</v>
      </c>
      <c r="B14" s="3">
        <f>'תקציב הנדסה 2022 '!B26</f>
        <v>1551</v>
      </c>
      <c r="C14" s="255" t="str">
        <f>'תקציב הנדסה 2022 '!C26</f>
        <v>צפון הרצליה הר' 2035</v>
      </c>
      <c r="D14" s="4">
        <f>'תקציב הנדסה 2022 '!D26</f>
        <v>525240</v>
      </c>
      <c r="E14" s="4">
        <f>'תקציב הנדסה 2022 '!E26</f>
        <v>525240</v>
      </c>
      <c r="F14" s="4">
        <f>'תקציב הנדסה 2022 '!F26</f>
        <v>0</v>
      </c>
      <c r="G14" s="4">
        <f>'תקציב הנדסה 2022 '!G26</f>
        <v>375240</v>
      </c>
      <c r="H14" s="4">
        <f>'תקציב הנדסה 2022 '!H26</f>
        <v>225965</v>
      </c>
      <c r="I14" s="4">
        <f>'תקציב הנדסה 2022 '!I26</f>
        <v>18729</v>
      </c>
      <c r="J14" s="4">
        <f>'תקציב הנדסה 2022 '!J26</f>
        <v>0</v>
      </c>
      <c r="K14" s="4">
        <f>'תקציב הנדסה 2022 '!K26</f>
        <v>18729</v>
      </c>
      <c r="L14" s="4">
        <f>'תקציב הנדסה 2022 '!L26</f>
        <v>244694</v>
      </c>
      <c r="M14" s="4">
        <f>'תקציב הנדסה 2022 '!M26</f>
        <v>30546</v>
      </c>
      <c r="N14" s="4">
        <f>'תקציב הנדסה 2022 '!N26</f>
        <v>100000</v>
      </c>
      <c r="O14" s="4">
        <f>'תקציב הנדסה 2022 '!O26</f>
        <v>150000</v>
      </c>
      <c r="P14" s="4">
        <f>'תקציב הנדסה 2022 '!P26</f>
        <v>130546</v>
      </c>
      <c r="Q14" s="4">
        <f>'תקציב הנדסה 2022 '!Q26</f>
        <v>0</v>
      </c>
      <c r="R14" s="4">
        <f>'תקציב הנדסה 2022 '!R26</f>
        <v>0</v>
      </c>
      <c r="S14" s="4">
        <f>'תקציב הנדסה 2022 '!S26</f>
        <v>0</v>
      </c>
      <c r="T14" s="4">
        <f>'תקציב הנדסה 2022 '!T26</f>
        <v>100000</v>
      </c>
      <c r="U14" s="4">
        <f>'תקציב הנדסה 2022 '!U26</f>
        <v>0</v>
      </c>
      <c r="V14" s="4">
        <f>'תקציב הנדסה 2022 '!V26</f>
        <v>0</v>
      </c>
      <c r="W14" s="4">
        <f>'תקציב הנדסה 2022 '!W26</f>
        <v>0</v>
      </c>
      <c r="X14" s="4">
        <f>'תקציב הנדסה 2022 '!X26</f>
        <v>0</v>
      </c>
      <c r="Y14" s="4">
        <f>'תקציב הנדסה 2022 '!Y26</f>
        <v>0</v>
      </c>
      <c r="Z14" s="4">
        <f>'תקציב הנדסה 2022 '!Z26</f>
        <v>0</v>
      </c>
      <c r="AA14" s="4">
        <f>'תקציב הנדסה 2022 '!AA26</f>
        <v>0</v>
      </c>
      <c r="AB14" s="255" t="str">
        <f>'תקציב הנדסה 2022 '!AB26</f>
        <v xml:space="preserve">הכנת חוו"ד תכנונית והערכות להתנגדות לתוכנית שמקדם מינהל התכנון והועדה המחוזית לכל צפון הרצליה ללא שיתוף העירייה. </v>
      </c>
      <c r="AC14" s="3">
        <f>'תקציב הנדסה 2022 '!AC26</f>
        <v>732000</v>
      </c>
      <c r="AD14" s="190"/>
      <c r="AE14" s="278"/>
      <c r="AF14" s="278"/>
      <c r="AG14" s="190"/>
      <c r="AH14" s="190"/>
      <c r="AI14" s="3"/>
      <c r="AJ14" s="446">
        <f t="shared" si="0"/>
        <v>0</v>
      </c>
      <c r="AK14" s="449"/>
      <c r="AL14" s="32"/>
      <c r="AM14" s="3"/>
      <c r="AN14" s="4"/>
      <c r="AO14" s="3"/>
      <c r="AP14" s="3" t="s">
        <v>999</v>
      </c>
      <c r="AQ14" s="3" t="s">
        <v>1000</v>
      </c>
      <c r="AR14" s="3"/>
      <c r="AS14" s="448"/>
      <c r="AT14" s="3"/>
      <c r="AU14" s="630"/>
      <c r="AV14" s="4"/>
      <c r="AW14" s="4"/>
      <c r="AX14" s="4"/>
      <c r="AY14" s="4"/>
      <c r="AZ14" s="4"/>
    </row>
    <row r="15" spans="1:52" s="5" customFormat="1" ht="30" customHeight="1">
      <c r="A15" s="3">
        <f t="shared" si="1"/>
        <v>11</v>
      </c>
      <c r="B15" s="3">
        <f>'תקציב הנדסה 2022 '!B28</f>
        <v>1576</v>
      </c>
      <c r="C15" s="255" t="str">
        <f>'תקציב הנדסה 2022 '!C28</f>
        <v>הוצאות אכיפה-דירות נופש במרינה</v>
      </c>
      <c r="D15" s="4">
        <f>'תקציב הנדסה 2022 '!D28</f>
        <v>1000000</v>
      </c>
      <c r="E15" s="4">
        <f>'תקציב הנדסה 2022 '!E28</f>
        <v>1000000</v>
      </c>
      <c r="F15" s="4">
        <f>'תקציב הנדסה 2022 '!F28</f>
        <v>0</v>
      </c>
      <c r="G15" s="4">
        <f>'תקציב הנדסה 2022 '!G28</f>
        <v>450000</v>
      </c>
      <c r="H15" s="4">
        <f>'תקציב הנדסה 2022 '!H28</f>
        <v>376310</v>
      </c>
      <c r="I15" s="4">
        <f>'תקציב הנדסה 2022 '!I28</f>
        <v>0</v>
      </c>
      <c r="J15" s="4">
        <f>'תקציב הנדסה 2022 '!J28</f>
        <v>0</v>
      </c>
      <c r="K15" s="4">
        <f>'תקציב הנדסה 2022 '!K28</f>
        <v>0</v>
      </c>
      <c r="L15" s="4">
        <f>'תקציב הנדסה 2022 '!L28</f>
        <v>376310</v>
      </c>
      <c r="M15" s="4">
        <f>'תקציב הנדסה 2022 '!M28</f>
        <v>23690</v>
      </c>
      <c r="N15" s="4">
        <f>'תקציב הנדסה 2022 '!N28</f>
        <v>50000</v>
      </c>
      <c r="O15" s="4">
        <f>'תקציב הנדסה 2022 '!O28</f>
        <v>550000</v>
      </c>
      <c r="P15" s="4">
        <f>'תקציב הנדסה 2022 '!P28</f>
        <v>73690</v>
      </c>
      <c r="Q15" s="4">
        <f>'תקציב הנדסה 2022 '!Q28</f>
        <v>0</v>
      </c>
      <c r="R15" s="4">
        <f>'תקציב הנדסה 2022 '!R28</f>
        <v>0</v>
      </c>
      <c r="S15" s="4">
        <f>'תקציב הנדסה 2022 '!S28</f>
        <v>0</v>
      </c>
      <c r="T15" s="4">
        <f>'תקציב הנדסה 2022 '!T28</f>
        <v>50000</v>
      </c>
      <c r="U15" s="4">
        <f>'תקציב הנדסה 2022 '!U28</f>
        <v>0</v>
      </c>
      <c r="V15" s="4">
        <f>'תקציב הנדסה 2022 '!V28</f>
        <v>0</v>
      </c>
      <c r="W15" s="4">
        <f>'תקציב הנדסה 2022 '!W28</f>
        <v>0</v>
      </c>
      <c r="X15" s="4">
        <f>'תקציב הנדסה 2022 '!X28</f>
        <v>0</v>
      </c>
      <c r="Y15" s="4">
        <f>'תקציב הנדסה 2022 '!Y28</f>
        <v>0</v>
      </c>
      <c r="Z15" s="4">
        <f>'תקציב הנדסה 2022 '!Z28</f>
        <v>0</v>
      </c>
      <c r="AA15" s="4">
        <f>'תקציב הנדסה 2022 '!AA28</f>
        <v>0</v>
      </c>
      <c r="AB15" s="255" t="str">
        <f>'תקציב הנדסה 2022 '!AB28</f>
        <v>עלויות אכיפה צווי בית משפט במרינה.</v>
      </c>
      <c r="AC15" s="3">
        <f>'תקציב הנדסה 2022 '!AC28</f>
        <v>732000</v>
      </c>
      <c r="AD15" s="190"/>
      <c r="AE15" s="278"/>
      <c r="AF15" s="278"/>
      <c r="AG15" s="190"/>
      <c r="AH15" s="190"/>
      <c r="AI15" s="3"/>
      <c r="AJ15" s="446">
        <f t="shared" si="0"/>
        <v>0</v>
      </c>
      <c r="AK15" s="449"/>
      <c r="AL15" s="32"/>
      <c r="AM15" s="3"/>
      <c r="AN15" s="4"/>
      <c r="AO15" s="3"/>
      <c r="AP15" s="3"/>
      <c r="AQ15" s="3"/>
      <c r="AR15" s="3"/>
      <c r="AS15" s="448"/>
      <c r="AT15" s="3"/>
      <c r="AU15" s="630"/>
      <c r="AV15" s="4"/>
      <c r="AW15" s="4"/>
      <c r="AX15" s="4"/>
      <c r="AY15" s="4"/>
      <c r="AZ15" s="4"/>
    </row>
    <row r="16" spans="1:52" s="5" customFormat="1" ht="60">
      <c r="A16" s="3">
        <f t="shared" si="1"/>
        <v>12</v>
      </c>
      <c r="B16" s="3">
        <f>'תקציב הנדסה 2022 '!B32</f>
        <v>1620</v>
      </c>
      <c r="C16" s="255" t="str">
        <f>'תקציב הנדסה 2022 '!C32</f>
        <v xml:space="preserve"> תכנון חיבוריות בין מזרח למערב </v>
      </c>
      <c r="D16" s="4">
        <f>'תקציב הנדסה 2022 '!D32</f>
        <v>1000000</v>
      </c>
      <c r="E16" s="4">
        <f>'תקציב הנדסה 2022 '!E32</f>
        <v>1000000</v>
      </c>
      <c r="F16" s="4">
        <f>'תקציב הנדסה 2022 '!F32</f>
        <v>0</v>
      </c>
      <c r="G16" s="4">
        <f>'תקציב הנדסה 2022 '!G32</f>
        <v>300000</v>
      </c>
      <c r="H16" s="4">
        <f>'תקציב הנדסה 2022 '!H32</f>
        <v>0</v>
      </c>
      <c r="I16" s="4">
        <f>'תקציב הנדסה 2022 '!I32</f>
        <v>0</v>
      </c>
      <c r="J16" s="4">
        <f>'תקציב הנדסה 2022 '!J32</f>
        <v>0</v>
      </c>
      <c r="K16" s="4">
        <f>'תקציב הנדסה 2022 '!K32</f>
        <v>0</v>
      </c>
      <c r="L16" s="4">
        <f>'תקציב הנדסה 2022 '!L32</f>
        <v>0</v>
      </c>
      <c r="M16" s="4">
        <f>'תקציב הנדסה 2022 '!M32</f>
        <v>0</v>
      </c>
      <c r="N16" s="4">
        <f>'תקציב הנדסה 2022 '!N32</f>
        <v>100000</v>
      </c>
      <c r="O16" s="4">
        <f>'תקציב הנדסה 2022 '!O32</f>
        <v>900000</v>
      </c>
      <c r="P16" s="4">
        <f>'תקציב הנדסה 2022 '!P32</f>
        <v>300000</v>
      </c>
      <c r="Q16" s="4">
        <f>'תקציב הנדסה 2022 '!Q32</f>
        <v>0</v>
      </c>
      <c r="R16" s="4">
        <f>'תקציב הנדסה 2022 '!R32</f>
        <v>0</v>
      </c>
      <c r="S16" s="4">
        <f>'תקציב הנדסה 2022 '!S32</f>
        <v>0</v>
      </c>
      <c r="T16" s="4">
        <f>'תקציב הנדסה 2022 '!T32</f>
        <v>300000</v>
      </c>
      <c r="U16" s="4">
        <f>'תקציב הנדסה 2022 '!U32</f>
        <v>-200000</v>
      </c>
      <c r="V16" s="4">
        <f>'תקציב הנדסה 2022 '!V32</f>
        <v>-200000</v>
      </c>
      <c r="W16" s="4">
        <f>'תקציב הנדסה 2022 '!W32</f>
        <v>0</v>
      </c>
      <c r="X16" s="4">
        <f>'תקציב הנדסה 2022 '!X32</f>
        <v>0</v>
      </c>
      <c r="Y16" s="4">
        <f>'תקציב הנדסה 2022 '!Y32</f>
        <v>0</v>
      </c>
      <c r="Z16" s="4">
        <f>'תקציב הנדסה 2022 '!Z32</f>
        <v>0</v>
      </c>
      <c r="AA16" s="4">
        <f>'תקציב הנדסה 2022 '!AA32</f>
        <v>0</v>
      </c>
      <c r="AB16" s="255" t="str">
        <f>'תקציב הנדסה 2022 '!AB32</f>
        <v>תכנון כולל לסוגיית חיזוק הקשר בין מזרח העיר למערבה באמצעות תוספות של גשרים להולכי רגל ורכב דו גלגלי.</v>
      </c>
      <c r="AC16" s="3">
        <f>'תקציב הנדסה 2022 '!AC32</f>
        <v>732000</v>
      </c>
      <c r="AD16" s="190"/>
      <c r="AE16" s="278" t="s">
        <v>1017</v>
      </c>
      <c r="AF16" s="278"/>
      <c r="AG16" s="190"/>
      <c r="AH16" s="190"/>
      <c r="AI16" s="3"/>
      <c r="AJ16" s="446">
        <f t="shared" si="0"/>
        <v>0</v>
      </c>
      <c r="AK16" s="449"/>
      <c r="AL16" s="32"/>
      <c r="AM16" s="3"/>
      <c r="AN16" s="4"/>
      <c r="AO16" s="16" t="str">
        <f>AE16</f>
        <v>תקציב ללא פעילות מ - 2015/2019. לדיון הנהלה.</v>
      </c>
      <c r="AP16" s="3"/>
      <c r="AQ16" s="3"/>
      <c r="AR16" s="3" t="s">
        <v>1017</v>
      </c>
      <c r="AS16" s="448" t="s">
        <v>1017</v>
      </c>
      <c r="AT16" s="3" t="s">
        <v>1017</v>
      </c>
      <c r="AU16" s="3" t="s">
        <v>1017</v>
      </c>
      <c r="AV16" s="4"/>
      <c r="AW16" s="4">
        <v>-300000</v>
      </c>
      <c r="AX16" s="4"/>
      <c r="AY16" s="4"/>
      <c r="AZ16" s="4">
        <v>-300000</v>
      </c>
    </row>
    <row r="17" spans="1:52" s="6" customFormat="1" ht="60">
      <c r="A17" s="3">
        <f t="shared" si="1"/>
        <v>13</v>
      </c>
      <c r="B17" s="3">
        <f>'תקציב הנדסה 2022 '!B33</f>
        <v>1660</v>
      </c>
      <c r="C17" s="255" t="str">
        <f>'תקציב הנדסה 2022 '!C33</f>
        <v>תכנון פרויקטים פינוי בינוי</v>
      </c>
      <c r="D17" s="4">
        <f>'תקציב הנדסה 2022 '!D33</f>
        <v>2000000</v>
      </c>
      <c r="E17" s="4">
        <f>'תקציב הנדסה 2022 '!E33</f>
        <v>2000000</v>
      </c>
      <c r="F17" s="4">
        <f>'תקציב הנדסה 2022 '!F33</f>
        <v>0</v>
      </c>
      <c r="G17" s="4">
        <f>'תקציב הנדסה 2022 '!G33</f>
        <v>1100000</v>
      </c>
      <c r="H17" s="4">
        <f>'תקציב הנדסה 2022 '!H33</f>
        <v>163894</v>
      </c>
      <c r="I17" s="4">
        <f>'תקציב הנדסה 2022 '!I33</f>
        <v>284310</v>
      </c>
      <c r="J17" s="4">
        <f>'תקציב הנדסה 2022 '!J33</f>
        <v>142597</v>
      </c>
      <c r="K17" s="4">
        <f>'תקציב הנדסה 2022 '!K33</f>
        <v>426907</v>
      </c>
      <c r="L17" s="4">
        <f>'תקציב הנדסה 2022 '!L33</f>
        <v>590801</v>
      </c>
      <c r="M17" s="4">
        <f>'תקציב הנדסה 2022 '!M33</f>
        <v>209199</v>
      </c>
      <c r="N17" s="4">
        <f>'תקציב הנדסה 2022 '!N33</f>
        <v>400000</v>
      </c>
      <c r="O17" s="4">
        <f>'תקציב הנדסה 2022 '!O33</f>
        <v>800000</v>
      </c>
      <c r="P17" s="4">
        <f>'תקציב הנדסה 2022 '!P33</f>
        <v>509199</v>
      </c>
      <c r="Q17" s="4">
        <f>'תקציב הנדסה 2022 '!Q33</f>
        <v>0</v>
      </c>
      <c r="R17" s="4">
        <f>'תקציב הנדסה 2022 '!R33</f>
        <v>0</v>
      </c>
      <c r="S17" s="4">
        <f>'תקציב הנדסה 2022 '!S33</f>
        <v>0</v>
      </c>
      <c r="T17" s="4">
        <f>'תקציב הנדסה 2022 '!T33</f>
        <v>300000</v>
      </c>
      <c r="U17" s="4">
        <f>'תקציב הנדסה 2022 '!U33</f>
        <v>100000</v>
      </c>
      <c r="V17" s="4">
        <f>'תקציב הנדסה 2022 '!V33</f>
        <v>100000</v>
      </c>
      <c r="W17" s="4">
        <f>'תקציב הנדסה 2022 '!W33</f>
        <v>0</v>
      </c>
      <c r="X17" s="4">
        <f>'תקציב הנדסה 2022 '!X33</f>
        <v>0</v>
      </c>
      <c r="Y17" s="4">
        <f>'תקציב הנדסה 2022 '!Y33</f>
        <v>0</v>
      </c>
      <c r="Z17" s="4">
        <f>'תקציב הנדסה 2022 '!Z33</f>
        <v>0</v>
      </c>
      <c r="AA17" s="4">
        <f>'תקציב הנדסה 2022 '!AA33</f>
        <v>0</v>
      </c>
      <c r="AB17" s="255" t="str">
        <f>'תקציב הנדסה 2022 '!AB33</f>
        <v>בדיקת התכנות של מתחמי פינוי בינוי ותכנון פרויקטים להתחדשות עירונית ופינוי בינוי. איחוד עם תב"ר 1674.</v>
      </c>
      <c r="AC17" s="3">
        <f>'תקציב הנדסה 2022 '!AC33</f>
        <v>732000</v>
      </c>
      <c r="AD17" s="190"/>
      <c r="AE17" s="278" t="s">
        <v>1018</v>
      </c>
      <c r="AF17" s="278"/>
      <c r="AG17" s="190">
        <v>200000</v>
      </c>
      <c r="AH17" s="190">
        <v>200000</v>
      </c>
      <c r="AI17" s="7"/>
      <c r="AJ17" s="446">
        <f t="shared" si="0"/>
        <v>0</v>
      </c>
      <c r="AK17" s="449"/>
      <c r="AL17" s="32"/>
      <c r="AM17" s="7"/>
      <c r="AN17" s="4"/>
      <c r="AO17" s="16"/>
      <c r="AP17" s="7"/>
      <c r="AQ17" s="7"/>
      <c r="AR17" s="3" t="s">
        <v>1019</v>
      </c>
      <c r="AS17" s="448"/>
      <c r="AT17" s="3" t="s">
        <v>1019</v>
      </c>
      <c r="AU17" s="630"/>
      <c r="AV17" s="4"/>
      <c r="AW17" s="4">
        <v>-100000</v>
      </c>
      <c r="AX17" s="4"/>
      <c r="AY17" s="4"/>
      <c r="AZ17" s="4">
        <v>-100000</v>
      </c>
    </row>
    <row r="18" spans="1:52" s="6" customFormat="1" ht="45">
      <c r="A18" s="3">
        <f t="shared" si="1"/>
        <v>14</v>
      </c>
      <c r="B18" s="3">
        <f>'תקציב הנדסה 2022 '!B34</f>
        <v>1674</v>
      </c>
      <c r="C18" s="255" t="str">
        <f>'תקציב הנדסה 2022 '!C34</f>
        <v>התחדשות עירונית</v>
      </c>
      <c r="D18" s="4">
        <f>'תקציב הנדסה 2022 '!D34</f>
        <v>1800000</v>
      </c>
      <c r="E18" s="4">
        <f>'תקציב הנדסה 2022 '!E34</f>
        <v>1800000</v>
      </c>
      <c r="F18" s="4">
        <f>'תקציב הנדסה 2022 '!F34</f>
        <v>0</v>
      </c>
      <c r="G18" s="4">
        <f>'תקציב הנדסה 2022 '!G34</f>
        <v>1800000</v>
      </c>
      <c r="H18" s="4">
        <f>'תקציב הנדסה 2022 '!H34</f>
        <v>1565978</v>
      </c>
      <c r="I18" s="4">
        <f>'תקציב הנדסה 2022 '!I34</f>
        <v>104490</v>
      </c>
      <c r="J18" s="4">
        <f>'תקציב הנדסה 2022 '!J34</f>
        <v>88003</v>
      </c>
      <c r="K18" s="4">
        <f>'תקציב הנדסה 2022 '!K34</f>
        <v>192493</v>
      </c>
      <c r="L18" s="4">
        <f>'תקציב הנדסה 2022 '!L34</f>
        <v>1758471</v>
      </c>
      <c r="M18" s="4">
        <f>'תקציב הנדסה 2022 '!M34</f>
        <v>41529</v>
      </c>
      <c r="N18" s="4">
        <f>'תקציב הנדסה 2022 '!N34</f>
        <v>0</v>
      </c>
      <c r="O18" s="4">
        <f>'תקציב הנדסה 2022 '!O34</f>
        <v>0</v>
      </c>
      <c r="P18" s="4">
        <f>'תקציב הנדסה 2022 '!P34</f>
        <v>41529</v>
      </c>
      <c r="Q18" s="4">
        <f>'תקציב הנדסה 2022 '!Q34</f>
        <v>0</v>
      </c>
      <c r="R18" s="4">
        <f>'תקציב הנדסה 2022 '!R34</f>
        <v>0</v>
      </c>
      <c r="S18" s="4">
        <f>'תקציב הנדסה 2022 '!S34</f>
        <v>0</v>
      </c>
      <c r="T18" s="4">
        <f>'תקציב הנדסה 2022 '!T34</f>
        <v>0</v>
      </c>
      <c r="U18" s="4">
        <f>'תקציב הנדסה 2022 '!U34</f>
        <v>0</v>
      </c>
      <c r="V18" s="4">
        <f>'תקציב הנדסה 2022 '!V34</f>
        <v>0</v>
      </c>
      <c r="W18" s="4">
        <f>'תקציב הנדסה 2022 '!W34</f>
        <v>0</v>
      </c>
      <c r="X18" s="4">
        <f>'תקציב הנדסה 2022 '!X34</f>
        <v>0</v>
      </c>
      <c r="Y18" s="4">
        <f>'תקציב הנדסה 2022 '!Y34</f>
        <v>0</v>
      </c>
      <c r="Z18" s="4">
        <f>'תקציב הנדסה 2022 '!Z34</f>
        <v>0</v>
      </c>
      <c r="AA18" s="4">
        <f>'תקציב הנדסה 2022 '!AA34</f>
        <v>0</v>
      </c>
      <c r="AB18" s="255" t="str">
        <f>'תקציב הנדסה 2022 '!AB34</f>
        <v>בדיקת התכנות טרם קביעת ותוך כדי בחינת מתחמי פינוי בינוי. ראה תב"ר 1660.</v>
      </c>
      <c r="AC18" s="3">
        <f>'תקציב הנדסה 2022 '!AC34</f>
        <v>732000</v>
      </c>
      <c r="AD18" s="450" t="s">
        <v>1020</v>
      </c>
      <c r="AE18" s="278" t="s">
        <v>1021</v>
      </c>
      <c r="AF18" s="278"/>
      <c r="AG18" s="378"/>
      <c r="AH18" s="190"/>
      <c r="AI18" s="7"/>
      <c r="AJ18" s="446">
        <f t="shared" si="0"/>
        <v>0</v>
      </c>
      <c r="AK18" s="449"/>
      <c r="AL18" s="32"/>
      <c r="AM18" s="7"/>
      <c r="AN18" s="4"/>
      <c r="AO18" s="16" t="str">
        <f>AE18</f>
        <v>לבדוק סגירת שריונים ולסגור תבר. (איחוד עם תב"ר 1660).</v>
      </c>
      <c r="AP18" s="7"/>
      <c r="AQ18" s="7"/>
      <c r="AR18" s="3" t="s">
        <v>1022</v>
      </c>
      <c r="AS18" s="448"/>
      <c r="AT18" s="3" t="s">
        <v>1022</v>
      </c>
      <c r="AU18" s="630"/>
      <c r="AV18" s="4"/>
      <c r="AW18" s="4"/>
      <c r="AX18" s="4"/>
      <c r="AY18" s="4"/>
      <c r="AZ18" s="4"/>
    </row>
    <row r="19" spans="1:52" s="6" customFormat="1" ht="60">
      <c r="A19" s="3">
        <f t="shared" si="1"/>
        <v>15</v>
      </c>
      <c r="B19" s="3">
        <f>'תקציב הנדסה 2022 '!B35</f>
        <v>1692</v>
      </c>
      <c r="C19" s="255" t="str">
        <f>'תקציב הנדסה 2022 '!C35</f>
        <v>פינוי בינוי מעונות שרה</v>
      </c>
      <c r="D19" s="4">
        <f>'תקציב הנדסה 2022 '!D35</f>
        <v>2450000</v>
      </c>
      <c r="E19" s="4">
        <f>'תקציב הנדסה 2022 '!E35</f>
        <v>2450000</v>
      </c>
      <c r="F19" s="4">
        <f>'תקציב הנדסה 2022 '!F35</f>
        <v>0</v>
      </c>
      <c r="G19" s="4">
        <f>'תקציב הנדסה 2022 '!G35</f>
        <v>1746509</v>
      </c>
      <c r="H19" s="4">
        <f>'תקציב הנדסה 2022 '!H35</f>
        <v>578671</v>
      </c>
      <c r="I19" s="4">
        <f>'תקציב הנדסה 2022 '!I35</f>
        <v>128716</v>
      </c>
      <c r="J19" s="4">
        <f>'תקציב הנדסה 2022 '!J35</f>
        <v>0</v>
      </c>
      <c r="K19" s="4">
        <f>'תקציב הנדסה 2022 '!K35</f>
        <v>128716</v>
      </c>
      <c r="L19" s="4">
        <f>'תקציב הנדסה 2022 '!L35</f>
        <v>707387</v>
      </c>
      <c r="M19" s="4">
        <f>'תקציב הנדסה 2022 '!M35</f>
        <v>39122</v>
      </c>
      <c r="N19" s="4">
        <f>'תקציב הנדסה 2022 '!N35</f>
        <v>1000000</v>
      </c>
      <c r="O19" s="4">
        <f>'תקציב הנדסה 2022 '!O35</f>
        <v>703491</v>
      </c>
      <c r="P19" s="4">
        <f>'תקציב הנדסה 2022 '!P35</f>
        <v>1039122</v>
      </c>
      <c r="Q19" s="4">
        <f>'תקציב הנדסה 2022 '!Q35</f>
        <v>0</v>
      </c>
      <c r="R19" s="4">
        <f>'תקציב הנדסה 2022 '!R35</f>
        <v>0</v>
      </c>
      <c r="S19" s="4">
        <f>'תקציב הנדסה 2022 '!S35</f>
        <v>0</v>
      </c>
      <c r="T19" s="4">
        <f>'תקציב הנדסה 2022 '!T35</f>
        <v>1000000</v>
      </c>
      <c r="U19" s="4">
        <f>'תקציב הנדסה 2022 '!U35</f>
        <v>0</v>
      </c>
      <c r="V19" s="4">
        <f>'תקציב הנדסה 2022 '!V35</f>
        <v>-64226</v>
      </c>
      <c r="W19" s="4">
        <f>'תקציב הנדסה 2022 '!W35</f>
        <v>0</v>
      </c>
      <c r="X19" s="4">
        <f>'תקציב הנדסה 2022 '!X35</f>
        <v>0</v>
      </c>
      <c r="Y19" s="4">
        <f>'תקציב הנדסה 2022 '!Y35</f>
        <v>0</v>
      </c>
      <c r="Z19" s="4">
        <f>'תקציב הנדסה 2022 '!Z35</f>
        <v>0</v>
      </c>
      <c r="AA19" s="4">
        <f>'תקציב הנדסה 2022 '!AA35</f>
        <v>64226</v>
      </c>
      <c r="AB19" s="255" t="str">
        <f>'תקציב הנדסה 2022 '!AB35</f>
        <v>תכנון מתחם מעונות שרה לפינוי ובינוי.התוכנית בשלב סטוטורי מתקדם - בשלב הפקדה. מימון מ. הבינוי.</v>
      </c>
      <c r="AC19" s="3">
        <f>'תקציב הנדסה 2022 '!AC35</f>
        <v>732000</v>
      </c>
      <c r="AD19" s="190"/>
      <c r="AE19" s="278" t="s">
        <v>1023</v>
      </c>
      <c r="AF19" s="278"/>
      <c r="AG19" s="3"/>
      <c r="AH19" s="190"/>
      <c r="AI19" s="3"/>
      <c r="AJ19" s="446">
        <f t="shared" si="0"/>
        <v>0</v>
      </c>
      <c r="AK19" s="449" t="s">
        <v>1024</v>
      </c>
      <c r="AL19" s="32"/>
      <c r="AM19" s="3"/>
      <c r="AN19" s="4"/>
      <c r="AO19" s="16" t="s">
        <v>1025</v>
      </c>
      <c r="AP19" s="3"/>
      <c r="AQ19" s="3"/>
      <c r="AR19" s="3"/>
      <c r="AS19" s="448"/>
      <c r="AT19" s="3"/>
      <c r="AU19" s="630"/>
      <c r="AV19" s="4"/>
      <c r="AW19" s="4"/>
      <c r="AX19" s="4"/>
      <c r="AY19" s="4"/>
      <c r="AZ19" s="4"/>
    </row>
    <row r="20" spans="1:52" s="5" customFormat="1" ht="45">
      <c r="A20" s="3">
        <f t="shared" si="1"/>
        <v>16</v>
      </c>
      <c r="B20" s="3">
        <f>'תקציב הנדסה 2022 '!B36</f>
        <v>1701</v>
      </c>
      <c r="C20" s="255" t="str">
        <f>'תקציב הנדסה 2022 '!C36</f>
        <v>תב"ע הר' 2394 (לשעבר הר  2159 )</v>
      </c>
      <c r="D20" s="4">
        <f>'תקציב הנדסה 2022 '!D36</f>
        <v>1250000</v>
      </c>
      <c r="E20" s="4">
        <f>'תקציב הנדסה 2022 '!E36</f>
        <v>1250000</v>
      </c>
      <c r="F20" s="4">
        <f>'תקציב הנדסה 2022 '!F36</f>
        <v>0</v>
      </c>
      <c r="G20" s="4">
        <f>'תקציב הנדסה 2022 '!G36</f>
        <v>570000</v>
      </c>
      <c r="H20" s="4">
        <f>'תקציב הנדסה 2022 '!H36</f>
        <v>149316</v>
      </c>
      <c r="I20" s="4">
        <f>'תקציב הנדסה 2022 '!I36</f>
        <v>75117</v>
      </c>
      <c r="J20" s="4">
        <f>'תקציב הנדסה 2022 '!J36</f>
        <v>263559</v>
      </c>
      <c r="K20" s="4">
        <f>'תקציב הנדסה 2022 '!K36</f>
        <v>338676</v>
      </c>
      <c r="L20" s="4">
        <f>'תקציב הנדסה 2022 '!L36</f>
        <v>487992</v>
      </c>
      <c r="M20" s="4">
        <f>'תקציב הנדסה 2022 '!M36</f>
        <v>82008</v>
      </c>
      <c r="N20" s="4">
        <f>'תקציב הנדסה 2022 '!N36</f>
        <v>0</v>
      </c>
      <c r="O20" s="4">
        <f>'תקציב הנדסה 2022 '!O36</f>
        <v>680000</v>
      </c>
      <c r="P20" s="4">
        <f>'תקציב הנדסה 2022 '!P36</f>
        <v>82008</v>
      </c>
      <c r="Q20" s="4">
        <f>'תקציב הנדסה 2022 '!Q36</f>
        <v>0</v>
      </c>
      <c r="R20" s="4">
        <f>'תקציב הנדסה 2022 '!R36</f>
        <v>0</v>
      </c>
      <c r="S20" s="4">
        <f>'תקציב הנדסה 2022 '!S36</f>
        <v>0</v>
      </c>
      <c r="T20" s="4">
        <f>'תקציב הנדסה 2022 '!T36</f>
        <v>0</v>
      </c>
      <c r="U20" s="4">
        <f>'תקציב הנדסה 2022 '!U36</f>
        <v>0</v>
      </c>
      <c r="V20" s="4">
        <f>'תקציב הנדסה 2022 '!V36</f>
        <v>0</v>
      </c>
      <c r="W20" s="4">
        <f>'תקציב הנדסה 2022 '!W36</f>
        <v>0</v>
      </c>
      <c r="X20" s="4">
        <f>'תקציב הנדסה 2022 '!X36</f>
        <v>0</v>
      </c>
      <c r="Y20" s="4">
        <f>'תקציב הנדסה 2022 '!Y36</f>
        <v>0</v>
      </c>
      <c r="Z20" s="4">
        <f>'תקציב הנדסה 2022 '!Z36</f>
        <v>0</v>
      </c>
      <c r="AA20" s="4">
        <f>'תקציב הנדסה 2022 '!AA36</f>
        <v>0</v>
      </c>
      <c r="AB20" s="255" t="str">
        <f>'תקציב הנדסה 2022 '!AB36</f>
        <v xml:space="preserve">תכנון תב"ע לשכונה חדשה בהרצליה הצעירה. שטח בגודל של כ - 50 דונם , כ - 300 יח"ד. </v>
      </c>
      <c r="AC20" s="3">
        <f>'תקציב הנדסה 2022 '!AC36</f>
        <v>732000</v>
      </c>
      <c r="AD20" s="190"/>
      <c r="AE20" s="278" t="s">
        <v>1026</v>
      </c>
      <c r="AF20" s="278"/>
      <c r="AG20" s="190"/>
      <c r="AH20" s="190"/>
      <c r="AI20" s="3"/>
      <c r="AJ20" s="446">
        <f t="shared" si="0"/>
        <v>0</v>
      </c>
      <c r="AK20" s="449"/>
      <c r="AL20" s="32"/>
      <c r="AM20" s="3"/>
      <c r="AN20" s="4"/>
      <c r="AO20" s="16"/>
      <c r="AP20" s="3"/>
      <c r="AQ20" s="3"/>
      <c r="AR20" s="3" t="s">
        <v>1027</v>
      </c>
      <c r="AS20" s="448"/>
      <c r="AT20" s="3" t="s">
        <v>1027</v>
      </c>
      <c r="AU20" s="630"/>
      <c r="AV20" s="4"/>
      <c r="AW20" s="4"/>
      <c r="AX20" s="4"/>
      <c r="AY20" s="4"/>
      <c r="AZ20" s="4"/>
    </row>
    <row r="21" spans="1:52" s="5" customFormat="1" ht="75">
      <c r="A21" s="3">
        <f t="shared" si="1"/>
        <v>17</v>
      </c>
      <c r="B21" s="3">
        <f>'תקציב הנדסה 2022 '!B39</f>
        <v>1756</v>
      </c>
      <c r="C21" s="255" t="str">
        <f>'תקציב הנדסה 2022 '!C39</f>
        <v xml:space="preserve">מסמכי מדיניות  ותוכניות אסטרטגיות להתחדשות עירונית בשכונות </v>
      </c>
      <c r="D21" s="4">
        <f>'תקציב הנדסה 2022 '!D39</f>
        <v>1700000</v>
      </c>
      <c r="E21" s="4">
        <f>'תקציב הנדסה 2022 '!E39</f>
        <v>1700000</v>
      </c>
      <c r="F21" s="4">
        <f>'תקציב הנדסה 2022 '!F39</f>
        <v>0</v>
      </c>
      <c r="G21" s="4">
        <f>'תקציב הנדסה 2022 '!G39</f>
        <v>1100000</v>
      </c>
      <c r="H21" s="4">
        <f>'תקציב הנדסה 2022 '!H39</f>
        <v>409839</v>
      </c>
      <c r="I21" s="4">
        <f>'תקציב הנדסה 2022 '!I39</f>
        <v>34632</v>
      </c>
      <c r="J21" s="4">
        <f>'תקציב הנדסה 2022 '!J39</f>
        <v>49469</v>
      </c>
      <c r="K21" s="4">
        <f>'תקציב הנדסה 2022 '!K39</f>
        <v>84101</v>
      </c>
      <c r="L21" s="4">
        <f>'תקציב הנדסה 2022 '!L39</f>
        <v>493940</v>
      </c>
      <c r="M21" s="4">
        <f>'תקציב הנדסה 2022 '!M39</f>
        <v>6060</v>
      </c>
      <c r="N21" s="4">
        <f>'תקציב הנדסה 2022 '!N39</f>
        <v>500000</v>
      </c>
      <c r="O21" s="4">
        <f>'תקציב הנדסה 2022 '!O39</f>
        <v>700000</v>
      </c>
      <c r="P21" s="4">
        <f>'תקציב הנדסה 2022 '!P39</f>
        <v>606060</v>
      </c>
      <c r="Q21" s="4">
        <f>'תקציב הנדסה 2022 '!Q39</f>
        <v>0</v>
      </c>
      <c r="R21" s="4">
        <f>'תקציב הנדסה 2022 '!R39</f>
        <v>0</v>
      </c>
      <c r="S21" s="4">
        <f>'תקציב הנדסה 2022 '!S39</f>
        <v>0</v>
      </c>
      <c r="T21" s="4">
        <f>'תקציב הנדסה 2022 '!T39</f>
        <v>600000</v>
      </c>
      <c r="U21" s="4">
        <f>'תקציב הנדסה 2022 '!U39</f>
        <v>-100000</v>
      </c>
      <c r="V21" s="4">
        <f>'תקציב הנדסה 2022 '!V39</f>
        <v>-100000</v>
      </c>
      <c r="W21" s="4">
        <f>'תקציב הנדסה 2022 '!W39</f>
        <v>0</v>
      </c>
      <c r="X21" s="4">
        <f>'תקציב הנדסה 2022 '!X39</f>
        <v>0</v>
      </c>
      <c r="Y21" s="4">
        <f>'תקציב הנדסה 2022 '!Y39</f>
        <v>0</v>
      </c>
      <c r="Z21" s="4">
        <f>'תקציב הנדסה 2022 '!Z39</f>
        <v>0</v>
      </c>
      <c r="AA21" s="4">
        <f>'תקציב הנדסה 2022 '!AA39</f>
        <v>0</v>
      </c>
      <c r="AB21" s="255" t="str">
        <f>'תקציב הנדסה 2022 '!AB39</f>
        <v>הכנת מסמכי מדיניות להתחדשות עירונית בשכונות לגיבוש מדיניות לחידוש המרקם הקיים בשכונות. רח' הרב קוק  , רח' בן גוריון ,תוכנית הר/2213. איחוד עם תב"ר 1759.</v>
      </c>
      <c r="AC21" s="3">
        <f>'תקציב הנדסה 2022 '!AC39</f>
        <v>732000</v>
      </c>
      <c r="AD21" s="190"/>
      <c r="AE21" s="278" t="s">
        <v>983</v>
      </c>
      <c r="AF21" s="278"/>
      <c r="AG21" s="190"/>
      <c r="AH21" s="190"/>
      <c r="AI21" s="3"/>
      <c r="AJ21" s="446">
        <f t="shared" si="0"/>
        <v>0</v>
      </c>
      <c r="AK21" s="449"/>
      <c r="AL21" s="32"/>
      <c r="AM21" s="3"/>
      <c r="AN21" s="4"/>
      <c r="AO21" s="16"/>
      <c r="AP21" s="3"/>
      <c r="AQ21" s="3"/>
      <c r="AR21" s="3"/>
      <c r="AS21" s="448"/>
      <c r="AT21" s="3"/>
      <c r="AU21" s="630"/>
      <c r="AV21" s="4"/>
      <c r="AW21" s="4">
        <v>-100000</v>
      </c>
      <c r="AX21" s="4"/>
      <c r="AY21" s="4"/>
      <c r="AZ21" s="4">
        <v>-200000</v>
      </c>
    </row>
    <row r="22" spans="1:52" s="5" customFormat="1" ht="90">
      <c r="A22" s="3">
        <f t="shared" si="1"/>
        <v>18</v>
      </c>
      <c r="B22" s="3">
        <f>'תקציב הנדסה 2022 '!B40</f>
        <v>1759</v>
      </c>
      <c r="C22" s="255" t="str">
        <f>'תקציב הנדסה 2022 '!C40</f>
        <v xml:space="preserve">תוכנית אסטרטגית להתייעלות עירונית במרכז העיר ובשכונות </v>
      </c>
      <c r="D22" s="4">
        <f>'תקציב הנדסה 2022 '!D40</f>
        <v>500000</v>
      </c>
      <c r="E22" s="4">
        <f>'תקציב הנדסה 2022 '!E40</f>
        <v>500000</v>
      </c>
      <c r="F22" s="4">
        <f>'תקציב הנדסה 2022 '!F40</f>
        <v>0</v>
      </c>
      <c r="G22" s="4">
        <f>'תקציב הנדסה 2022 '!G40</f>
        <v>500000</v>
      </c>
      <c r="H22" s="4">
        <f>'תקציב הנדסה 2022 '!H40</f>
        <v>478660</v>
      </c>
      <c r="I22" s="4">
        <f>'תקציב הנדסה 2022 '!I40</f>
        <v>0</v>
      </c>
      <c r="J22" s="4">
        <f>'תקציב הנדסה 2022 '!J40</f>
        <v>17152</v>
      </c>
      <c r="K22" s="4">
        <f>'תקציב הנדסה 2022 '!K40</f>
        <v>17152</v>
      </c>
      <c r="L22" s="4">
        <f>'תקציב הנדסה 2022 '!L40</f>
        <v>495812</v>
      </c>
      <c r="M22" s="4">
        <f>'תקציב הנדסה 2022 '!M40</f>
        <v>4188</v>
      </c>
      <c r="N22" s="4">
        <f>'תקציב הנדסה 2022 '!N40</f>
        <v>0</v>
      </c>
      <c r="O22" s="4">
        <f>'תקציב הנדסה 2022 '!O40</f>
        <v>0</v>
      </c>
      <c r="P22" s="4">
        <f>'תקציב הנדסה 2022 '!P40</f>
        <v>4188</v>
      </c>
      <c r="Q22" s="4">
        <f>'תקציב הנדסה 2022 '!Q40</f>
        <v>0</v>
      </c>
      <c r="R22" s="4">
        <f>'תקציב הנדסה 2022 '!R40</f>
        <v>0</v>
      </c>
      <c r="S22" s="4">
        <f>'תקציב הנדסה 2022 '!S40</f>
        <v>0</v>
      </c>
      <c r="T22" s="4">
        <f>'תקציב הנדסה 2022 '!T40</f>
        <v>0</v>
      </c>
      <c r="U22" s="4">
        <f>'תקציב הנדסה 2022 '!U40</f>
        <v>0</v>
      </c>
      <c r="V22" s="4">
        <f>'תקציב הנדסה 2022 '!V40</f>
        <v>0</v>
      </c>
      <c r="W22" s="4">
        <f>'תקציב הנדסה 2022 '!W40</f>
        <v>0</v>
      </c>
      <c r="X22" s="4">
        <f>'תקציב הנדסה 2022 '!X40</f>
        <v>0</v>
      </c>
      <c r="Y22" s="4">
        <f>'תקציב הנדסה 2022 '!Y40</f>
        <v>0</v>
      </c>
      <c r="Z22" s="4">
        <f>'תקציב הנדסה 2022 '!Z40</f>
        <v>0</v>
      </c>
      <c r="AA22" s="4">
        <f>'תקציב הנדסה 2022 '!AA40</f>
        <v>0</v>
      </c>
      <c r="AB22" s="255" t="str">
        <f>'תקציב הנדסה 2022 '!AB40</f>
        <v xml:space="preserve">תוכנית לצורך מידע מה וכמה ניתן לבנות  בהתאם לתשתיות הקיימות במרכז ותוכנית לבחינת הנדרש לאוכלוסיה בשכונות עפ"י תחזיות גידול האוכלוסיה. התב"ר לסגירה. ראה תב"ר 1756. </v>
      </c>
      <c r="AC22" s="3">
        <f>'תקציב הנדסה 2022 '!AC40</f>
        <v>732000</v>
      </c>
      <c r="AD22" s="450" t="s">
        <v>1020</v>
      </c>
      <c r="AE22" s="278" t="s">
        <v>1043</v>
      </c>
      <c r="AF22" s="278"/>
      <c r="AG22" s="190"/>
      <c r="AH22" s="190"/>
      <c r="AI22" s="3"/>
      <c r="AJ22" s="446">
        <f t="shared" si="0"/>
        <v>0</v>
      </c>
      <c r="AK22" s="449"/>
      <c r="AL22" s="32"/>
      <c r="AM22" s="3"/>
      <c r="AN22" s="4"/>
      <c r="AO22" s="16" t="str">
        <f>AE22</f>
        <v>לבדוק סגירת שריונים  ולסגור תבר (איחוד עם תב"ר 1756).</v>
      </c>
      <c r="AP22" s="3"/>
      <c r="AQ22" s="3"/>
      <c r="AR22" s="3" t="s">
        <v>679</v>
      </c>
      <c r="AS22" s="448"/>
      <c r="AT22" s="3"/>
      <c r="AU22" s="630"/>
      <c r="AV22" s="4"/>
      <c r="AW22" s="4"/>
      <c r="AX22" s="4"/>
      <c r="AY22" s="4"/>
      <c r="AZ22" s="4"/>
    </row>
    <row r="23" spans="1:52" s="5" customFormat="1" ht="90">
      <c r="A23" s="3">
        <f t="shared" si="1"/>
        <v>19</v>
      </c>
      <c r="B23" s="3">
        <f>'תקציב הנדסה 2022 '!B41</f>
        <v>1799</v>
      </c>
      <c r="C23" s="255" t="str">
        <f>'תקציב הנדסה 2022 '!C41</f>
        <v>תב"ע קרית השחקים</v>
      </c>
      <c r="D23" s="4">
        <f>'תקציב הנדסה 2022 '!D41</f>
        <v>1000000</v>
      </c>
      <c r="E23" s="4">
        <f>'תקציב הנדסה 2022 '!E41</f>
        <v>1000000</v>
      </c>
      <c r="F23" s="4">
        <f>'תקציב הנדסה 2022 '!F41</f>
        <v>0</v>
      </c>
      <c r="G23" s="4">
        <f>'תקציב הנדסה 2022 '!G41</f>
        <v>350000</v>
      </c>
      <c r="H23" s="4">
        <f>'תקציב הנדסה 2022 '!H41</f>
        <v>183189</v>
      </c>
      <c r="I23" s="4">
        <f>'תקציב הנדסה 2022 '!I41</f>
        <v>32175</v>
      </c>
      <c r="J23" s="4">
        <f>'תקציב הנדסה 2022 '!J41</f>
        <v>40338</v>
      </c>
      <c r="K23" s="4">
        <f>'תקציב הנדסה 2022 '!K41</f>
        <v>72513</v>
      </c>
      <c r="L23" s="4">
        <f>'תקציב הנדסה 2022 '!L41</f>
        <v>255702</v>
      </c>
      <c r="M23" s="4">
        <f>'תקציב הנדסה 2022 '!M41</f>
        <v>94298</v>
      </c>
      <c r="N23" s="4">
        <f>'תקציב הנדסה 2022 '!N41</f>
        <v>100000</v>
      </c>
      <c r="O23" s="4">
        <f>'תקציב הנדסה 2022 '!O41</f>
        <v>550000</v>
      </c>
      <c r="P23" s="4">
        <f>'תקציב הנדסה 2022 '!P41</f>
        <v>94298</v>
      </c>
      <c r="Q23" s="4">
        <f>'תקציב הנדסה 2022 '!Q41</f>
        <v>0</v>
      </c>
      <c r="R23" s="4">
        <f>'תקציב הנדסה 2022 '!R41</f>
        <v>0</v>
      </c>
      <c r="S23" s="4">
        <f>'תקציב הנדסה 2022 '!S41</f>
        <v>0</v>
      </c>
      <c r="T23" s="4">
        <f>'תקציב הנדסה 2022 '!T41</f>
        <v>0</v>
      </c>
      <c r="U23" s="4">
        <f>'תקציב הנדסה 2022 '!U41</f>
        <v>100000</v>
      </c>
      <c r="V23" s="4">
        <f>'תקציב הנדסה 2022 '!V41</f>
        <v>100000</v>
      </c>
      <c r="W23" s="4">
        <f>'תקציב הנדסה 2022 '!W41</f>
        <v>0</v>
      </c>
      <c r="X23" s="4">
        <f>'תקציב הנדסה 2022 '!X41</f>
        <v>0</v>
      </c>
      <c r="Y23" s="4">
        <f>'תקציב הנדסה 2022 '!Y41</f>
        <v>0</v>
      </c>
      <c r="Z23" s="4">
        <f>'תקציב הנדסה 2022 '!Z41</f>
        <v>0</v>
      </c>
      <c r="AA23" s="4">
        <f>'תקציב הנדסה 2022 '!AA41</f>
        <v>0</v>
      </c>
      <c r="AB23" s="255" t="str">
        <f>'תקציב הנדסה 2022 '!AB41</f>
        <v xml:space="preserve">תכנון איזור תעשיה ושכונת מגורים במשולש התחבורה. מקודם בותמ"ל .  </v>
      </c>
      <c r="AC23" s="3">
        <f>'תקציב הנדסה 2022 '!AC41</f>
        <v>732000</v>
      </c>
      <c r="AD23" s="190"/>
      <c r="AE23" s="278"/>
      <c r="AF23" s="278" t="s">
        <v>1044</v>
      </c>
      <c r="AG23" s="190"/>
      <c r="AH23" s="190"/>
      <c r="AI23" s="3"/>
      <c r="AJ23" s="446">
        <f t="shared" si="0"/>
        <v>0</v>
      </c>
      <c r="AK23" s="449" t="s">
        <v>1045</v>
      </c>
      <c r="AL23" s="32"/>
      <c r="AM23" s="3"/>
      <c r="AN23" s="4"/>
      <c r="AO23" s="452" t="str">
        <f>AK23</f>
        <v>טרם ידוע מתי תאושר התכנית ומה תהיה תגובת העירייה. נדרש שריון עבור יועצים, סקרי קרקע ועוד</v>
      </c>
      <c r="AP23" s="3" t="s">
        <v>1046</v>
      </c>
      <c r="AQ23" s="3" t="s">
        <v>1047</v>
      </c>
      <c r="AR23" s="3"/>
      <c r="AS23" s="448"/>
      <c r="AT23" s="3"/>
      <c r="AU23" s="630"/>
      <c r="AV23" s="4"/>
      <c r="AW23" s="4"/>
      <c r="AX23" s="4"/>
      <c r="AY23" s="4"/>
      <c r="AZ23" s="4"/>
    </row>
    <row r="24" spans="1:52" s="5" customFormat="1" ht="45">
      <c r="A24" s="3">
        <f t="shared" si="1"/>
        <v>20</v>
      </c>
      <c r="B24" s="3">
        <f>'תקציב הנדסה 2022 '!B42</f>
        <v>1843</v>
      </c>
      <c r="C24" s="255" t="str">
        <f>'תקציב הנדסה 2022 '!C42</f>
        <v>פינוי בינוי מול התחנה</v>
      </c>
      <c r="D24" s="4">
        <f>'תקציב הנדסה 2022 '!D42</f>
        <v>380000</v>
      </c>
      <c r="E24" s="4">
        <f>'תקציב הנדסה 2022 '!E42</f>
        <v>380000</v>
      </c>
      <c r="F24" s="4">
        <f>'תקציב הנדסה 2022 '!F42</f>
        <v>0</v>
      </c>
      <c r="G24" s="4">
        <f>'תקציב הנדסה 2022 '!G42</f>
        <v>0</v>
      </c>
      <c r="H24" s="4">
        <f>'תקציב הנדסה 2022 '!H42</f>
        <v>0</v>
      </c>
      <c r="I24" s="4">
        <f>'תקציב הנדסה 2022 '!I42</f>
        <v>0</v>
      </c>
      <c r="J24" s="4">
        <f>'תקציב הנדסה 2022 '!J42</f>
        <v>0</v>
      </c>
      <c r="K24" s="4">
        <f>'תקציב הנדסה 2022 '!K42</f>
        <v>0</v>
      </c>
      <c r="L24" s="4">
        <f>'תקציב הנדסה 2022 '!L42</f>
        <v>0</v>
      </c>
      <c r="M24" s="4">
        <f>'תקציב הנדסה 2022 '!M42</f>
        <v>0</v>
      </c>
      <c r="N24" s="4">
        <f>'תקציב הנדסה 2022 '!N42</f>
        <v>200000</v>
      </c>
      <c r="O24" s="4">
        <f>'תקציב הנדסה 2022 '!O42</f>
        <v>180000</v>
      </c>
      <c r="P24" s="4">
        <f>'תקציב הנדסה 2022 '!P42</f>
        <v>0</v>
      </c>
      <c r="Q24" s="4">
        <f>'תקציב הנדסה 2022 '!Q42</f>
        <v>0</v>
      </c>
      <c r="R24" s="4">
        <f>'תקציב הנדסה 2022 '!R42</f>
        <v>0</v>
      </c>
      <c r="S24" s="4">
        <f>'תקציב הנדסה 2022 '!S42</f>
        <v>0</v>
      </c>
      <c r="T24" s="4">
        <f>'תקציב הנדסה 2022 '!T42</f>
        <v>0</v>
      </c>
      <c r="U24" s="4">
        <f>'תקציב הנדסה 2022 '!U42</f>
        <v>200000</v>
      </c>
      <c r="V24" s="4">
        <f>'תקציב הנדסה 2022 '!V42</f>
        <v>200000</v>
      </c>
      <c r="W24" s="4">
        <f>'תקציב הנדסה 2022 '!W42</f>
        <v>0</v>
      </c>
      <c r="X24" s="4">
        <f>'תקציב הנדסה 2022 '!X42</f>
        <v>0</v>
      </c>
      <c r="Y24" s="4">
        <f>'תקציב הנדסה 2022 '!Y42</f>
        <v>0</v>
      </c>
      <c r="Z24" s="4">
        <f>'תקציב הנדסה 2022 '!Z42</f>
        <v>0</v>
      </c>
      <c r="AA24" s="4">
        <f>'תקציב הנדסה 2022 '!AA42</f>
        <v>0</v>
      </c>
      <c r="AB24" s="255" t="str">
        <f>'תקציב הנדסה 2022 '!AB42</f>
        <v xml:space="preserve">הליך התנעה לתכנון מתחם לפינוי בינוי למרכז עירוני-עסקי ומגורים ברחוב בן גוריון. </v>
      </c>
      <c r="AC24" s="3">
        <f>'תקציב הנדסה 2022 '!AC42</f>
        <v>732000</v>
      </c>
      <c r="AD24" s="450" t="s">
        <v>1049</v>
      </c>
      <c r="AE24" s="278" t="s">
        <v>1050</v>
      </c>
      <c r="AF24" s="278" t="s">
        <v>1051</v>
      </c>
      <c r="AG24" s="455"/>
      <c r="AH24" s="190"/>
      <c r="AI24" s="30"/>
      <c r="AJ24" s="446">
        <f t="shared" si="0"/>
        <v>0</v>
      </c>
      <c r="AK24" s="449"/>
      <c r="AL24" s="32"/>
      <c r="AM24" s="30"/>
      <c r="AN24" s="4"/>
      <c r="AO24" s="452" t="s">
        <v>1052</v>
      </c>
      <c r="AP24" s="30"/>
      <c r="AQ24" s="30"/>
      <c r="AR24" s="3" t="s">
        <v>1052</v>
      </c>
      <c r="AS24" s="453" t="s">
        <v>1901</v>
      </c>
      <c r="AT24" s="3"/>
      <c r="AU24" s="630" t="s">
        <v>2153</v>
      </c>
      <c r="AV24" s="4"/>
      <c r="AW24" s="574">
        <f>-100000+100000</f>
        <v>0</v>
      </c>
      <c r="AX24" s="4">
        <v>250000</v>
      </c>
      <c r="AY24" s="4">
        <f>AX24-N24</f>
        <v>50000</v>
      </c>
      <c r="AZ24" s="574">
        <f>-100000+100000</f>
        <v>0</v>
      </c>
    </row>
    <row r="25" spans="1:52" s="5" customFormat="1" ht="75">
      <c r="A25" s="3">
        <f t="shared" si="1"/>
        <v>21</v>
      </c>
      <c r="B25" s="3">
        <f>'תקציב הנדסה 2022 '!B43</f>
        <v>1937</v>
      </c>
      <c r="C25" s="255" t="str">
        <f>'תקציב הנדסה 2022 '!C43</f>
        <v>תב"ע משולש המנהרה הר' 2350</v>
      </c>
      <c r="D25" s="4">
        <f>'תקציב הנדסה 2022 '!D43</f>
        <v>1050000</v>
      </c>
      <c r="E25" s="4">
        <f>'תקציב הנדסה 2022 '!E43</f>
        <v>1050000</v>
      </c>
      <c r="F25" s="4">
        <f>'תקציב הנדסה 2022 '!F43</f>
        <v>0</v>
      </c>
      <c r="G25" s="4">
        <f>'תקציב הנדסה 2022 '!G43</f>
        <v>650000</v>
      </c>
      <c r="H25" s="4">
        <f>'תקציב הנדסה 2022 '!H43</f>
        <v>56082</v>
      </c>
      <c r="I25" s="4">
        <f>'תקציב הנדסה 2022 '!I43</f>
        <v>244936</v>
      </c>
      <c r="J25" s="4">
        <f>'תקציב הנדסה 2022 '!J43</f>
        <v>157170</v>
      </c>
      <c r="K25" s="4">
        <f>'תקציב הנדסה 2022 '!K43</f>
        <v>402106</v>
      </c>
      <c r="L25" s="4">
        <f>'תקציב הנדסה 2022 '!L43</f>
        <v>458188</v>
      </c>
      <c r="M25" s="4">
        <f>'תקציב הנדסה 2022 '!M43</f>
        <v>11812</v>
      </c>
      <c r="N25" s="4">
        <f>'תקציב הנדסה 2022 '!N43</f>
        <v>300000</v>
      </c>
      <c r="O25" s="4">
        <f>'תקציב הנדסה 2022 '!O43</f>
        <v>280000</v>
      </c>
      <c r="P25" s="4">
        <f>'תקציב הנדסה 2022 '!P43</f>
        <v>191812</v>
      </c>
      <c r="Q25" s="4">
        <f>'תקציב הנדסה 2022 '!Q43</f>
        <v>0</v>
      </c>
      <c r="R25" s="4">
        <f>'תקציב הנדסה 2022 '!R43</f>
        <v>0</v>
      </c>
      <c r="S25" s="4">
        <f>'תקציב הנדסה 2022 '!S43</f>
        <v>0</v>
      </c>
      <c r="T25" s="4">
        <f>'תקציב הנדסה 2022 '!T43</f>
        <v>180000</v>
      </c>
      <c r="U25" s="4">
        <f>'תקציב הנדסה 2022 '!U43</f>
        <v>120000</v>
      </c>
      <c r="V25" s="4">
        <f>'תקציב הנדסה 2022 '!V43</f>
        <v>120000</v>
      </c>
      <c r="W25" s="4">
        <f>'תקציב הנדסה 2022 '!W43</f>
        <v>0</v>
      </c>
      <c r="X25" s="4">
        <f>'תקציב הנדסה 2022 '!X43</f>
        <v>0</v>
      </c>
      <c r="Y25" s="4">
        <f>'תקציב הנדסה 2022 '!Y43</f>
        <v>0</v>
      </c>
      <c r="Z25" s="4">
        <f>'תקציב הנדסה 2022 '!Z43</f>
        <v>0</v>
      </c>
      <c r="AA25" s="4">
        <f>'תקציב הנדסה 2022 '!AA43</f>
        <v>0</v>
      </c>
      <c r="AB25" s="255" t="str">
        <f>'תקציב הנדסה 2022 '!AB43</f>
        <v xml:space="preserve">תוכנית מתארית ומפורטת חלקית לאורך רחוב המנהרה ועד פארק הואדי. התוכנית כוללת מתחם לשימור. יש עתירה לבימ"ש של בעלי קרקע פרטיים. </v>
      </c>
      <c r="AC25" s="3">
        <f>'תקציב הנדסה 2022 '!AC43</f>
        <v>732000</v>
      </c>
      <c r="AD25" s="190"/>
      <c r="AE25" s="278"/>
      <c r="AF25" s="278"/>
      <c r="AG25" s="378"/>
      <c r="AH25" s="190"/>
      <c r="AI25" s="7"/>
      <c r="AJ25" s="446">
        <f t="shared" si="0"/>
        <v>0</v>
      </c>
      <c r="AK25" s="449"/>
      <c r="AL25" s="7"/>
      <c r="AM25" s="7"/>
      <c r="AN25" s="4"/>
      <c r="AO25" s="452"/>
      <c r="AP25" s="7"/>
      <c r="AQ25" s="7"/>
      <c r="AR25" s="7"/>
      <c r="AS25" s="448"/>
      <c r="AT25" s="7"/>
      <c r="AU25" s="630"/>
      <c r="AV25" s="4"/>
      <c r="AW25" s="4"/>
      <c r="AX25" s="4"/>
      <c r="AY25" s="4"/>
      <c r="AZ25" s="4"/>
    </row>
    <row r="26" spans="1:52" s="5" customFormat="1" ht="30">
      <c r="A26" s="3">
        <f t="shared" si="1"/>
        <v>22</v>
      </c>
      <c r="B26" s="3">
        <f>'תקציב הנדסה 2022 '!B46</f>
        <v>2112</v>
      </c>
      <c r="C26" s="255" t="str">
        <f>'תקציב הנדסה 2022 '!C46</f>
        <v>סקר חריגות בניה ברחבי העיר</v>
      </c>
      <c r="D26" s="4">
        <f>'תקציב הנדסה 2022 '!D46</f>
        <v>7650000</v>
      </c>
      <c r="E26" s="4">
        <f>'תקציב הנדסה 2022 '!E46</f>
        <v>7650000</v>
      </c>
      <c r="F26" s="4">
        <f>'תקציב הנדסה 2022 '!F46</f>
        <v>0</v>
      </c>
      <c r="G26" s="4">
        <f>'תקציב הנדסה 2022 '!G46</f>
        <v>2160000</v>
      </c>
      <c r="H26" s="4">
        <f>'תקציב הנדסה 2022 '!H46</f>
        <v>23072</v>
      </c>
      <c r="I26" s="4">
        <f>'תקציב הנדסה 2022 '!I46</f>
        <v>0</v>
      </c>
      <c r="J26" s="4">
        <f>'תקציב הנדסה 2022 '!J46</f>
        <v>121399</v>
      </c>
      <c r="K26" s="4">
        <f>'תקציב הנדסה 2022 '!K46</f>
        <v>121399</v>
      </c>
      <c r="L26" s="4">
        <f>'תקציב הנדסה 2022 '!L46</f>
        <v>144471</v>
      </c>
      <c r="M26" s="4">
        <f>'תקציב הנדסה 2022 '!M46</f>
        <v>15529</v>
      </c>
      <c r="N26" s="4">
        <f>'תקציב הנדסה 2022 '!N46</f>
        <v>1500000</v>
      </c>
      <c r="O26" s="4">
        <f>'תקציב הנדסה 2022 '!O46</f>
        <v>5990000</v>
      </c>
      <c r="P26" s="4">
        <f>'תקציב הנדסה 2022 '!P46</f>
        <v>2015529</v>
      </c>
      <c r="Q26" s="4">
        <f>'תקציב הנדסה 2022 '!Q46</f>
        <v>0</v>
      </c>
      <c r="R26" s="4">
        <f>'תקציב הנדסה 2022 '!R46</f>
        <v>0</v>
      </c>
      <c r="S26" s="4">
        <f>'תקציב הנדסה 2022 '!S46</f>
        <v>0</v>
      </c>
      <c r="T26" s="4">
        <f>'תקציב הנדסה 2022 '!T46</f>
        <v>2000000</v>
      </c>
      <c r="U26" s="4">
        <f>'תקציב הנדסה 2022 '!U46</f>
        <v>-500000</v>
      </c>
      <c r="V26" s="4">
        <f>'תקציב הנדסה 2022 '!V46</f>
        <v>-500000</v>
      </c>
      <c r="W26" s="4">
        <f>'תקציב הנדסה 2022 '!W46</f>
        <v>0</v>
      </c>
      <c r="X26" s="4">
        <f>'תקציב הנדסה 2022 '!X46</f>
        <v>0</v>
      </c>
      <c r="Y26" s="4">
        <f>'תקציב הנדסה 2022 '!Y46</f>
        <v>0</v>
      </c>
      <c r="Z26" s="4">
        <f>'תקציב הנדסה 2022 '!Z46</f>
        <v>0</v>
      </c>
      <c r="AA26" s="4">
        <f>'תקציב הנדסה 2022 '!AA46</f>
        <v>0</v>
      </c>
      <c r="AB26" s="255" t="str">
        <f>'תקציב הנדסה 2022 '!AB46</f>
        <v>ביצוע סקר חריגות בנייה עפ"י תיקון לחוק הרשויות.</v>
      </c>
      <c r="AC26" s="3">
        <f>'תקציב הנדסה 2022 '!AC46</f>
        <v>732000</v>
      </c>
      <c r="AD26" s="190"/>
      <c r="AE26" s="278"/>
      <c r="AF26" s="278"/>
      <c r="AG26" s="190"/>
      <c r="AH26" s="190"/>
      <c r="AI26" s="3"/>
      <c r="AJ26" s="446">
        <f t="shared" si="0"/>
        <v>0</v>
      </c>
      <c r="AK26" s="449"/>
      <c r="AL26" s="3"/>
      <c r="AM26" s="3"/>
      <c r="AN26" s="4"/>
      <c r="AO26" s="452" t="s">
        <v>1054</v>
      </c>
      <c r="AP26" s="3"/>
      <c r="AQ26" s="3"/>
      <c r="AR26" s="3" t="s">
        <v>1054</v>
      </c>
      <c r="AS26" s="448"/>
      <c r="AT26" s="3"/>
      <c r="AU26" s="630"/>
      <c r="AV26" s="4"/>
      <c r="AW26" s="4"/>
      <c r="AX26" s="4"/>
      <c r="AY26" s="4"/>
      <c r="AZ26" s="4"/>
    </row>
    <row r="27" spans="1:52" s="6" customFormat="1" ht="60">
      <c r="A27" s="3">
        <f t="shared" si="1"/>
        <v>23</v>
      </c>
      <c r="B27" s="3">
        <f>'תקציב הנדסה 2022 '!B47</f>
        <v>2113</v>
      </c>
      <c r="C27" s="255" t="str">
        <f>'תקציב הנדסה 2022 '!C47</f>
        <v>ביצוע הריסות עפ"י צווים</v>
      </c>
      <c r="D27" s="4">
        <f>'תקציב הנדסה 2022 '!D47</f>
        <v>2550000</v>
      </c>
      <c r="E27" s="4">
        <f>'תקציב הנדסה 2022 '!E47</f>
        <v>2550000</v>
      </c>
      <c r="F27" s="4">
        <f>'תקציב הנדסה 2022 '!F47</f>
        <v>0</v>
      </c>
      <c r="G27" s="4">
        <f>'תקציב הנדסה 2022 '!G47</f>
        <v>200000</v>
      </c>
      <c r="H27" s="4">
        <f>'תקציב הנדסה 2022 '!H47</f>
        <v>9009</v>
      </c>
      <c r="I27" s="4">
        <f>'תקציב הנדסה 2022 '!I47</f>
        <v>0</v>
      </c>
      <c r="J27" s="4">
        <f>'תקציב הנדסה 2022 '!J47</f>
        <v>27963</v>
      </c>
      <c r="K27" s="4">
        <f>'תקציב הנדסה 2022 '!K47</f>
        <v>27963</v>
      </c>
      <c r="L27" s="4">
        <f>'תקציב הנדסה 2022 '!L47</f>
        <v>36972</v>
      </c>
      <c r="M27" s="4">
        <f>'תקציב הנדסה 2022 '!M47</f>
        <v>13028</v>
      </c>
      <c r="N27" s="4">
        <f>'תקציב הנדסה 2022 '!N47</f>
        <v>150000</v>
      </c>
      <c r="O27" s="4">
        <f>'תקציב הנדסה 2022 '!O47</f>
        <v>2350000</v>
      </c>
      <c r="P27" s="4">
        <f>'תקציב הנדסה 2022 '!P47</f>
        <v>163028</v>
      </c>
      <c r="Q27" s="4">
        <f>'תקציב הנדסה 2022 '!Q47</f>
        <v>0</v>
      </c>
      <c r="R27" s="4">
        <f>'תקציב הנדסה 2022 '!R47</f>
        <v>0</v>
      </c>
      <c r="S27" s="4">
        <f>'תקציב הנדסה 2022 '!S47</f>
        <v>0</v>
      </c>
      <c r="T27" s="4">
        <f>'תקציב הנדסה 2022 '!T47</f>
        <v>150000</v>
      </c>
      <c r="U27" s="4">
        <f>'תקציב הנדסה 2022 '!U47</f>
        <v>0</v>
      </c>
      <c r="V27" s="4">
        <f>'תקציב הנדסה 2022 '!V47</f>
        <v>0</v>
      </c>
      <c r="W27" s="4">
        <f>'תקציב הנדסה 2022 '!W47</f>
        <v>0</v>
      </c>
      <c r="X27" s="4">
        <f>'תקציב הנדסה 2022 '!X47</f>
        <v>0</v>
      </c>
      <c r="Y27" s="4">
        <f>'תקציב הנדסה 2022 '!Y47</f>
        <v>0</v>
      </c>
      <c r="Z27" s="4">
        <f>'תקציב הנדסה 2022 '!Z47</f>
        <v>0</v>
      </c>
      <c r="AA27" s="4">
        <f>'תקציב הנדסה 2022 '!AA47</f>
        <v>0</v>
      </c>
      <c r="AB27" s="255" t="str">
        <f>'תקציב הנדסה 2022 '!AB47</f>
        <v xml:space="preserve"> ביצוע צווים שיפוטיים וביצוע הריסות במקרים בהם לא בוצעו, ככל שיידרש בהמשך לסקר חריגות הבניה.</v>
      </c>
      <c r="AC27" s="3">
        <f>'תקציב הנדסה 2022 '!AC47</f>
        <v>732000</v>
      </c>
      <c r="AD27" s="190"/>
      <c r="AE27" s="278"/>
      <c r="AF27" s="278"/>
      <c r="AG27" s="378"/>
      <c r="AH27" s="190"/>
      <c r="AI27" s="7"/>
      <c r="AJ27" s="446">
        <f t="shared" si="0"/>
        <v>0</v>
      </c>
      <c r="AK27" s="449"/>
      <c r="AL27" s="7"/>
      <c r="AM27" s="3"/>
      <c r="AN27" s="4"/>
      <c r="AO27" s="452"/>
      <c r="AP27" s="7"/>
      <c r="AQ27" s="7"/>
      <c r="AR27" s="7"/>
      <c r="AS27" s="448"/>
      <c r="AT27" s="7"/>
      <c r="AU27" s="631"/>
      <c r="AV27" s="4"/>
      <c r="AW27" s="4"/>
      <c r="AX27" s="4"/>
      <c r="AY27" s="4"/>
      <c r="AZ27" s="4"/>
    </row>
    <row r="28" spans="1:52" s="5" customFormat="1" ht="75">
      <c r="A28" s="3">
        <f t="shared" si="1"/>
        <v>24</v>
      </c>
      <c r="B28" s="3">
        <f>'תקציב הנדסה 2022 '!B48</f>
        <v>2114</v>
      </c>
      <c r="C28" s="255" t="str">
        <f>'תקציב הנדסה 2022 '!C48</f>
        <v>תב"ע תוכנית שיקום המסילה המתפנה הר '2435</v>
      </c>
      <c r="D28" s="4">
        <f>'תקציב הנדסה 2022 '!D48</f>
        <v>1450000</v>
      </c>
      <c r="E28" s="4">
        <f>'תקציב הנדסה 2022 '!E48</f>
        <v>1450000</v>
      </c>
      <c r="F28" s="4">
        <f>'תקציב הנדסה 2022 '!F48</f>
        <v>0</v>
      </c>
      <c r="G28" s="4">
        <f>'תקציב הנדסה 2022 '!G48</f>
        <v>650000</v>
      </c>
      <c r="H28" s="4">
        <f>'תקציב הנדסה 2022 '!H48</f>
        <v>0</v>
      </c>
      <c r="I28" s="4">
        <f>'תקציב הנדסה 2022 '!I48</f>
        <v>44352</v>
      </c>
      <c r="J28" s="4">
        <f>'תקציב הנדסה 2022 '!J48</f>
        <v>83304</v>
      </c>
      <c r="K28" s="4">
        <f>'תקציב הנדסה 2022 '!K48</f>
        <v>127656</v>
      </c>
      <c r="L28" s="4">
        <f>'תקציב הנדסה 2022 '!L48</f>
        <v>127656</v>
      </c>
      <c r="M28" s="4">
        <f>'תקציב הנדסה 2022 '!M48</f>
        <v>22344</v>
      </c>
      <c r="N28" s="4">
        <f>'תקציב הנדסה 2022 '!N48</f>
        <v>200000</v>
      </c>
      <c r="O28" s="4">
        <f>'תקציב הנדסה 2022 '!O48</f>
        <v>1100000</v>
      </c>
      <c r="P28" s="4">
        <f>'תקציב הנדסה 2022 '!P48</f>
        <v>522344</v>
      </c>
      <c r="Q28" s="4">
        <f>'תקציב הנדסה 2022 '!Q48</f>
        <v>0</v>
      </c>
      <c r="R28" s="4">
        <f>'תקציב הנדסה 2022 '!R48</f>
        <v>0</v>
      </c>
      <c r="S28" s="4">
        <f>'תקציב הנדסה 2022 '!S48</f>
        <v>0</v>
      </c>
      <c r="T28" s="4">
        <f>'תקציב הנדסה 2022 '!T48</f>
        <v>500000</v>
      </c>
      <c r="U28" s="4">
        <f>'תקציב הנדסה 2022 '!U48</f>
        <v>-300000</v>
      </c>
      <c r="V28" s="4">
        <f>'תקציב הנדסה 2022 '!V48</f>
        <v>-300000</v>
      </c>
      <c r="W28" s="4">
        <f>'תקציב הנדסה 2022 '!W48</f>
        <v>0</v>
      </c>
      <c r="X28" s="4">
        <f>'תקציב הנדסה 2022 '!X48</f>
        <v>0</v>
      </c>
      <c r="Y28" s="4">
        <f>'תקציב הנדסה 2022 '!Y48</f>
        <v>0</v>
      </c>
      <c r="Z28" s="4">
        <f>'תקציב הנדסה 2022 '!Z48</f>
        <v>0</v>
      </c>
      <c r="AA28" s="4">
        <f>'תקציב הנדסה 2022 '!AA48</f>
        <v>0</v>
      </c>
      <c r="AB28" s="255" t="str">
        <f>'תקציב הנדסה 2022 '!AB48</f>
        <v>תב"ע בשיתוף מועצת כפר שמריהו לתכנון קישוריות שביל אופניים ופארק בתחום המסילה המתפנה ובחינת חיבור תחבורתי נוסף להרצליה ב'.</v>
      </c>
      <c r="AC28" s="3">
        <f>'תקציב הנדסה 2022 '!AC48</f>
        <v>732000</v>
      </c>
      <c r="AD28" s="190"/>
      <c r="AE28" s="278" t="s">
        <v>1061</v>
      </c>
      <c r="AF28" s="278"/>
      <c r="AG28" s="378"/>
      <c r="AH28" s="190"/>
      <c r="AI28" s="7"/>
      <c r="AJ28" s="446">
        <f t="shared" si="0"/>
        <v>0</v>
      </c>
      <c r="AK28" s="449"/>
      <c r="AL28" s="7"/>
      <c r="AM28" s="7"/>
      <c r="AN28" s="4"/>
      <c r="AO28" s="452" t="s">
        <v>1062</v>
      </c>
      <c r="AP28" s="7"/>
      <c r="AQ28" s="7"/>
      <c r="AR28" s="3" t="s">
        <v>1054</v>
      </c>
      <c r="AS28" s="448" t="s">
        <v>1063</v>
      </c>
      <c r="AT28" s="448" t="s">
        <v>1064</v>
      </c>
      <c r="AU28" s="631"/>
      <c r="AV28" s="4"/>
      <c r="AW28" s="4"/>
      <c r="AX28" s="4">
        <v>300000</v>
      </c>
      <c r="AY28" s="4">
        <f>AX28-N28</f>
        <v>100000</v>
      </c>
      <c r="AZ28" s="4"/>
    </row>
    <row r="29" spans="1:52" s="6" customFormat="1" ht="45">
      <c r="A29" s="3">
        <f t="shared" si="1"/>
        <v>25</v>
      </c>
      <c r="B29" s="3">
        <f>'תקציב הנדסה 2022 '!B49</f>
        <v>2117</v>
      </c>
      <c r="C29" s="255" t="str">
        <f>'תקציב הנדסה 2022 '!C49</f>
        <v>שינוי תוכנית גליל ים א' ב' (=ט')</v>
      </c>
      <c r="D29" s="4">
        <f>'תקציב הנדסה 2022 '!D49</f>
        <v>750000</v>
      </c>
      <c r="E29" s="4">
        <f>'תקציב הנדסה 2022 '!E49</f>
        <v>750000</v>
      </c>
      <c r="F29" s="4">
        <f>'תקציב הנדסה 2022 '!F49</f>
        <v>0</v>
      </c>
      <c r="G29" s="4">
        <f>'תקציב הנדסה 2022 '!G49</f>
        <v>400000</v>
      </c>
      <c r="H29" s="4">
        <f>'תקציב הנדסה 2022 '!H49</f>
        <v>24336</v>
      </c>
      <c r="I29" s="4">
        <f>'תקציב הנדסה 2022 '!I49</f>
        <v>0</v>
      </c>
      <c r="J29" s="4">
        <f>'תקציב הנדסה 2022 '!J49</f>
        <v>176035</v>
      </c>
      <c r="K29" s="4">
        <f>'תקציב הנדסה 2022 '!K49</f>
        <v>176035</v>
      </c>
      <c r="L29" s="4">
        <f>'תקציב הנדסה 2022 '!L49</f>
        <v>200371</v>
      </c>
      <c r="M29" s="4">
        <f>'תקציב הנדסה 2022 '!M49</f>
        <v>49629</v>
      </c>
      <c r="N29" s="4">
        <f>'תקציב הנדסה 2022 '!N49</f>
        <v>100000</v>
      </c>
      <c r="O29" s="4">
        <f>'תקציב הנדסה 2022 '!O49</f>
        <v>400000</v>
      </c>
      <c r="P29" s="4">
        <f>'תקציב הנדסה 2022 '!P49</f>
        <v>199629</v>
      </c>
      <c r="Q29" s="4">
        <f>'תקציב הנדסה 2022 '!Q49</f>
        <v>0</v>
      </c>
      <c r="R29" s="4">
        <f>'תקציב הנדסה 2022 '!R49</f>
        <v>0</v>
      </c>
      <c r="S29" s="4">
        <f>'תקציב הנדסה 2022 '!S49</f>
        <v>0</v>
      </c>
      <c r="T29" s="4">
        <f>'תקציב הנדסה 2022 '!T49</f>
        <v>150000</v>
      </c>
      <c r="U29" s="4">
        <f>'תקציב הנדסה 2022 '!U49</f>
        <v>-50000</v>
      </c>
      <c r="V29" s="4">
        <f>'תקציב הנדסה 2022 '!V49</f>
        <v>-50000</v>
      </c>
      <c r="W29" s="4">
        <f>'תקציב הנדסה 2022 '!W49</f>
        <v>0</v>
      </c>
      <c r="X29" s="4">
        <f>'תקציב הנדסה 2022 '!X49</f>
        <v>0</v>
      </c>
      <c r="Y29" s="4">
        <f>'תקציב הנדסה 2022 '!Y49</f>
        <v>0</v>
      </c>
      <c r="Z29" s="4">
        <f>'תקציב הנדסה 2022 '!Z49</f>
        <v>0</v>
      </c>
      <c r="AA29" s="4">
        <f>'תקציב הנדסה 2022 '!AA49</f>
        <v>0</v>
      </c>
      <c r="AB29" s="255" t="str">
        <f>'תקציב הנדסה 2022 '!AB49</f>
        <v xml:space="preserve">שינוי לתוכנית הר' 1985 ב' עקב ריבוי יח"ד והצורך לספק שטחים ציבוריים בגינם. </v>
      </c>
      <c r="AC29" s="3">
        <f>'תקציב הנדסה 2022 '!AC49</f>
        <v>732000</v>
      </c>
      <c r="AD29" s="190"/>
      <c r="AE29" s="278" t="s">
        <v>1065</v>
      </c>
      <c r="AF29" s="278"/>
      <c r="AG29" s="378"/>
      <c r="AH29" s="190"/>
      <c r="AI29" s="7"/>
      <c r="AJ29" s="446">
        <f t="shared" si="0"/>
        <v>0</v>
      </c>
      <c r="AK29" s="449"/>
      <c r="AL29" s="32"/>
      <c r="AM29" s="7"/>
      <c r="AN29" s="4"/>
      <c r="AO29" s="452"/>
      <c r="AP29" s="7"/>
      <c r="AQ29" s="7"/>
      <c r="AR29" s="7"/>
      <c r="AS29" s="448"/>
      <c r="AT29" s="7"/>
      <c r="AU29" s="631"/>
      <c r="AV29" s="4"/>
      <c r="AW29" s="4"/>
      <c r="AX29" s="4"/>
      <c r="AY29" s="4"/>
      <c r="AZ29" s="4"/>
    </row>
    <row r="30" spans="1:52" s="5" customFormat="1" ht="75">
      <c r="A30" s="3">
        <f t="shared" si="1"/>
        <v>26</v>
      </c>
      <c r="B30" s="3">
        <f>'תקציב הנדסה 2022 '!B53</f>
        <v>2141</v>
      </c>
      <c r="C30" s="255" t="str">
        <f>'תקציב הנדסה 2022 '!C53</f>
        <v>תכנית פיתוח של המרחב הציבורי תל מיכל</v>
      </c>
      <c r="D30" s="4">
        <f>'תקציב הנדסה 2022 '!D53</f>
        <v>640000</v>
      </c>
      <c r="E30" s="4">
        <f>'תקציב הנדסה 2022 '!E53</f>
        <v>640000</v>
      </c>
      <c r="F30" s="4">
        <f>'תקציב הנדסה 2022 '!F53</f>
        <v>0</v>
      </c>
      <c r="G30" s="4">
        <f>'תקציב הנדסה 2022 '!G53</f>
        <v>0</v>
      </c>
      <c r="H30" s="4">
        <f>'תקציב הנדסה 2022 '!H53</f>
        <v>0</v>
      </c>
      <c r="I30" s="4">
        <f>'תקציב הנדסה 2022 '!I53</f>
        <v>0</v>
      </c>
      <c r="J30" s="4">
        <f>'תקציב הנדסה 2022 '!J53</f>
        <v>0</v>
      </c>
      <c r="K30" s="4">
        <f>'תקציב הנדסה 2022 '!K53</f>
        <v>0</v>
      </c>
      <c r="L30" s="4">
        <f>'תקציב הנדסה 2022 '!L53</f>
        <v>0</v>
      </c>
      <c r="M30" s="4">
        <f>'תקציב הנדסה 2022 '!M53</f>
        <v>0</v>
      </c>
      <c r="N30" s="4">
        <f>'תקציב הנדסה 2022 '!N53</f>
        <v>100000</v>
      </c>
      <c r="O30" s="4">
        <f>'תקציב הנדסה 2022 '!O53</f>
        <v>540000</v>
      </c>
      <c r="P30" s="4">
        <f>'תקציב הנדסה 2022 '!P53</f>
        <v>0</v>
      </c>
      <c r="Q30" s="4">
        <f>'תקציב הנדסה 2022 '!Q53</f>
        <v>0</v>
      </c>
      <c r="R30" s="4">
        <f>'תקציב הנדסה 2022 '!R53</f>
        <v>0</v>
      </c>
      <c r="S30" s="4">
        <f>'תקציב הנדסה 2022 '!S53</f>
        <v>0</v>
      </c>
      <c r="T30" s="4">
        <f>'תקציב הנדסה 2022 '!T53</f>
        <v>0</v>
      </c>
      <c r="U30" s="4">
        <f>'תקציב הנדסה 2022 '!U53</f>
        <v>100000</v>
      </c>
      <c r="V30" s="4">
        <f>'תקציב הנדסה 2022 '!V53</f>
        <v>100000</v>
      </c>
      <c r="W30" s="4">
        <f>'תקציב הנדסה 2022 '!W53</f>
        <v>0</v>
      </c>
      <c r="X30" s="4">
        <f>'תקציב הנדסה 2022 '!X53</f>
        <v>0</v>
      </c>
      <c r="Y30" s="4">
        <f>'תקציב הנדסה 2022 '!Y53</f>
        <v>0</v>
      </c>
      <c r="Z30" s="4">
        <f>'תקציב הנדסה 2022 '!Z53</f>
        <v>0</v>
      </c>
      <c r="AA30" s="4">
        <f>'תקציב הנדסה 2022 '!AA53</f>
        <v>0</v>
      </c>
      <c r="AB30" s="255" t="str">
        <f>'תקציב הנדסה 2022 '!AB53</f>
        <v xml:space="preserve">ליווי אדריכלי  לתוכנית בחינת הקשר השביל הירוק המטרופולוני לאורך אבא אבן תל מיכל והמרחב הציבורי במרינה לחיזוק הקישוריות העיר למרינה ולחוף . </v>
      </c>
      <c r="AC30" s="3">
        <f>'תקציב הנדסה 2022 '!AC53</f>
        <v>732000</v>
      </c>
      <c r="AD30" s="450" t="s">
        <v>1073</v>
      </c>
      <c r="AE30" s="278" t="s">
        <v>1074</v>
      </c>
      <c r="AF30" s="278"/>
      <c r="AG30" s="190"/>
      <c r="AH30" s="190"/>
      <c r="AI30" s="3"/>
      <c r="AJ30" s="446">
        <f t="shared" si="0"/>
        <v>0</v>
      </c>
      <c r="AK30" s="449"/>
      <c r="AL30" s="32"/>
      <c r="AM30" s="3"/>
      <c r="AN30" s="4"/>
      <c r="AO30" s="452" t="str">
        <f>AE30</f>
        <v>לדיון הנהלה כולל העברת הפרוקט לח.לפיתוח. (הערות תברים ללא תנועה).</v>
      </c>
      <c r="AP30" s="3"/>
      <c r="AQ30" s="3"/>
      <c r="AR30" s="3"/>
      <c r="AS30" s="448"/>
      <c r="AT30" s="3"/>
      <c r="AU30" s="630"/>
      <c r="AV30" s="4"/>
      <c r="AW30" s="4"/>
      <c r="AX30" s="4">
        <v>200000</v>
      </c>
      <c r="AY30" s="4">
        <f>AX30-N30</f>
        <v>100000</v>
      </c>
      <c r="AZ30" s="4"/>
    </row>
    <row r="31" spans="1:52" s="5" customFormat="1" ht="48.6" customHeight="1">
      <c r="A31" s="3">
        <f t="shared" si="1"/>
        <v>27</v>
      </c>
      <c r="B31" s="3">
        <f>'תקציב הנדסה 2022 '!B55</f>
        <v>2143</v>
      </c>
      <c r="C31" s="255" t="str">
        <f>'תקציב הנדסה 2022 '!C55</f>
        <v>סקר תשתיות קיימות</v>
      </c>
      <c r="D31" s="4">
        <f>'תקציב הנדסה 2022 '!D55</f>
        <v>850000</v>
      </c>
      <c r="E31" s="4">
        <f>'תקציב הנדסה 2022 '!E55</f>
        <v>500000</v>
      </c>
      <c r="F31" s="4">
        <f>'תקציב הנדסה 2022 '!F55</f>
        <v>350000</v>
      </c>
      <c r="G31" s="4">
        <f>'תקציב הנדסה 2022 '!G55</f>
        <v>500000</v>
      </c>
      <c r="H31" s="4">
        <f>'תקציב הנדסה 2022 '!H55</f>
        <v>0</v>
      </c>
      <c r="I31" s="4">
        <f>'תקציב הנדסה 2022 '!I55</f>
        <v>0</v>
      </c>
      <c r="J31" s="4">
        <f>'תקציב הנדסה 2022 '!J55</f>
        <v>0</v>
      </c>
      <c r="K31" s="4">
        <f>'תקציב הנדסה 2022 '!K55</f>
        <v>0</v>
      </c>
      <c r="L31" s="4">
        <f>'תקציב הנדסה 2022 '!L55</f>
        <v>0</v>
      </c>
      <c r="M31" s="4">
        <f>'תקציב הנדסה 2022 '!M55</f>
        <v>0</v>
      </c>
      <c r="N31" s="4">
        <f>'תקציב הנדסה 2022 '!N55</f>
        <v>300000</v>
      </c>
      <c r="O31" s="4">
        <f>'תקציב הנדסה 2022 '!O55</f>
        <v>550000</v>
      </c>
      <c r="P31" s="4">
        <f>'תקציב הנדסה 2022 '!P55</f>
        <v>500000</v>
      </c>
      <c r="Q31" s="4">
        <f>'תקציב הנדסה 2022 '!Q55</f>
        <v>0</v>
      </c>
      <c r="R31" s="4">
        <f>'תקציב הנדסה 2022 '!R55</f>
        <v>0</v>
      </c>
      <c r="S31" s="4">
        <f>'תקציב הנדסה 2022 '!S55</f>
        <v>0</v>
      </c>
      <c r="T31" s="4">
        <f>'תקציב הנדסה 2022 '!T55</f>
        <v>500000</v>
      </c>
      <c r="U31" s="4">
        <f>'תקציב הנדסה 2022 '!U55</f>
        <v>-200000</v>
      </c>
      <c r="V31" s="4">
        <f>'תקציב הנדסה 2022 '!V55</f>
        <v>-200000</v>
      </c>
      <c r="W31" s="4">
        <f>'תקציב הנדסה 2022 '!W55</f>
        <v>0</v>
      </c>
      <c r="X31" s="4">
        <f>'תקציב הנדסה 2022 '!X55</f>
        <v>0</v>
      </c>
      <c r="Y31" s="4">
        <f>'תקציב הנדסה 2022 '!Y55</f>
        <v>0</v>
      </c>
      <c r="Z31" s="4">
        <f>'תקציב הנדסה 2022 '!Z55</f>
        <v>0</v>
      </c>
      <c r="AA31" s="4">
        <f>'תקציב הנדסה 2022 '!AA55</f>
        <v>0</v>
      </c>
      <c r="AB31" s="255" t="str">
        <f>'תקציב הנדסה 2022 '!AB55</f>
        <v>מיחשוב כלל התשתיות הקיימות במרחב הציבורי. ב - 2022 : מיפוי ואיסוף נתונים.</v>
      </c>
      <c r="AC31" s="3">
        <f>'תקציב הנדסה 2022 '!AC55</f>
        <v>732000</v>
      </c>
      <c r="AD31" s="190"/>
      <c r="AE31" s="278" t="s">
        <v>1075</v>
      </c>
      <c r="AF31" s="278"/>
      <c r="AG31" s="190"/>
      <c r="AH31" s="190"/>
      <c r="AI31" s="3"/>
      <c r="AJ31" s="446">
        <f t="shared" si="0"/>
        <v>0</v>
      </c>
      <c r="AK31" s="449"/>
      <c r="AL31" s="32" t="s">
        <v>1076</v>
      </c>
      <c r="AM31" s="7" t="s">
        <v>1010</v>
      </c>
      <c r="AN31" s="4"/>
      <c r="AO31" s="452" t="s">
        <v>1077</v>
      </c>
      <c r="AP31" s="3" t="s">
        <v>1078</v>
      </c>
      <c r="AQ31" s="3"/>
      <c r="AR31" s="3"/>
      <c r="AS31" s="448" t="s">
        <v>1079</v>
      </c>
      <c r="AT31" s="3" t="s">
        <v>1080</v>
      </c>
      <c r="AU31" s="630"/>
      <c r="AV31" s="4"/>
      <c r="AW31" s="574">
        <f>-100000+100000</f>
        <v>0</v>
      </c>
      <c r="AX31" s="4"/>
      <c r="AY31" s="4"/>
      <c r="AZ31" s="574">
        <f>-100000+100000</f>
        <v>0</v>
      </c>
    </row>
    <row r="32" spans="1:52" s="5" customFormat="1" ht="45">
      <c r="A32" s="3">
        <f t="shared" si="1"/>
        <v>28</v>
      </c>
      <c r="B32" s="3">
        <f>'תקציב הנדסה 2022 '!B56</f>
        <v>2144</v>
      </c>
      <c r="C32" s="255" t="str">
        <f>'תקציב הנדסה 2022 '!C56</f>
        <v>תוכנת ניהול ותאום תשתיות</v>
      </c>
      <c r="D32" s="4">
        <f>'תקציב הנדסה 2022 '!D56</f>
        <v>500000</v>
      </c>
      <c r="E32" s="4">
        <f>'תקציב הנדסה 2022 '!E56</f>
        <v>500000</v>
      </c>
      <c r="F32" s="4">
        <f>'תקציב הנדסה 2022 '!F56</f>
        <v>0</v>
      </c>
      <c r="G32" s="4">
        <f>'תקציב הנדסה 2022 '!G56</f>
        <v>500000</v>
      </c>
      <c r="H32" s="4">
        <f>'תקציב הנדסה 2022 '!H56</f>
        <v>0</v>
      </c>
      <c r="I32" s="4">
        <f>'תקציב הנדסה 2022 '!I56</f>
        <v>0</v>
      </c>
      <c r="J32" s="4">
        <f>'תקציב הנדסה 2022 '!J56</f>
        <v>0</v>
      </c>
      <c r="K32" s="4">
        <f>'תקציב הנדסה 2022 '!K56</f>
        <v>0</v>
      </c>
      <c r="L32" s="4">
        <f>'תקציב הנדסה 2022 '!L56</f>
        <v>0</v>
      </c>
      <c r="M32" s="4">
        <f>'תקציב הנדסה 2022 '!M56</f>
        <v>0</v>
      </c>
      <c r="N32" s="4">
        <f>'תקציב הנדסה 2022 '!N56</f>
        <v>300000</v>
      </c>
      <c r="O32" s="4">
        <f>'תקציב הנדסה 2022 '!O56</f>
        <v>200000</v>
      </c>
      <c r="P32" s="4">
        <f>'תקציב הנדסה 2022 '!P56</f>
        <v>500000</v>
      </c>
      <c r="Q32" s="4">
        <f>'תקציב הנדסה 2022 '!Q56</f>
        <v>0</v>
      </c>
      <c r="R32" s="4">
        <f>'תקציב הנדסה 2022 '!R56</f>
        <v>0</v>
      </c>
      <c r="S32" s="4">
        <f>'תקציב הנדסה 2022 '!S56</f>
        <v>0</v>
      </c>
      <c r="T32" s="4">
        <f>'תקציב הנדסה 2022 '!T56</f>
        <v>500000</v>
      </c>
      <c r="U32" s="4">
        <f>'תקציב הנדסה 2022 '!U56</f>
        <v>-200000</v>
      </c>
      <c r="V32" s="4">
        <f>'תקציב הנדסה 2022 '!V56</f>
        <v>-200000</v>
      </c>
      <c r="W32" s="4">
        <f>'תקציב הנדסה 2022 '!W56</f>
        <v>0</v>
      </c>
      <c r="X32" s="4">
        <f>'תקציב הנדסה 2022 '!X56</f>
        <v>0</v>
      </c>
      <c r="Y32" s="4">
        <f>'תקציב הנדסה 2022 '!Y56</f>
        <v>0</v>
      </c>
      <c r="Z32" s="4">
        <f>'תקציב הנדסה 2022 '!Z56</f>
        <v>0</v>
      </c>
      <c r="AA32" s="4">
        <f>'תקציב הנדסה 2022 '!AA56</f>
        <v>0</v>
      </c>
      <c r="AB32" s="255" t="str">
        <f>'תקציב הנדסה 2022 '!AB56</f>
        <v xml:space="preserve">בניית אתר הנדסי לתשתיות וסנכרון בין עבודות התשתית השונות ברחבי העיר. </v>
      </c>
      <c r="AC32" s="3">
        <f>'תקציב הנדסה 2022 '!AC56</f>
        <v>732000</v>
      </c>
      <c r="AD32" s="190"/>
      <c r="AE32" s="278" t="s">
        <v>1081</v>
      </c>
      <c r="AF32" s="278"/>
      <c r="AG32" s="190"/>
      <c r="AH32" s="190"/>
      <c r="AI32" s="3"/>
      <c r="AJ32" s="446">
        <f t="shared" si="0"/>
        <v>0</v>
      </c>
      <c r="AK32" s="449"/>
      <c r="AL32" s="32"/>
      <c r="AM32" s="3"/>
      <c r="AN32" s="454"/>
      <c r="AO32" s="452" t="s">
        <v>1082</v>
      </c>
      <c r="AP32" s="3"/>
      <c r="AQ32" s="3"/>
      <c r="AR32" s="3"/>
      <c r="AS32" s="448"/>
      <c r="AT32" s="3"/>
      <c r="AU32" s="630"/>
      <c r="AV32" s="4"/>
      <c r="AW32" s="4">
        <v>-100000</v>
      </c>
      <c r="AX32" s="4"/>
      <c r="AY32" s="4"/>
      <c r="AZ32" s="4">
        <v>-100000</v>
      </c>
    </row>
    <row r="33" spans="1:52" s="6" customFormat="1" ht="45">
      <c r="A33" s="3">
        <f t="shared" si="1"/>
        <v>29</v>
      </c>
      <c r="B33" s="3">
        <f>'תקציב הנדסה 2022 '!B57</f>
        <v>2146</v>
      </c>
      <c r="C33" s="255" t="str">
        <f>'תקציב הנדסה 2022 '!C57</f>
        <v>תוכנית שבילי אופניים בשצ"פים עירוניים</v>
      </c>
      <c r="D33" s="4">
        <f>'תקציב הנדסה 2022 '!D57</f>
        <v>220000</v>
      </c>
      <c r="E33" s="4">
        <f>'תקציב הנדסה 2022 '!E57</f>
        <v>220000</v>
      </c>
      <c r="F33" s="4">
        <f>'תקציב הנדסה 2022 '!F57</f>
        <v>0</v>
      </c>
      <c r="G33" s="4">
        <f>'תקציב הנדסה 2022 '!G57</f>
        <v>130000</v>
      </c>
      <c r="H33" s="4">
        <f>'תקציב הנדסה 2022 '!H57</f>
        <v>16642</v>
      </c>
      <c r="I33" s="4">
        <f>'תקציב הנדסה 2022 '!I57</f>
        <v>0</v>
      </c>
      <c r="J33" s="4">
        <f>'תקציב הנדסה 2022 '!J57</f>
        <v>43525</v>
      </c>
      <c r="K33" s="4">
        <f>'תקציב הנדסה 2022 '!K57</f>
        <v>43525</v>
      </c>
      <c r="L33" s="4">
        <f>'תקציב הנדסה 2022 '!L57</f>
        <v>60167</v>
      </c>
      <c r="M33" s="4">
        <f>'תקציב הנדסה 2022 '!M57</f>
        <v>19833</v>
      </c>
      <c r="N33" s="4">
        <f>'תקציב הנדסה 2022 '!N57</f>
        <v>50000</v>
      </c>
      <c r="O33" s="4">
        <f>'תקציב הנדסה 2022 '!O57</f>
        <v>90000</v>
      </c>
      <c r="P33" s="4">
        <f>'תקציב הנדסה 2022 '!P57</f>
        <v>69833</v>
      </c>
      <c r="Q33" s="4">
        <f>'תקציב הנדסה 2022 '!Q57</f>
        <v>0</v>
      </c>
      <c r="R33" s="4">
        <f>'תקציב הנדסה 2022 '!R57</f>
        <v>0</v>
      </c>
      <c r="S33" s="4">
        <f>'תקציב הנדסה 2022 '!S57</f>
        <v>0</v>
      </c>
      <c r="T33" s="4">
        <f>'תקציב הנדסה 2022 '!T57</f>
        <v>50000</v>
      </c>
      <c r="U33" s="4">
        <f>'תקציב הנדסה 2022 '!U57</f>
        <v>0</v>
      </c>
      <c r="V33" s="4">
        <f>'תקציב הנדסה 2022 '!V57</f>
        <v>0</v>
      </c>
      <c r="W33" s="4">
        <f>'תקציב הנדסה 2022 '!W57</f>
        <v>0</v>
      </c>
      <c r="X33" s="4">
        <f>'תקציב הנדסה 2022 '!X57</f>
        <v>0</v>
      </c>
      <c r="Y33" s="4">
        <f>'תקציב הנדסה 2022 '!Y57</f>
        <v>0</v>
      </c>
      <c r="Z33" s="4">
        <f>'תקציב הנדסה 2022 '!Z57</f>
        <v>0</v>
      </c>
      <c r="AA33" s="4">
        <f>'תקציב הנדסה 2022 '!AA57</f>
        <v>0</v>
      </c>
      <c r="AB33" s="255" t="str">
        <f>'תקציב הנדסה 2022 '!AB57</f>
        <v xml:space="preserve">הכנת תוכנית לניצול יעיל לשצ"פים ברחבי העיר לשימושי שבילי אופניים והתקנת מצללות. </v>
      </c>
      <c r="AC33" s="3">
        <f>'תקציב הנדסה 2022 '!AC57</f>
        <v>732000</v>
      </c>
      <c r="AD33" s="190"/>
      <c r="AE33" s="278"/>
      <c r="AF33" s="278"/>
      <c r="AG33" s="190"/>
      <c r="AH33" s="190"/>
      <c r="AI33" s="3"/>
      <c r="AJ33" s="446">
        <f t="shared" si="0"/>
        <v>0</v>
      </c>
      <c r="AK33" s="449"/>
      <c r="AL33" s="32"/>
      <c r="AM33" s="3"/>
      <c r="AN33" s="4"/>
      <c r="AO33" s="452"/>
      <c r="AP33" s="3"/>
      <c r="AQ33" s="3"/>
      <c r="AR33" s="3"/>
      <c r="AS33" s="448"/>
      <c r="AT33" s="3"/>
      <c r="AU33" s="630"/>
      <c r="AV33" s="4"/>
      <c r="AW33" s="4"/>
      <c r="AX33" s="4"/>
      <c r="AY33" s="4"/>
      <c r="AZ33" s="4"/>
    </row>
    <row r="34" spans="1:52" s="6" customFormat="1" ht="45">
      <c r="A34" s="3">
        <f t="shared" si="1"/>
        <v>30</v>
      </c>
      <c r="B34" s="3">
        <f>'תקציב הנדסה 2022 '!B63</f>
        <v>2199</v>
      </c>
      <c r="C34" s="255" t="str">
        <f>'תקציב הנדסה 2022 '!C63</f>
        <v>ליווי תוכניות ארציות</v>
      </c>
      <c r="D34" s="4">
        <f>'תקציב הנדסה 2022 '!D63</f>
        <v>1000000</v>
      </c>
      <c r="E34" s="4">
        <f>'תקציב הנדסה 2022 '!E63</f>
        <v>1000000</v>
      </c>
      <c r="F34" s="4">
        <f>'תקציב הנדסה 2022 '!F63</f>
        <v>0</v>
      </c>
      <c r="G34" s="4">
        <f>'תקציב הנדסה 2022 '!G63</f>
        <v>50000</v>
      </c>
      <c r="H34" s="4">
        <f>'תקציב הנדסה 2022 '!H63</f>
        <v>0</v>
      </c>
      <c r="I34" s="4">
        <f>'תקציב הנדסה 2022 '!I63</f>
        <v>0</v>
      </c>
      <c r="J34" s="4">
        <f>'תקציב הנדסה 2022 '!J63</f>
        <v>0</v>
      </c>
      <c r="K34" s="4">
        <f>'תקציב הנדסה 2022 '!K63</f>
        <v>0</v>
      </c>
      <c r="L34" s="4">
        <f>'תקציב הנדסה 2022 '!L63</f>
        <v>0</v>
      </c>
      <c r="M34" s="4">
        <f>'תקציב הנדסה 2022 '!M63</f>
        <v>150000</v>
      </c>
      <c r="N34" s="4">
        <f>'תקציב הנדסה 2022 '!N63</f>
        <v>100000</v>
      </c>
      <c r="O34" s="4">
        <f>'תקציב הנדסה 2022 '!O63</f>
        <v>750000</v>
      </c>
      <c r="P34" s="4">
        <f>'תקציב הנדסה 2022 '!P63</f>
        <v>50000</v>
      </c>
      <c r="Q34" s="4">
        <f>'תקציב הנדסה 2022 '!Q63</f>
        <v>100000</v>
      </c>
      <c r="R34" s="4">
        <f>'תקציב הנדסה 2022 '!R63</f>
        <v>0</v>
      </c>
      <c r="S34" s="4">
        <f>'תקציב הנדסה 2022 '!S63</f>
        <v>100000</v>
      </c>
      <c r="T34" s="4">
        <f>'תקציב הנדסה 2022 '!T63</f>
        <v>0</v>
      </c>
      <c r="U34" s="4">
        <f>'תקציב הנדסה 2022 '!U63</f>
        <v>100000</v>
      </c>
      <c r="V34" s="4">
        <f>'תקציב הנדסה 2022 '!V63</f>
        <v>100000</v>
      </c>
      <c r="W34" s="4">
        <f>'תקציב הנדסה 2022 '!W63</f>
        <v>0</v>
      </c>
      <c r="X34" s="4">
        <f>'תקציב הנדסה 2022 '!X63</f>
        <v>0</v>
      </c>
      <c r="Y34" s="4">
        <f>'תקציב הנדסה 2022 '!Y63</f>
        <v>0</v>
      </c>
      <c r="Z34" s="4">
        <f>'תקציב הנדסה 2022 '!Z63</f>
        <v>0</v>
      </c>
      <c r="AA34" s="4">
        <f>'תקציב הנדסה 2022 '!AA63</f>
        <v>0</v>
      </c>
      <c r="AB34" s="255" t="str">
        <f>'תקציב הנדסה 2022 '!AB63</f>
        <v>ליווי של יועצים ,מתכננים , אגרונום למגוון תוכניות ארציות (תמ"א,תמ"ל).</v>
      </c>
      <c r="AC34" s="3">
        <f>'תקציב הנדסה 2022 '!AC63</f>
        <v>732000</v>
      </c>
      <c r="AD34" s="278"/>
      <c r="AE34" s="278"/>
      <c r="AF34" s="278"/>
      <c r="AG34" s="190">
        <v>150000</v>
      </c>
      <c r="AH34" s="190">
        <v>50000</v>
      </c>
      <c r="AI34" s="190">
        <v>100000</v>
      </c>
      <c r="AJ34" s="446">
        <f t="shared" si="0"/>
        <v>0</v>
      </c>
      <c r="AK34" s="449"/>
      <c r="AL34" s="32"/>
      <c r="AM34" s="3"/>
      <c r="AN34" s="4"/>
      <c r="AO34" s="452"/>
      <c r="AP34" s="3"/>
      <c r="AQ34" s="3"/>
      <c r="AR34" s="3" t="s">
        <v>1108</v>
      </c>
      <c r="AS34" s="448"/>
      <c r="AT34" s="3" t="s">
        <v>1108</v>
      </c>
      <c r="AU34" s="630"/>
      <c r="AV34" s="4"/>
      <c r="AW34" s="4"/>
      <c r="AX34" s="4"/>
      <c r="AY34" s="4"/>
      <c r="AZ34" s="4"/>
    </row>
    <row r="35" spans="1:52" s="5" customFormat="1" ht="60">
      <c r="A35" s="3">
        <f t="shared" si="1"/>
        <v>31</v>
      </c>
      <c r="B35" s="3">
        <f>'תקציב הנדסה 2022 '!B64</f>
        <v>2200</v>
      </c>
      <c r="C35" s="255" t="str">
        <f>'תקציב הנדסה 2022 '!C64</f>
        <v>פיתוח קיימות סביבה וחדשנות</v>
      </c>
      <c r="D35" s="4">
        <f>'תקציב הנדסה 2022 '!D64</f>
        <v>1700000</v>
      </c>
      <c r="E35" s="4">
        <f>'תקציב הנדסה 2022 '!E64</f>
        <v>1700000</v>
      </c>
      <c r="F35" s="4">
        <f>'תקציב הנדסה 2022 '!F64</f>
        <v>0</v>
      </c>
      <c r="G35" s="4">
        <f>'תקציב הנדסה 2022 '!G64</f>
        <v>0</v>
      </c>
      <c r="H35" s="4">
        <f>'תקציב הנדסה 2022 '!H64</f>
        <v>0</v>
      </c>
      <c r="I35" s="4">
        <f>'תקציב הנדסה 2022 '!I64</f>
        <v>0</v>
      </c>
      <c r="J35" s="4">
        <f>'תקציב הנדסה 2022 '!J64</f>
        <v>0</v>
      </c>
      <c r="K35" s="4">
        <f>'תקציב הנדסה 2022 '!K64</f>
        <v>0</v>
      </c>
      <c r="L35" s="4">
        <f>'תקציב הנדסה 2022 '!L64</f>
        <v>0</v>
      </c>
      <c r="M35" s="4">
        <f>'תקציב הנדסה 2022 '!M64</f>
        <v>150000</v>
      </c>
      <c r="N35" s="4">
        <f>'תקציב הנדסה 2022 '!N64</f>
        <v>300000</v>
      </c>
      <c r="O35" s="4">
        <f>'תקציב הנדסה 2022 '!O64</f>
        <v>1250000</v>
      </c>
      <c r="P35" s="4">
        <f>'תקציב הנדסה 2022 '!P64</f>
        <v>0</v>
      </c>
      <c r="Q35" s="4">
        <f>'תקציב הנדסה 2022 '!Q64</f>
        <v>150000</v>
      </c>
      <c r="R35" s="4">
        <f>'תקציב הנדסה 2022 '!R64</f>
        <v>0</v>
      </c>
      <c r="S35" s="4">
        <f>'תקציב הנדסה 2022 '!S64</f>
        <v>150000</v>
      </c>
      <c r="T35" s="4">
        <f>'תקציב הנדסה 2022 '!T64</f>
        <v>0</v>
      </c>
      <c r="U35" s="4">
        <f>'תקציב הנדסה 2022 '!U64</f>
        <v>300000</v>
      </c>
      <c r="V35" s="4">
        <f>'תקציב הנדסה 2022 '!V64</f>
        <v>300000</v>
      </c>
      <c r="W35" s="4">
        <f>'תקציב הנדסה 2022 '!W64</f>
        <v>0</v>
      </c>
      <c r="X35" s="4">
        <f>'תקציב הנדסה 2022 '!X64</f>
        <v>0</v>
      </c>
      <c r="Y35" s="4">
        <f>'תקציב הנדסה 2022 '!Y64</f>
        <v>0</v>
      </c>
      <c r="Z35" s="4">
        <f>'תקציב הנדסה 2022 '!Z64</f>
        <v>0</v>
      </c>
      <c r="AA35" s="4">
        <f>'תקציב הנדסה 2022 '!AA64</f>
        <v>0</v>
      </c>
      <c r="AB35" s="255" t="str">
        <f>'תקציב הנדסה 2022 '!AB64</f>
        <v xml:space="preserve">יועצי סביבה וקיימות בהיבטים תכנוניים. גיבוש מדיניות של תכנון מיטבי של שטחי החוץ בבי"ס. </v>
      </c>
      <c r="AC35" s="3">
        <f>'תקציב הנדסה 2022 '!AC64</f>
        <v>732000</v>
      </c>
      <c r="AD35" s="278" t="s">
        <v>1109</v>
      </c>
      <c r="AE35" s="278" t="s">
        <v>1110</v>
      </c>
      <c r="AF35" s="278"/>
      <c r="AG35" s="190">
        <v>150000</v>
      </c>
      <c r="AH35" s="190"/>
      <c r="AI35" s="190">
        <v>150000</v>
      </c>
      <c r="AJ35" s="446">
        <f t="shared" si="0"/>
        <v>0</v>
      </c>
      <c r="AK35" s="449"/>
      <c r="AL35" s="32"/>
      <c r="AM35" s="3"/>
      <c r="AN35" s="4"/>
      <c r="AO35" s="452" t="s">
        <v>1111</v>
      </c>
      <c r="AP35" s="3"/>
      <c r="AQ35" s="3"/>
      <c r="AR35" s="3" t="s">
        <v>1108</v>
      </c>
      <c r="AS35" s="448"/>
      <c r="AT35" s="3" t="s">
        <v>1108</v>
      </c>
      <c r="AU35" s="630"/>
      <c r="AV35" s="4"/>
      <c r="AW35" s="4">
        <f>-100000-100000</f>
        <v>-200000</v>
      </c>
      <c r="AX35" s="4"/>
      <c r="AY35" s="4"/>
      <c r="AZ35" s="4">
        <f>-100000-100000</f>
        <v>-200000</v>
      </c>
    </row>
    <row r="36" spans="1:52" s="5" customFormat="1" ht="38.450000000000003" customHeight="1">
      <c r="A36" s="3">
        <f t="shared" si="1"/>
        <v>32</v>
      </c>
      <c r="B36" s="3">
        <f>'תקציב הנדסה 2022 '!B67</f>
        <v>20000</v>
      </c>
      <c r="C36" s="255" t="str">
        <f>'תקציב הנדסה 2022 '!C67</f>
        <v>תכנית מתאר להתחדשות עירונית</v>
      </c>
      <c r="D36" s="4">
        <f>'תקציב הנדסה 2022 '!D67</f>
        <v>2500000</v>
      </c>
      <c r="E36" s="4">
        <f>'תקציב הנדסה 2022 '!E67</f>
        <v>0</v>
      </c>
      <c r="F36" s="4">
        <f>'תקציב הנדסה 2022 '!F67</f>
        <v>2500000</v>
      </c>
      <c r="G36" s="4">
        <f>'תקציב הנדסה 2022 '!G67</f>
        <v>0</v>
      </c>
      <c r="H36" s="4">
        <f>'תקציב הנדסה 2022 '!H67</f>
        <v>0</v>
      </c>
      <c r="I36" s="4">
        <f>'תקציב הנדסה 2022 '!I67</f>
        <v>0</v>
      </c>
      <c r="J36" s="4">
        <f>'תקציב הנדסה 2022 '!J67</f>
        <v>0</v>
      </c>
      <c r="K36" s="4">
        <f>'תקציב הנדסה 2022 '!K67</f>
        <v>0</v>
      </c>
      <c r="L36" s="4">
        <f>'תקציב הנדסה 2022 '!L67</f>
        <v>0</v>
      </c>
      <c r="M36" s="4">
        <f>'תקציב הנדסה 2022 '!M67</f>
        <v>0</v>
      </c>
      <c r="N36" s="4">
        <f>'תקציב הנדסה 2022 '!N67</f>
        <v>300000</v>
      </c>
      <c r="O36" s="4">
        <f>'תקציב הנדסה 2022 '!O67</f>
        <v>2200000</v>
      </c>
      <c r="P36" s="4">
        <f>'תקציב הנדסה 2022 '!P67</f>
        <v>0</v>
      </c>
      <c r="Q36" s="4">
        <f>'תקציב הנדסה 2022 '!Q67</f>
        <v>0</v>
      </c>
      <c r="R36" s="4">
        <f>'תקציב הנדסה 2022 '!R67</f>
        <v>0</v>
      </c>
      <c r="S36" s="4">
        <f>'תקציב הנדסה 2022 '!S67</f>
        <v>0</v>
      </c>
      <c r="T36" s="4">
        <f>'תקציב הנדסה 2022 '!T67</f>
        <v>0</v>
      </c>
      <c r="U36" s="4">
        <f>'תקציב הנדסה 2022 '!U67</f>
        <v>300000</v>
      </c>
      <c r="V36" s="4">
        <f>'תקציב הנדסה 2022 '!V67</f>
        <v>300000</v>
      </c>
      <c r="W36" s="4">
        <f>'תקציב הנדסה 2022 '!W67</f>
        <v>0</v>
      </c>
      <c r="X36" s="4">
        <f>'תקציב הנדסה 2022 '!X67</f>
        <v>0</v>
      </c>
      <c r="Y36" s="4">
        <f>'תקציב הנדסה 2022 '!Y67</f>
        <v>0</v>
      </c>
      <c r="Z36" s="4">
        <f>'תקציב הנדסה 2022 '!Z67</f>
        <v>0</v>
      </c>
      <c r="AA36" s="4">
        <f>'תקציב הנדסה 2022 '!AA67</f>
        <v>0</v>
      </c>
      <c r="AB36" s="255" t="str">
        <f>'תקציב הנדסה 2022 '!AB67</f>
        <v>תכנון ראשוני של כל המתחמים בעיר לבחינת פוטציאל התחדשות.</v>
      </c>
      <c r="AC36" s="3">
        <f>'תקציב הנדסה 2022 '!AC67</f>
        <v>732000</v>
      </c>
      <c r="AD36" s="374"/>
      <c r="AE36" s="445"/>
      <c r="AF36" s="445"/>
      <c r="AG36" s="190"/>
      <c r="AH36" s="190"/>
      <c r="AI36" s="3"/>
      <c r="AJ36" s="3"/>
      <c r="AK36" s="449" t="s">
        <v>1114</v>
      </c>
      <c r="AL36" s="32"/>
      <c r="AM36" s="7" t="s">
        <v>1115</v>
      </c>
      <c r="AN36" s="3" t="s">
        <v>1116</v>
      </c>
      <c r="AO36" s="452"/>
      <c r="AP36" s="3"/>
      <c r="AQ36" s="3"/>
      <c r="AR36" s="3"/>
      <c r="AS36" s="453" t="s">
        <v>1117</v>
      </c>
      <c r="AT36" s="3" t="s">
        <v>1902</v>
      </c>
      <c r="AU36" s="630" t="s">
        <v>2159</v>
      </c>
      <c r="AV36" s="574">
        <v>-200000</v>
      </c>
      <c r="AW36" s="4">
        <v>-100000</v>
      </c>
      <c r="AX36" s="4"/>
      <c r="AY36" s="4"/>
      <c r="AZ36" s="4">
        <v>-100000</v>
      </c>
    </row>
    <row r="37" spans="1:52" s="5" customFormat="1" ht="45">
      <c r="A37" s="3">
        <f t="shared" si="1"/>
        <v>33</v>
      </c>
      <c r="B37" s="3">
        <f>'תקציב הנדסה 2022 '!B75</f>
        <v>20008</v>
      </c>
      <c r="C37" s="255" t="str">
        <f>'תקציב הנדסה 2022 '!C75</f>
        <v>תכנון כולל הרצליה פיתוח</v>
      </c>
      <c r="D37" s="4">
        <f>'תקציב הנדסה 2022 '!D75</f>
        <v>1900000</v>
      </c>
      <c r="E37" s="4">
        <f>'תקציב הנדסה 2022 '!E75</f>
        <v>0</v>
      </c>
      <c r="F37" s="4">
        <f>'תקציב הנדסה 2022 '!F75</f>
        <v>1900000</v>
      </c>
      <c r="G37" s="4">
        <f>'תקציב הנדסה 2022 '!G75</f>
        <v>0</v>
      </c>
      <c r="H37" s="4">
        <f>'תקציב הנדסה 2022 '!H75</f>
        <v>0</v>
      </c>
      <c r="I37" s="4">
        <f>'תקציב הנדסה 2022 '!I75</f>
        <v>0</v>
      </c>
      <c r="J37" s="4">
        <f>'תקציב הנדסה 2022 '!J75</f>
        <v>0</v>
      </c>
      <c r="K37" s="4">
        <f>'תקציב הנדסה 2022 '!K75</f>
        <v>0</v>
      </c>
      <c r="L37" s="4">
        <f>'תקציב הנדסה 2022 '!L75</f>
        <v>0</v>
      </c>
      <c r="M37" s="4">
        <f>'תקציב הנדסה 2022 '!M75</f>
        <v>0</v>
      </c>
      <c r="N37" s="4">
        <f>'תקציב הנדסה 2022 '!N75</f>
        <v>450000</v>
      </c>
      <c r="O37" s="4">
        <f>'תקציב הנדסה 2022 '!O75</f>
        <v>1450000</v>
      </c>
      <c r="P37" s="4">
        <f>'תקציב הנדסה 2022 '!P75</f>
        <v>0</v>
      </c>
      <c r="Q37" s="4">
        <f>'תקציב הנדסה 2022 '!Q75</f>
        <v>0</v>
      </c>
      <c r="R37" s="4">
        <f>'תקציב הנדסה 2022 '!R75</f>
        <v>0</v>
      </c>
      <c r="S37" s="4">
        <f>'תקציב הנדסה 2022 '!S75</f>
        <v>0</v>
      </c>
      <c r="T37" s="4">
        <f>'תקציב הנדסה 2022 '!T75</f>
        <v>0</v>
      </c>
      <c r="U37" s="4">
        <f>'תקציב הנדסה 2022 '!U75</f>
        <v>450000</v>
      </c>
      <c r="V37" s="4">
        <f>'תקציב הנדסה 2022 '!V75</f>
        <v>450000</v>
      </c>
      <c r="W37" s="4">
        <f>'תקציב הנדסה 2022 '!W75</f>
        <v>0</v>
      </c>
      <c r="X37" s="4">
        <f>'תקציב הנדסה 2022 '!X75</f>
        <v>0</v>
      </c>
      <c r="Y37" s="4">
        <f>'תקציב הנדסה 2022 '!Y75</f>
        <v>0</v>
      </c>
      <c r="Z37" s="4">
        <f>'תקציב הנדסה 2022 '!Z75</f>
        <v>0</v>
      </c>
      <c r="AA37" s="4">
        <f>'תקציב הנדסה 2022 '!AA75</f>
        <v>0</v>
      </c>
      <c r="AB37" s="255" t="str">
        <f>'תקציב הנדסה 2022 '!AB75</f>
        <v>בחינת הגדלת זכויות בנייה ובדיקה פרוגרמטית הרצליה פיתוח.</v>
      </c>
      <c r="AC37" s="3">
        <f>'תקציב הנדסה 2022 '!AC75</f>
        <v>732000</v>
      </c>
      <c r="AD37" s="190"/>
      <c r="AE37" s="278"/>
      <c r="AF37" s="278"/>
      <c r="AG37" s="190"/>
      <c r="AH37" s="190"/>
      <c r="AI37" s="3"/>
      <c r="AJ37" s="3"/>
      <c r="AK37" s="449"/>
      <c r="AL37" s="32"/>
      <c r="AM37" s="3"/>
      <c r="AN37" s="3"/>
      <c r="AO37" s="452"/>
      <c r="AP37" s="3" t="s">
        <v>1136</v>
      </c>
      <c r="AQ37" s="3"/>
      <c r="AR37" s="3"/>
      <c r="AS37" s="448"/>
      <c r="AT37" s="3"/>
      <c r="AU37" s="630"/>
      <c r="AV37" s="4"/>
      <c r="AW37" s="4">
        <v>-600000</v>
      </c>
      <c r="AX37" s="4"/>
      <c r="AY37" s="4"/>
      <c r="AZ37" s="4">
        <v>-600000</v>
      </c>
    </row>
    <row r="38" spans="1:52" s="6" customFormat="1" ht="75">
      <c r="A38" s="3">
        <f t="shared" si="1"/>
        <v>34</v>
      </c>
      <c r="B38" s="3">
        <f>'תקציב הנדסה 2022 '!B76</f>
        <v>20009</v>
      </c>
      <c r="C38" s="255" t="str">
        <f>'תקציב הנדסה 2022 '!C76</f>
        <v>תכנון תב"ע מתחם הנופש "אקספורט"</v>
      </c>
      <c r="D38" s="4">
        <f>'תקציב הנדסה 2022 '!D76</f>
        <v>2150000</v>
      </c>
      <c r="E38" s="4">
        <f>'תקציב הנדסה 2022 '!E76</f>
        <v>0</v>
      </c>
      <c r="F38" s="4">
        <f>'תקציב הנדסה 2022 '!F76</f>
        <v>2150000</v>
      </c>
      <c r="G38" s="4">
        <f>'תקציב הנדסה 2022 '!G76</f>
        <v>0</v>
      </c>
      <c r="H38" s="4">
        <f>'תקציב הנדסה 2022 '!H76</f>
        <v>0</v>
      </c>
      <c r="I38" s="4">
        <f>'תקציב הנדסה 2022 '!I76</f>
        <v>0</v>
      </c>
      <c r="J38" s="4">
        <f>'תקציב הנדסה 2022 '!J76</f>
        <v>0</v>
      </c>
      <c r="K38" s="4">
        <f>'תקציב הנדסה 2022 '!K76</f>
        <v>0</v>
      </c>
      <c r="L38" s="4">
        <f>'תקציב הנדסה 2022 '!L76</f>
        <v>0</v>
      </c>
      <c r="M38" s="4">
        <f>'תקציב הנדסה 2022 '!M76</f>
        <v>0</v>
      </c>
      <c r="N38" s="4">
        <f>'תקציב הנדסה 2022 '!N76</f>
        <v>500000</v>
      </c>
      <c r="O38" s="4">
        <f>'תקציב הנדסה 2022 '!O76</f>
        <v>1650000</v>
      </c>
      <c r="P38" s="4">
        <f>'תקציב הנדסה 2022 '!P76</f>
        <v>0</v>
      </c>
      <c r="Q38" s="4">
        <f>'תקציב הנדסה 2022 '!Q76</f>
        <v>0</v>
      </c>
      <c r="R38" s="4">
        <f>'תקציב הנדסה 2022 '!R76</f>
        <v>0</v>
      </c>
      <c r="S38" s="4">
        <f>'תקציב הנדסה 2022 '!S76</f>
        <v>0</v>
      </c>
      <c r="T38" s="4">
        <f>'תקציב הנדסה 2022 '!T76</f>
        <v>0</v>
      </c>
      <c r="U38" s="4">
        <f>'תקציב הנדסה 2022 '!U76</f>
        <v>500000</v>
      </c>
      <c r="V38" s="4">
        <f>'תקציב הנדסה 2022 '!V76</f>
        <v>500000</v>
      </c>
      <c r="W38" s="4">
        <f>'תקציב הנדסה 2022 '!W76</f>
        <v>0</v>
      </c>
      <c r="X38" s="4">
        <f>'תקציב הנדסה 2022 '!X76</f>
        <v>0</v>
      </c>
      <c r="Y38" s="4">
        <f>'תקציב הנדסה 2022 '!Y76</f>
        <v>0</v>
      </c>
      <c r="Z38" s="4">
        <f>'תקציב הנדסה 2022 '!Z76</f>
        <v>0</v>
      </c>
      <c r="AA38" s="4">
        <f>'תקציב הנדסה 2022 '!AA76</f>
        <v>0</v>
      </c>
      <c r="AB38" s="255" t="str">
        <f>'תקציב הנדסה 2022 '!AB76</f>
        <v>תכנון והיערכות להכנת תוכנית סטטוטורית לאישור הועדה המחוזית בעתודת קרקע בין הרחובות יוסף נבו , ז'בוטינסקי ובן ציון מיכאלי.</v>
      </c>
      <c r="AC38" s="3">
        <f>'תקציב הנדסה 2022 '!AC76</f>
        <v>732000</v>
      </c>
      <c r="AD38" s="190"/>
      <c r="AE38" s="278"/>
      <c r="AF38" s="278"/>
      <c r="AG38" s="190"/>
      <c r="AH38" s="190"/>
      <c r="AI38" s="3"/>
      <c r="AJ38" s="3"/>
      <c r="AK38" s="449"/>
      <c r="AL38" s="32"/>
      <c r="AM38" s="3"/>
      <c r="AN38" s="3"/>
      <c r="AO38" s="452"/>
      <c r="AP38" s="3" t="s">
        <v>1136</v>
      </c>
      <c r="AQ38" s="3"/>
      <c r="AR38" s="3"/>
      <c r="AS38" s="448"/>
      <c r="AT38" s="3"/>
      <c r="AU38" s="630"/>
      <c r="AV38" s="4"/>
      <c r="AW38" s="4"/>
      <c r="AX38" s="4">
        <v>800000</v>
      </c>
      <c r="AY38" s="4">
        <f>AX38-N38</f>
        <v>300000</v>
      </c>
      <c r="AZ38" s="4">
        <v>-200000</v>
      </c>
    </row>
    <row r="39" spans="1:52" s="62" customFormat="1" ht="25.15" customHeight="1">
      <c r="A39" s="32"/>
      <c r="B39" s="32"/>
      <c r="C39" s="358" t="s">
        <v>800</v>
      </c>
      <c r="D39" s="65">
        <f t="shared" ref="D39:AA39" si="2">SUM(D5:D38)</f>
        <v>110275490</v>
      </c>
      <c r="E39" s="65">
        <f t="shared" si="2"/>
        <v>102935490</v>
      </c>
      <c r="F39" s="65">
        <f t="shared" si="2"/>
        <v>7340000</v>
      </c>
      <c r="G39" s="65">
        <f t="shared" si="2"/>
        <v>60741999</v>
      </c>
      <c r="H39" s="65">
        <f t="shared" si="2"/>
        <v>42736110</v>
      </c>
      <c r="I39" s="65">
        <f t="shared" si="2"/>
        <v>3309359</v>
      </c>
      <c r="J39" s="65">
        <f t="shared" si="2"/>
        <v>2941510</v>
      </c>
      <c r="K39" s="65">
        <f t="shared" si="2"/>
        <v>6250869</v>
      </c>
      <c r="L39" s="65">
        <f t="shared" si="2"/>
        <v>48986979</v>
      </c>
      <c r="M39" s="65">
        <f t="shared" si="2"/>
        <v>3225020</v>
      </c>
      <c r="N39" s="65">
        <f t="shared" si="2"/>
        <v>14700000</v>
      </c>
      <c r="O39" s="65">
        <f t="shared" si="2"/>
        <v>43363491</v>
      </c>
      <c r="P39" s="65">
        <f t="shared" si="2"/>
        <v>11755020</v>
      </c>
      <c r="Q39" s="65">
        <f t="shared" si="2"/>
        <v>500000</v>
      </c>
      <c r="R39" s="65">
        <f t="shared" si="2"/>
        <v>0</v>
      </c>
      <c r="S39" s="65">
        <f t="shared" si="2"/>
        <v>500000</v>
      </c>
      <c r="T39" s="65">
        <f t="shared" si="2"/>
        <v>9030000</v>
      </c>
      <c r="U39" s="65">
        <f t="shared" si="2"/>
        <v>5670000</v>
      </c>
      <c r="V39" s="65">
        <f t="shared" si="2"/>
        <v>3605774</v>
      </c>
      <c r="W39" s="65">
        <f t="shared" si="2"/>
        <v>0</v>
      </c>
      <c r="X39" s="65">
        <f t="shared" si="2"/>
        <v>0</v>
      </c>
      <c r="Y39" s="65">
        <f t="shared" si="2"/>
        <v>0</v>
      </c>
      <c r="Z39" s="65">
        <f t="shared" si="2"/>
        <v>0</v>
      </c>
      <c r="AA39" s="65">
        <f t="shared" si="2"/>
        <v>2064226</v>
      </c>
      <c r="AB39" s="358"/>
      <c r="AC39" s="32"/>
      <c r="AD39" s="790"/>
      <c r="AE39" s="791"/>
      <c r="AF39" s="791"/>
      <c r="AG39" s="790"/>
      <c r="AH39" s="790"/>
      <c r="AI39" s="32"/>
      <c r="AJ39" s="32"/>
      <c r="AK39" s="792"/>
      <c r="AL39" s="32"/>
      <c r="AM39" s="32"/>
      <c r="AN39" s="32"/>
      <c r="AO39" s="793"/>
      <c r="AP39" s="32"/>
      <c r="AQ39" s="32"/>
      <c r="AR39" s="32"/>
      <c r="AS39" s="458"/>
      <c r="AT39" s="32"/>
      <c r="AU39" s="794"/>
      <c r="AV39" s="65"/>
      <c r="AW39" s="65"/>
      <c r="AX39" s="65"/>
      <c r="AY39" s="65"/>
      <c r="AZ39" s="65"/>
    </row>
    <row r="40" spans="1:52" s="5" customFormat="1" ht="75">
      <c r="A40" s="3">
        <f>A38+1</f>
        <v>35</v>
      </c>
      <c r="B40" s="3">
        <f>'תקציב הנדסה 2022 '!B6</f>
        <v>507</v>
      </c>
      <c r="C40" s="255" t="str">
        <f>'תקציב הנדסה 2022 '!C6</f>
        <v>החלפת מדרכות</v>
      </c>
      <c r="D40" s="4">
        <f>'תקציב הנדסה 2022 '!D6</f>
        <v>2315000</v>
      </c>
      <c r="E40" s="4">
        <f>'תקציב הנדסה 2022 '!E6</f>
        <v>1965000</v>
      </c>
      <c r="F40" s="4">
        <f>'תקציב הנדסה 2022 '!F6</f>
        <v>350000</v>
      </c>
      <c r="G40" s="4">
        <f>'תקציב הנדסה 2022 '!G6</f>
        <v>1965000</v>
      </c>
      <c r="H40" s="4">
        <f>'תקציב הנדסה 2022 '!H6</f>
        <v>1653104</v>
      </c>
      <c r="I40" s="4">
        <f>'תקציב הנדסה 2022 '!I6</f>
        <v>0</v>
      </c>
      <c r="J40" s="4">
        <f>'תקציב הנדסה 2022 '!J6</f>
        <v>0</v>
      </c>
      <c r="K40" s="4">
        <f>'תקציב הנדסה 2022 '!K6</f>
        <v>0</v>
      </c>
      <c r="L40" s="4">
        <f>'תקציב הנדסה 2022 '!L6</f>
        <v>1653104</v>
      </c>
      <c r="M40" s="4">
        <f>'תקציב הנדסה 2022 '!M6</f>
        <v>161896</v>
      </c>
      <c r="N40" s="4">
        <f>'תקציב הנדסה 2022 '!N6</f>
        <v>500000</v>
      </c>
      <c r="O40" s="4">
        <f>'תקציב הנדסה 2022 '!O6</f>
        <v>0</v>
      </c>
      <c r="P40" s="4">
        <f>'תקציב הנדסה 2022 '!P6</f>
        <v>311896</v>
      </c>
      <c r="Q40" s="4">
        <f>'תקציב הנדסה 2022 '!Q6</f>
        <v>0</v>
      </c>
      <c r="R40" s="4">
        <f>'תקציב הנדסה 2022 '!R6</f>
        <v>0</v>
      </c>
      <c r="S40" s="4">
        <f>'תקציב הנדסה 2022 '!S6</f>
        <v>0</v>
      </c>
      <c r="T40" s="4">
        <f>'תקציב הנדסה 2022 '!T6</f>
        <v>150000</v>
      </c>
      <c r="U40" s="4">
        <f>'תקציב הנדסה 2022 '!U6</f>
        <v>350000</v>
      </c>
      <c r="V40" s="4">
        <f>'תקציב הנדסה 2022 '!V6</f>
        <v>350000</v>
      </c>
      <c r="W40" s="4">
        <f>'תקציב הנדסה 2022 '!W6</f>
        <v>0</v>
      </c>
      <c r="X40" s="4">
        <f>'תקציב הנדסה 2022 '!X6</f>
        <v>0</v>
      </c>
      <c r="Y40" s="4">
        <f>'תקציב הנדסה 2022 '!Y6</f>
        <v>0</v>
      </c>
      <c r="Z40" s="4">
        <f>'תקציב הנדסה 2022 '!Z6</f>
        <v>0</v>
      </c>
      <c r="AA40" s="4">
        <f>'תקציב הנדסה 2022 '!AA6</f>
        <v>0</v>
      </c>
      <c r="AB40" s="255" t="str">
        <f>'תקציב הנדסה 2022 '!AB6</f>
        <v>מסגרת ביצוע  עבודות מדרכות לאחר השלמת עבודות בניה כתוצאה מהיתרים.</v>
      </c>
      <c r="AC40" s="3">
        <f>'תקציב הנדסה 2022 '!AC6</f>
        <v>742000</v>
      </c>
      <c r="AD40" s="374"/>
      <c r="AE40" s="278" t="s">
        <v>943</v>
      </c>
      <c r="AF40" s="445"/>
      <c r="AG40" s="190">
        <v>150000</v>
      </c>
      <c r="AH40" s="190">
        <f>AG40</f>
        <v>150000</v>
      </c>
      <c r="AI40" s="3"/>
      <c r="AJ40" s="446">
        <f t="shared" ref="AJ40:AJ65" si="3">AG40-AH40-AI40</f>
        <v>0</v>
      </c>
      <c r="AK40" s="449" t="s">
        <v>944</v>
      </c>
      <c r="AL40" s="32"/>
      <c r="AM40" s="3"/>
      <c r="AN40" s="4"/>
      <c r="AO40" s="9" t="s">
        <v>945</v>
      </c>
      <c r="AP40" s="3"/>
      <c r="AQ40" s="3"/>
      <c r="AR40" s="3" t="s">
        <v>941</v>
      </c>
      <c r="AS40" s="448"/>
      <c r="AT40" s="3" t="s">
        <v>941</v>
      </c>
      <c r="AU40" s="630"/>
      <c r="AV40" s="4"/>
      <c r="AW40" s="4">
        <v>-200000</v>
      </c>
      <c r="AX40" s="659"/>
      <c r="AY40" s="4"/>
      <c r="AZ40" s="4">
        <v>-200000</v>
      </c>
    </row>
    <row r="41" spans="1:52" s="5" customFormat="1" ht="44.45" customHeight="1">
      <c r="A41" s="3">
        <f t="shared" ref="A41:A76" si="4">A40+1</f>
        <v>36</v>
      </c>
      <c r="B41" s="3">
        <f>'תקציב הנדסה 2022 '!B7</f>
        <v>546</v>
      </c>
      <c r="C41" s="255" t="str">
        <f>'תקציב הנדסה 2022 '!C7</f>
        <v>מתחם הגאון מוילנא חתם סופר</v>
      </c>
      <c r="D41" s="4">
        <f>'תקציב הנדסה 2022 '!D7</f>
        <v>2920000</v>
      </c>
      <c r="E41" s="4">
        <f>'תקציב הנדסה 2022 '!E7</f>
        <v>2920000</v>
      </c>
      <c r="F41" s="4">
        <f>'תקציב הנדסה 2022 '!F7</f>
        <v>0</v>
      </c>
      <c r="G41" s="4">
        <f>'תקציב הנדסה 2022 '!G7</f>
        <v>2920000</v>
      </c>
      <c r="H41" s="4">
        <f>'תקציב הנדסה 2022 '!H7</f>
        <v>2895703</v>
      </c>
      <c r="I41" s="4">
        <f>'תקציב הנדסה 2022 '!I7</f>
        <v>0</v>
      </c>
      <c r="J41" s="4">
        <f>'תקציב הנדסה 2022 '!J7</f>
        <v>18053</v>
      </c>
      <c r="K41" s="4">
        <f>'תקציב הנדסה 2022 '!K7</f>
        <v>18053</v>
      </c>
      <c r="L41" s="4">
        <f>'תקציב הנדסה 2022 '!L7</f>
        <v>2913756</v>
      </c>
      <c r="M41" s="4">
        <f>'תקציב הנדסה 2022 '!M7</f>
        <v>6244</v>
      </c>
      <c r="N41" s="4">
        <f>'תקציב הנדסה 2022 '!N7</f>
        <v>0</v>
      </c>
      <c r="O41" s="4">
        <f>'תקציב הנדסה 2022 '!O7</f>
        <v>0</v>
      </c>
      <c r="P41" s="4">
        <f>'תקציב הנדסה 2022 '!P7</f>
        <v>6244</v>
      </c>
      <c r="Q41" s="4">
        <f>'תקציב הנדסה 2022 '!Q7</f>
        <v>0</v>
      </c>
      <c r="R41" s="4">
        <f>'תקציב הנדסה 2022 '!R7</f>
        <v>0</v>
      </c>
      <c r="S41" s="4">
        <f>'תקציב הנדסה 2022 '!S7</f>
        <v>0</v>
      </c>
      <c r="T41" s="4">
        <f>'תקציב הנדסה 2022 '!T7</f>
        <v>0</v>
      </c>
      <c r="U41" s="4">
        <f>'תקציב הנדסה 2022 '!U7</f>
        <v>0</v>
      </c>
      <c r="V41" s="4">
        <f>'תקציב הנדסה 2022 '!V7</f>
        <v>0</v>
      </c>
      <c r="W41" s="4">
        <f>'תקציב הנדסה 2022 '!W7</f>
        <v>0</v>
      </c>
      <c r="X41" s="4">
        <f>'תקציב הנדסה 2022 '!X7</f>
        <v>0</v>
      </c>
      <c r="Y41" s="4">
        <f>'תקציב הנדסה 2022 '!Y7</f>
        <v>0</v>
      </c>
      <c r="Z41" s="4">
        <f>'תקציב הנדסה 2022 '!Z7</f>
        <v>0</v>
      </c>
      <c r="AA41" s="4">
        <f>'תקציב הנדסה 2022 '!AA7</f>
        <v>0</v>
      </c>
      <c r="AB41" s="255" t="str">
        <f>'תקציב הנדסה 2022 '!AB7</f>
        <v>התב"ר לסגירה.</v>
      </c>
      <c r="AC41" s="3">
        <f>'תקציב הנדסה 2022 '!AC7</f>
        <v>742000</v>
      </c>
      <c r="AD41" s="450" t="s">
        <v>946</v>
      </c>
      <c r="AE41" s="278" t="s">
        <v>947</v>
      </c>
      <c r="AF41" s="278"/>
      <c r="AG41" s="190"/>
      <c r="AH41" s="190"/>
      <c r="AI41" s="3"/>
      <c r="AJ41" s="446">
        <f t="shared" si="3"/>
        <v>0</v>
      </c>
      <c r="AK41" s="449"/>
      <c r="AL41" s="32"/>
      <c r="AM41" s="3"/>
      <c r="AN41" s="4"/>
      <c r="AO41" s="9" t="str">
        <f>AE41</f>
        <v>לקבל עדכון לסגירת השריון.לסגור תב"ר.</v>
      </c>
      <c r="AP41" s="3"/>
      <c r="AQ41" s="3"/>
      <c r="AR41" s="3" t="s">
        <v>679</v>
      </c>
      <c r="AS41" s="448"/>
      <c r="AT41" s="3" t="s">
        <v>679</v>
      </c>
      <c r="AU41" s="630"/>
      <c r="AV41" s="4"/>
      <c r="AW41" s="4"/>
      <c r="AX41" s="659"/>
      <c r="AY41" s="4"/>
      <c r="AZ41" s="4"/>
    </row>
    <row r="42" spans="1:52" s="5" customFormat="1" ht="45">
      <c r="A42" s="3">
        <f t="shared" si="4"/>
        <v>37</v>
      </c>
      <c r="B42" s="3">
        <f>'תקציב הנדסה 2022 '!B8</f>
        <v>592</v>
      </c>
      <c r="C42" s="255" t="str">
        <f>'תקציב הנדסה 2022 '!C8</f>
        <v>מתחם הבריגדה מתחם הר' 1960</v>
      </c>
      <c r="D42" s="4">
        <f>'תקציב הנדסה 2022 '!D8</f>
        <v>54893000</v>
      </c>
      <c r="E42" s="4">
        <f>'תקציב הנדסה 2022 '!E8</f>
        <v>54893000</v>
      </c>
      <c r="F42" s="4">
        <f>'תקציב הנדסה 2022 '!F8</f>
        <v>0</v>
      </c>
      <c r="G42" s="4">
        <f>'תקציב הנדסה 2022 '!G8</f>
        <v>21420000</v>
      </c>
      <c r="H42" s="4">
        <f>'תקציב הנדסה 2022 '!H8</f>
        <v>19882849</v>
      </c>
      <c r="I42" s="4">
        <f>'תקציב הנדסה 2022 '!I8</f>
        <v>149112</v>
      </c>
      <c r="J42" s="4">
        <f>'תקציב הנדסה 2022 '!J8</f>
        <v>278238</v>
      </c>
      <c r="K42" s="4">
        <f>'תקציב הנדסה 2022 '!K8</f>
        <v>427350</v>
      </c>
      <c r="L42" s="4">
        <f>'תקציב הנדסה 2022 '!L8</f>
        <v>20310199</v>
      </c>
      <c r="M42" s="4">
        <f>'תקציב הנדסה 2022 '!M8</f>
        <v>309801</v>
      </c>
      <c r="N42" s="4">
        <f>'תקציב הנדסה 2022 '!N8</f>
        <v>1100000</v>
      </c>
      <c r="O42" s="4">
        <f>'תקציב הנדסה 2022 '!O8</f>
        <v>33173000</v>
      </c>
      <c r="P42" s="4">
        <f>'תקציב הנדסה 2022 '!P8</f>
        <v>1109801</v>
      </c>
      <c r="Q42" s="4">
        <f>'תקציב הנדסה 2022 '!Q8</f>
        <v>0</v>
      </c>
      <c r="R42" s="4">
        <f>'תקציב הנדסה 2022 '!R8</f>
        <v>0</v>
      </c>
      <c r="S42" s="4">
        <f>'תקציב הנדסה 2022 '!S8</f>
        <v>0</v>
      </c>
      <c r="T42" s="4">
        <f>'תקציב הנדסה 2022 '!T8</f>
        <v>800000</v>
      </c>
      <c r="U42" s="4">
        <f>'תקציב הנדסה 2022 '!U8</f>
        <v>300000</v>
      </c>
      <c r="V42" s="4">
        <f>'תקציב הנדסה 2022 '!V8</f>
        <v>300000</v>
      </c>
      <c r="W42" s="4">
        <f>'תקציב הנדסה 2022 '!W8</f>
        <v>0</v>
      </c>
      <c r="X42" s="4">
        <f>'תקציב הנדסה 2022 '!X8</f>
        <v>0</v>
      </c>
      <c r="Y42" s="4">
        <f>'תקציב הנדסה 2022 '!Y8</f>
        <v>0</v>
      </c>
      <c r="Z42" s="4">
        <f>'תקציב הנדסה 2022 '!Z8</f>
        <v>0</v>
      </c>
      <c r="AA42" s="4">
        <f>'תקציב הנדסה 2022 '!AA8</f>
        <v>0</v>
      </c>
      <c r="AB42" s="255" t="str">
        <f>'תקציב הנדסה 2022 '!AB8</f>
        <v xml:space="preserve">השלמת ביצוע  עבודות סלילה ופיתוח סופי רח' דן שומרון. תכנון רח' דורי. </v>
      </c>
      <c r="AC42" s="3">
        <f>'תקציב הנדסה 2022 '!AC8</f>
        <v>742000</v>
      </c>
      <c r="AD42" s="190"/>
      <c r="AE42" s="278" t="s">
        <v>948</v>
      </c>
      <c r="AF42" s="278"/>
      <c r="AG42" s="190">
        <v>300000</v>
      </c>
      <c r="AH42" s="190">
        <v>300000</v>
      </c>
      <c r="AI42" s="3"/>
      <c r="AJ42" s="446">
        <f t="shared" si="3"/>
        <v>0</v>
      </c>
      <c r="AK42" s="449"/>
      <c r="AL42" s="32"/>
      <c r="AM42" s="3"/>
      <c r="AN42" s="4"/>
      <c r="AO42" s="9" t="str">
        <f>AE42</f>
        <v>לקבל עדכון לתאור העבודות ופרוט אומדן.</v>
      </c>
      <c r="AP42" s="3"/>
      <c r="AQ42" s="3"/>
      <c r="AR42" s="3" t="s">
        <v>949</v>
      </c>
      <c r="AS42" s="448"/>
      <c r="AT42" s="3" t="s">
        <v>949</v>
      </c>
      <c r="AU42" s="630"/>
      <c r="AV42" s="4"/>
      <c r="AW42" s="4"/>
      <c r="AX42" s="659"/>
      <c r="AY42" s="4"/>
      <c r="AZ42" s="4"/>
    </row>
    <row r="43" spans="1:52" s="399" customFormat="1" ht="42" customHeight="1">
      <c r="A43" s="3">
        <f t="shared" si="4"/>
        <v>38</v>
      </c>
      <c r="B43" s="3">
        <f>'תקציב הנדסה 2022 '!B11</f>
        <v>638</v>
      </c>
      <c r="C43" s="255" t="str">
        <f>'תקציב הנדסה 2022 '!C11</f>
        <v>פיתוח מתחם רזיאל מע' תב"ע 1706</v>
      </c>
      <c r="D43" s="4">
        <f>'תקציב הנדסה 2022 '!D11</f>
        <v>4436000</v>
      </c>
      <c r="E43" s="4">
        <f>'תקציב הנדסה 2022 '!E11</f>
        <v>7000000</v>
      </c>
      <c r="F43" s="4">
        <f>'תקציב הנדסה 2022 '!F11</f>
        <v>-2564000</v>
      </c>
      <c r="G43" s="4">
        <f>'תקציב הנדסה 2022 '!G11</f>
        <v>3936000</v>
      </c>
      <c r="H43" s="4">
        <f>'תקציב הנדסה 2022 '!H11</f>
        <v>3713997</v>
      </c>
      <c r="I43" s="4">
        <f>'תקציב הנדסה 2022 '!I11</f>
        <v>0</v>
      </c>
      <c r="J43" s="4">
        <f>'תקציב הנדסה 2022 '!J11</f>
        <v>2399</v>
      </c>
      <c r="K43" s="4">
        <f>'תקציב הנדסה 2022 '!K11</f>
        <v>2399</v>
      </c>
      <c r="L43" s="4">
        <f>'תקציב הנדסה 2022 '!L11</f>
        <v>3716396</v>
      </c>
      <c r="M43" s="4">
        <f>'תקציב הנדסה 2022 '!M11</f>
        <v>719604</v>
      </c>
      <c r="N43" s="4">
        <f>'תקציב הנדסה 2022 '!N11</f>
        <v>0</v>
      </c>
      <c r="O43" s="4">
        <f>'תקציב הנדסה 2022 '!O11</f>
        <v>0</v>
      </c>
      <c r="P43" s="4">
        <f>'תקציב הנדסה 2022 '!P11</f>
        <v>219604</v>
      </c>
      <c r="Q43" s="4">
        <f>'תקציב הנדסה 2022 '!Q11</f>
        <v>500000</v>
      </c>
      <c r="R43" s="4">
        <f>'תקציב הנדסה 2022 '!R11</f>
        <v>0</v>
      </c>
      <c r="S43" s="4">
        <f>'תקציב הנדסה 2022 '!S11</f>
        <v>500000</v>
      </c>
      <c r="T43" s="4">
        <f>'תקציב הנדסה 2022 '!T11</f>
        <v>0</v>
      </c>
      <c r="U43" s="4">
        <f>'תקציב הנדסה 2022 '!U11</f>
        <v>0</v>
      </c>
      <c r="V43" s="4">
        <f>'תקציב הנדסה 2022 '!V11</f>
        <v>0</v>
      </c>
      <c r="W43" s="4">
        <f>'תקציב הנדסה 2022 '!W11</f>
        <v>0</v>
      </c>
      <c r="X43" s="4">
        <f>'תקציב הנדסה 2022 '!X11</f>
        <v>0</v>
      </c>
      <c r="Y43" s="4">
        <f>'תקציב הנדסה 2022 '!Y11</f>
        <v>0</v>
      </c>
      <c r="Z43" s="4">
        <f>'תקציב הנדסה 2022 '!Z11</f>
        <v>0</v>
      </c>
      <c r="AA43" s="4">
        <f>'תקציב הנדסה 2022 '!AA11</f>
        <v>0</v>
      </c>
      <c r="AB43" s="255" t="str">
        <f>'תקציב הנדסה 2022 '!AB11</f>
        <v>פיתוח  סופי ברח' זאב במתחם והתחברות כביש סלילה ליהודה הנשיא.</v>
      </c>
      <c r="AC43" s="3">
        <f>'תקציב הנדסה 2022 '!AC11</f>
        <v>742000</v>
      </c>
      <c r="AD43" s="190"/>
      <c r="AE43" s="278" t="s">
        <v>962</v>
      </c>
      <c r="AF43" s="278"/>
      <c r="AG43" s="190">
        <v>500000</v>
      </c>
      <c r="AH43" s="190">
        <v>200000</v>
      </c>
      <c r="AI43" s="190">
        <v>300000</v>
      </c>
      <c r="AJ43" s="446">
        <f t="shared" si="3"/>
        <v>0</v>
      </c>
      <c r="AK43" s="449" t="s">
        <v>955</v>
      </c>
      <c r="AL43" s="449" t="s">
        <v>963</v>
      </c>
      <c r="AM43" s="7" t="s">
        <v>964</v>
      </c>
      <c r="AN43" s="64" t="s">
        <v>965</v>
      </c>
      <c r="AO43" s="9"/>
      <c r="AP43" s="3" t="s">
        <v>966</v>
      </c>
      <c r="AQ43" s="3"/>
      <c r="AR43" s="3"/>
      <c r="AS43" s="448"/>
      <c r="AT43" s="3"/>
      <c r="AU43" s="630"/>
      <c r="AV43" s="4"/>
      <c r="AW43" s="4"/>
      <c r="AX43" s="659"/>
      <c r="AY43" s="4"/>
      <c r="AZ43" s="4"/>
    </row>
    <row r="44" spans="1:52" s="6" customFormat="1" ht="60">
      <c r="A44" s="3">
        <f t="shared" si="4"/>
        <v>39</v>
      </c>
      <c r="B44" s="3">
        <f>'תקציב הנדסה 2022 '!B12</f>
        <v>1018</v>
      </c>
      <c r="C44" s="255" t="str">
        <f>'תקציב הנדסה 2022 '!C12</f>
        <v>מחלף הרב מכר</v>
      </c>
      <c r="D44" s="4">
        <f>'תקציב הנדסה 2022 '!D12</f>
        <v>31900000</v>
      </c>
      <c r="E44" s="4">
        <f>'תקציב הנדסה 2022 '!E12</f>
        <v>31900000</v>
      </c>
      <c r="F44" s="4">
        <f>'תקציב הנדסה 2022 '!F12</f>
        <v>0</v>
      </c>
      <c r="G44" s="4">
        <f>'תקציב הנדסה 2022 '!G12</f>
        <v>3150000</v>
      </c>
      <c r="H44" s="4">
        <f>'תקציב הנדסה 2022 '!H12</f>
        <v>3059671</v>
      </c>
      <c r="I44" s="4">
        <f>'תקציב הנדסה 2022 '!I12</f>
        <v>84193</v>
      </c>
      <c r="J44" s="4">
        <f>'תקציב הנדסה 2022 '!J12</f>
        <v>0</v>
      </c>
      <c r="K44" s="4">
        <f>'תקציב הנדסה 2022 '!K12</f>
        <v>84193</v>
      </c>
      <c r="L44" s="4">
        <f>'תקציב הנדסה 2022 '!L12</f>
        <v>3143864</v>
      </c>
      <c r="M44" s="4">
        <f>'תקציב הנדסה 2022 '!M12</f>
        <v>6136</v>
      </c>
      <c r="N44" s="4">
        <f>'תקציב הנדסה 2022 '!N12</f>
        <v>0</v>
      </c>
      <c r="O44" s="4">
        <f>'תקציב הנדסה 2022 '!O12</f>
        <v>28750000</v>
      </c>
      <c r="P44" s="4">
        <f>'תקציב הנדסה 2022 '!P12</f>
        <v>6136</v>
      </c>
      <c r="Q44" s="4">
        <f>'תקציב הנדסה 2022 '!Q12</f>
        <v>0</v>
      </c>
      <c r="R44" s="4">
        <f>'תקציב הנדסה 2022 '!R12</f>
        <v>0</v>
      </c>
      <c r="S44" s="4">
        <f>'תקציב הנדסה 2022 '!S12</f>
        <v>0</v>
      </c>
      <c r="T44" s="4">
        <f>'תקציב הנדסה 2022 '!T12</f>
        <v>0</v>
      </c>
      <c r="U44" s="4">
        <f>'תקציב הנדסה 2022 '!U12</f>
        <v>0</v>
      </c>
      <c r="V44" s="4">
        <f>'תקציב הנדסה 2022 '!V12</f>
        <v>0</v>
      </c>
      <c r="W44" s="4">
        <f>'תקציב הנדסה 2022 '!W12</f>
        <v>0</v>
      </c>
      <c r="X44" s="4">
        <f>'תקציב הנדסה 2022 '!X12</f>
        <v>0</v>
      </c>
      <c r="Y44" s="4">
        <f>'תקציב הנדסה 2022 '!Y12</f>
        <v>0</v>
      </c>
      <c r="Z44" s="4">
        <f>'תקציב הנדסה 2022 '!Z12</f>
        <v>0</v>
      </c>
      <c r="AA44" s="4">
        <f>'תקציב הנדסה 2022 '!AA12</f>
        <v>0</v>
      </c>
      <c r="AB44" s="255" t="str">
        <f>'תקציב הנדסה 2022 '!AB12</f>
        <v>פרויקט ממשלתי המתוקצב ע"י המדינה במקביל לרשות. הביצוע העירוני מתעכב עקב בעית פולש והמינהל.</v>
      </c>
      <c r="AC44" s="3">
        <f>'תקציב הנדסה 2022 '!AC12</f>
        <v>742000</v>
      </c>
      <c r="AD44" s="190"/>
      <c r="AE44" s="278" t="s">
        <v>967</v>
      </c>
      <c r="AF44" s="278"/>
      <c r="AG44" s="3"/>
      <c r="AH44" s="190"/>
      <c r="AI44" s="3"/>
      <c r="AJ44" s="446">
        <f t="shared" si="3"/>
        <v>0</v>
      </c>
      <c r="AK44" s="449"/>
      <c r="AL44" s="32"/>
      <c r="AM44" s="3"/>
      <c r="AN44" s="4"/>
      <c r="AO44" s="9"/>
      <c r="AP44" s="3"/>
      <c r="AQ44" s="3"/>
      <c r="AR44" s="3"/>
      <c r="AS44" s="448"/>
      <c r="AT44" s="3"/>
      <c r="AU44" s="630"/>
      <c r="AV44" s="4"/>
      <c r="AW44" s="4"/>
      <c r="AX44" s="659"/>
      <c r="AY44" s="4"/>
      <c r="AZ44" s="4"/>
    </row>
    <row r="45" spans="1:52" s="6" customFormat="1" ht="42.6" customHeight="1">
      <c r="A45" s="3">
        <f t="shared" si="4"/>
        <v>40</v>
      </c>
      <c r="B45" s="3">
        <f>'תקציב הנדסה 2022 '!B14</f>
        <v>1129</v>
      </c>
      <c r="C45" s="255" t="str">
        <f>'תקציב הנדסה 2022 '!C14</f>
        <v>עבודות פיתוח ותשתיות קטנות</v>
      </c>
      <c r="D45" s="4">
        <f>'תקציב הנדסה 2022 '!D14</f>
        <v>7000000</v>
      </c>
      <c r="E45" s="4">
        <f>'תקציב הנדסה 2022 '!E14</f>
        <v>7000000</v>
      </c>
      <c r="F45" s="4">
        <f>'תקציב הנדסה 2022 '!F14</f>
        <v>0</v>
      </c>
      <c r="G45" s="4">
        <f>'תקציב הנדסה 2022 '!G14</f>
        <v>6491771</v>
      </c>
      <c r="H45" s="4">
        <f>'תקציב הנדסה 2022 '!H14</f>
        <v>5523249</v>
      </c>
      <c r="I45" s="4">
        <f>'תקציב הנדסה 2022 '!I14</f>
        <v>0</v>
      </c>
      <c r="J45" s="4">
        <f>'תקציב הנדסה 2022 '!J14</f>
        <v>648499</v>
      </c>
      <c r="K45" s="4">
        <f>'תקציב הנדסה 2022 '!K14</f>
        <v>648499</v>
      </c>
      <c r="L45" s="4">
        <f>'תקציב הנדסה 2022 '!L14</f>
        <v>6171748</v>
      </c>
      <c r="M45" s="4">
        <f>'תקציב הנדסה 2022 '!M14</f>
        <v>20023</v>
      </c>
      <c r="N45" s="4">
        <f>'תקציב הנדסה 2022 '!N14</f>
        <v>600000</v>
      </c>
      <c r="O45" s="4">
        <f>'תקציב הנדסה 2022 '!O14</f>
        <v>208229</v>
      </c>
      <c r="P45" s="4">
        <f>'תקציב הנדסה 2022 '!P14</f>
        <v>320023</v>
      </c>
      <c r="Q45" s="4">
        <f>'תקציב הנדסה 2022 '!Q14</f>
        <v>0</v>
      </c>
      <c r="R45" s="4">
        <f>'תקציב הנדסה 2022 '!R14</f>
        <v>0</v>
      </c>
      <c r="S45" s="4">
        <f>'תקציב הנדסה 2022 '!S14</f>
        <v>0</v>
      </c>
      <c r="T45" s="4">
        <f>'תקציב הנדסה 2022 '!T14</f>
        <v>300000</v>
      </c>
      <c r="U45" s="4">
        <f>'תקציב הנדסה 2022 '!U14</f>
        <v>300000</v>
      </c>
      <c r="V45" s="4">
        <f>'תקציב הנדסה 2022 '!V14</f>
        <v>300000</v>
      </c>
      <c r="W45" s="4">
        <f>'תקציב הנדסה 2022 '!W14</f>
        <v>0</v>
      </c>
      <c r="X45" s="4">
        <f>'תקציב הנדסה 2022 '!X14</f>
        <v>0</v>
      </c>
      <c r="Y45" s="4">
        <f>'תקציב הנדסה 2022 '!Y14</f>
        <v>0</v>
      </c>
      <c r="Z45" s="4">
        <f>'תקציב הנדסה 2022 '!Z14</f>
        <v>0</v>
      </c>
      <c r="AA45" s="4">
        <f>'תקציב הנדסה 2022 '!AA14</f>
        <v>0</v>
      </c>
      <c r="AB45" s="255" t="str">
        <f>'תקציב הנדסה 2022 '!AB14</f>
        <v>סל עבודות פיתוח קטנות מזדמנות הנדרשות במהלך השנה.</v>
      </c>
      <c r="AC45" s="3">
        <f>'תקציב הנדסה 2022 '!AC14</f>
        <v>742000</v>
      </c>
      <c r="AD45" s="190"/>
      <c r="AE45" s="278"/>
      <c r="AF45" s="278"/>
      <c r="AG45" s="7"/>
      <c r="AH45" s="190"/>
      <c r="AI45" s="7"/>
      <c r="AJ45" s="446">
        <f t="shared" si="3"/>
        <v>0</v>
      </c>
      <c r="AK45" s="449"/>
      <c r="AL45" s="7"/>
      <c r="AM45" s="7"/>
      <c r="AN45" s="4"/>
      <c r="AO45" s="9"/>
      <c r="AP45" s="7"/>
      <c r="AQ45" s="7"/>
      <c r="AR45" s="30" t="s">
        <v>968</v>
      </c>
      <c r="AS45" s="448" t="s">
        <v>969</v>
      </c>
      <c r="AT45" s="30" t="s">
        <v>968</v>
      </c>
      <c r="AU45" s="630"/>
      <c r="AV45" s="4"/>
      <c r="AW45" s="4"/>
      <c r="AX45" s="659"/>
      <c r="AY45" s="4"/>
      <c r="AZ45" s="4"/>
    </row>
    <row r="46" spans="1:52" s="5" customFormat="1" ht="60">
      <c r="A46" s="3">
        <f t="shared" si="4"/>
        <v>41</v>
      </c>
      <c r="B46" s="3">
        <f>'תקציב הנדסה 2022 '!B16</f>
        <v>1363</v>
      </c>
      <c r="C46" s="255" t="str">
        <f>'תקציב הנדסה 2022 '!C16</f>
        <v>מתחם יהודה המכבי וזוהר טל</v>
      </c>
      <c r="D46" s="4">
        <f>'תקציב הנדסה 2022 '!D16</f>
        <v>7400000</v>
      </c>
      <c r="E46" s="4">
        <f>'תקציב הנדסה 2022 '!E16</f>
        <v>7550000</v>
      </c>
      <c r="F46" s="4">
        <f>'תקציב הנדסה 2022 '!F16</f>
        <v>-150000</v>
      </c>
      <c r="G46" s="4">
        <f>'תקציב הנדסה 2022 '!G16</f>
        <v>7550000</v>
      </c>
      <c r="H46" s="4">
        <f>'תקציב הנדסה 2022 '!H16</f>
        <v>7068186</v>
      </c>
      <c r="I46" s="4">
        <f>'תקציב הנדסה 2022 '!I16</f>
        <v>72510</v>
      </c>
      <c r="J46" s="4">
        <f>'תקציב הנדסה 2022 '!J16</f>
        <v>158417</v>
      </c>
      <c r="K46" s="4">
        <f>'תקציב הנדסה 2022 '!K16</f>
        <v>230927</v>
      </c>
      <c r="L46" s="4">
        <f>'תקציב הנדסה 2022 '!L16</f>
        <v>7299113</v>
      </c>
      <c r="M46" s="4">
        <f>'תקציב הנדסה 2022 '!M16</f>
        <v>100887</v>
      </c>
      <c r="N46" s="4">
        <f>'תקציב הנדסה 2022 '!N16</f>
        <v>0</v>
      </c>
      <c r="O46" s="4">
        <f>'תקציב הנדסה 2022 '!O16</f>
        <v>0</v>
      </c>
      <c r="P46" s="4">
        <f>'תקציב הנדסה 2022 '!P16</f>
        <v>250887</v>
      </c>
      <c r="Q46" s="4">
        <f>'תקציב הנדסה 2022 '!Q16</f>
        <v>0</v>
      </c>
      <c r="R46" s="4">
        <f>'תקציב הנדסה 2022 '!R16</f>
        <v>0</v>
      </c>
      <c r="S46" s="4">
        <f>'תקציב הנדסה 2022 '!S16</f>
        <v>0</v>
      </c>
      <c r="T46" s="4">
        <f>'תקציב הנדסה 2022 '!T16</f>
        <v>150000</v>
      </c>
      <c r="U46" s="4">
        <f>'תקציב הנדסה 2022 '!U16</f>
        <v>-150000</v>
      </c>
      <c r="V46" s="4">
        <f>'תקציב הנדסה 2022 '!V16</f>
        <v>-150000</v>
      </c>
      <c r="W46" s="4">
        <f>'תקציב הנדסה 2022 '!W16</f>
        <v>0</v>
      </c>
      <c r="X46" s="4">
        <f>'תקציב הנדסה 2022 '!X16</f>
        <v>0</v>
      </c>
      <c r="Y46" s="4">
        <f>'תקציב הנדסה 2022 '!Y16</f>
        <v>0</v>
      </c>
      <c r="Z46" s="4">
        <f>'תקציב הנדסה 2022 '!Z16</f>
        <v>0</v>
      </c>
      <c r="AA46" s="4">
        <f>'תקציב הנדסה 2022 '!AA16</f>
        <v>0</v>
      </c>
      <c r="AB46" s="255" t="str">
        <f>'תקציב הנדסה 2022 '!AB16</f>
        <v>פיתוח מתחם הרחובות יהודה המכבי, זוהר טל, האצל, הגבורה. סיום. ח-ן סופיים.</v>
      </c>
      <c r="AC46" s="3">
        <f>'תקציב הנדסה 2022 '!AC16</f>
        <v>742000</v>
      </c>
      <c r="AD46" s="450" t="s">
        <v>972</v>
      </c>
      <c r="AE46" s="278" t="s">
        <v>973</v>
      </c>
      <c r="AF46" s="278"/>
      <c r="AG46" s="3"/>
      <c r="AH46" s="190"/>
      <c r="AI46" s="3"/>
      <c r="AJ46" s="446">
        <f t="shared" si="3"/>
        <v>0</v>
      </c>
      <c r="AK46" s="449" t="s">
        <v>955</v>
      </c>
      <c r="AL46" s="449" t="s">
        <v>974</v>
      </c>
      <c r="AM46" s="7" t="s">
        <v>975</v>
      </c>
      <c r="AN46" s="7" t="s">
        <v>976</v>
      </c>
      <c r="AO46" s="9"/>
      <c r="AP46" s="3"/>
      <c r="AQ46" s="3"/>
      <c r="AR46" s="3"/>
      <c r="AS46" s="448"/>
      <c r="AT46" s="3"/>
      <c r="AU46" s="630"/>
      <c r="AV46" s="4"/>
      <c r="AW46" s="4"/>
      <c r="AX46" s="659"/>
      <c r="AY46" s="4"/>
      <c r="AZ46" s="4"/>
    </row>
    <row r="47" spans="1:52" s="5" customFormat="1" ht="60">
      <c r="A47" s="3">
        <f t="shared" si="4"/>
        <v>42</v>
      </c>
      <c r="B47" s="3">
        <f>'תקציב הנדסה 2022 '!B17</f>
        <v>1366</v>
      </c>
      <c r="C47" s="255" t="str">
        <f>'תקציב הנדסה 2022 '!C17</f>
        <v>ליווי תשתיות לאומיות</v>
      </c>
      <c r="D47" s="4">
        <f>'תקציב הנדסה 2022 '!D17</f>
        <v>1500000</v>
      </c>
      <c r="E47" s="4">
        <f>'תקציב הנדסה 2022 '!E17</f>
        <v>1500000</v>
      </c>
      <c r="F47" s="4">
        <f>'תקציב הנדסה 2022 '!F17</f>
        <v>0</v>
      </c>
      <c r="G47" s="4">
        <f>'תקציב הנדסה 2022 '!G17</f>
        <v>976000</v>
      </c>
      <c r="H47" s="4">
        <f>'תקציב הנדסה 2022 '!H17</f>
        <v>742521</v>
      </c>
      <c r="I47" s="4">
        <f>'תקציב הנדסה 2022 '!I17</f>
        <v>0</v>
      </c>
      <c r="J47" s="4">
        <f>'תקציב הנדסה 2022 '!J17</f>
        <v>217545</v>
      </c>
      <c r="K47" s="4">
        <f>'תקציב הנדסה 2022 '!K17</f>
        <v>217545</v>
      </c>
      <c r="L47" s="4">
        <f>'תקציב הנדסה 2022 '!L17</f>
        <v>960066</v>
      </c>
      <c r="M47" s="4">
        <f>'תקציב הנדסה 2022 '!M17</f>
        <v>115934</v>
      </c>
      <c r="N47" s="4">
        <f>'תקציב הנדסה 2022 '!N17</f>
        <v>300000</v>
      </c>
      <c r="O47" s="4">
        <f>'תקציב הנדסה 2022 '!O17</f>
        <v>124000</v>
      </c>
      <c r="P47" s="4">
        <f>'תקציב הנדסה 2022 '!P17</f>
        <v>15934</v>
      </c>
      <c r="Q47" s="4">
        <f>'תקציב הנדסה 2022 '!Q17</f>
        <v>100000</v>
      </c>
      <c r="R47" s="4">
        <f>'תקציב הנדסה 2022 '!R17</f>
        <v>0</v>
      </c>
      <c r="S47" s="4">
        <f>'תקציב הנדסה 2022 '!S17</f>
        <v>100000</v>
      </c>
      <c r="T47" s="4">
        <f>'תקציב הנדסה 2022 '!T17</f>
        <v>0</v>
      </c>
      <c r="U47" s="4">
        <f>'תקציב הנדסה 2022 '!U17</f>
        <v>300000</v>
      </c>
      <c r="V47" s="4">
        <f>'תקציב הנדסה 2022 '!V17</f>
        <v>300000</v>
      </c>
      <c r="W47" s="4">
        <f>'תקציב הנדסה 2022 '!W17</f>
        <v>0</v>
      </c>
      <c r="X47" s="4">
        <f>'תקציב הנדסה 2022 '!X17</f>
        <v>0</v>
      </c>
      <c r="Y47" s="4">
        <f>'תקציב הנדסה 2022 '!Y17</f>
        <v>0</v>
      </c>
      <c r="Z47" s="4">
        <f>'תקציב הנדסה 2022 '!Z17</f>
        <v>0</v>
      </c>
      <c r="AA47" s="4">
        <f>'תקציב הנדסה 2022 '!AA17</f>
        <v>0</v>
      </c>
      <c r="AB47" s="255" t="str">
        <f>'תקציב הנדסה 2022 '!AB17</f>
        <v>ליווי תוכנית הקו הירוק , קו המטרו , מהיר לעיר ואחרים המבוצעים ע"י מ. התחבורה. יועצי תנועה, מפקחים, יועצי בטיחות.</v>
      </c>
      <c r="AC47" s="3">
        <f>'תקציב הנדסה 2022 '!AC17</f>
        <v>742000</v>
      </c>
      <c r="AD47" s="450" t="s">
        <v>977</v>
      </c>
      <c r="AE47" s="278" t="s">
        <v>978</v>
      </c>
      <c r="AF47" s="278"/>
      <c r="AG47" s="378">
        <v>100000</v>
      </c>
      <c r="AH47" s="190"/>
      <c r="AI47" s="378">
        <v>100000</v>
      </c>
      <c r="AJ47" s="446">
        <f t="shared" si="3"/>
        <v>0</v>
      </c>
      <c r="AK47" s="449" t="s">
        <v>955</v>
      </c>
      <c r="AL47" s="449" t="s">
        <v>979</v>
      </c>
      <c r="AM47" s="7" t="s">
        <v>980</v>
      </c>
      <c r="AN47" s="4"/>
      <c r="AO47" s="9" t="str">
        <f>AM47</f>
        <v>אביבה ודמיטרי בחופשה - נעביר פירוט של ה- 400 אשח בשבוע הבא</v>
      </c>
      <c r="AP47" s="7" t="s">
        <v>981</v>
      </c>
      <c r="AQ47" s="7" t="s">
        <v>982</v>
      </c>
      <c r="AR47" s="7"/>
      <c r="AS47" s="448"/>
      <c r="AT47" s="7"/>
      <c r="AU47" s="630"/>
      <c r="AV47" s="4"/>
      <c r="AW47" s="4"/>
      <c r="AX47" s="4">
        <v>300000</v>
      </c>
      <c r="AY47" s="4">
        <f>AX47-N47</f>
        <v>0</v>
      </c>
      <c r="AZ47" s="4"/>
    </row>
    <row r="48" spans="1:52" s="6" customFormat="1" ht="60">
      <c r="A48" s="3">
        <f t="shared" si="4"/>
        <v>43</v>
      </c>
      <c r="B48" s="3">
        <f>'תקציב הנדסה 2022 '!B21</f>
        <v>1457</v>
      </c>
      <c r="C48" s="255" t="str">
        <f>'תקציב הנדסה 2022 '!C21</f>
        <v>ליווי "מהיר לעיר"</v>
      </c>
      <c r="D48" s="4">
        <f>'תקציב הנדסה 2022 '!D21</f>
        <v>230000</v>
      </c>
      <c r="E48" s="4">
        <f>'תקציב הנדסה 2022 '!E21</f>
        <v>230000</v>
      </c>
      <c r="F48" s="4">
        <f>'תקציב הנדסה 2022 '!F21</f>
        <v>0</v>
      </c>
      <c r="G48" s="4">
        <f>'תקציב הנדסה 2022 '!G21</f>
        <v>230000</v>
      </c>
      <c r="H48" s="4">
        <f>'תקציב הנדסה 2022 '!H21</f>
        <v>171904</v>
      </c>
      <c r="I48" s="4">
        <f>'תקציב הנדסה 2022 '!I21</f>
        <v>0</v>
      </c>
      <c r="J48" s="4">
        <f>'תקציב הנדסה 2022 '!J21</f>
        <v>40358</v>
      </c>
      <c r="K48" s="4">
        <f>'תקציב הנדסה 2022 '!K21</f>
        <v>40358</v>
      </c>
      <c r="L48" s="4">
        <f>'תקציב הנדסה 2022 '!L21</f>
        <v>212262</v>
      </c>
      <c r="M48" s="4">
        <f>'תקציב הנדסה 2022 '!M21</f>
        <v>17738</v>
      </c>
      <c r="N48" s="4">
        <f>'תקציב הנדסה 2022 '!N21</f>
        <v>0</v>
      </c>
      <c r="O48" s="4">
        <f>'תקציב הנדסה 2022 '!O21</f>
        <v>0</v>
      </c>
      <c r="P48" s="4">
        <f>'תקציב הנדסה 2022 '!P21</f>
        <v>17738</v>
      </c>
      <c r="Q48" s="4">
        <f>'תקציב הנדסה 2022 '!Q21</f>
        <v>0</v>
      </c>
      <c r="R48" s="4">
        <f>'תקציב הנדסה 2022 '!R21</f>
        <v>0</v>
      </c>
      <c r="S48" s="4">
        <f>'תקציב הנדסה 2022 '!S21</f>
        <v>0</v>
      </c>
      <c r="T48" s="4">
        <f>'תקציב הנדסה 2022 '!T21</f>
        <v>0</v>
      </c>
      <c r="U48" s="4">
        <f>'תקציב הנדסה 2022 '!U21</f>
        <v>0</v>
      </c>
      <c r="V48" s="4">
        <f>'תקציב הנדסה 2022 '!V21</f>
        <v>0</v>
      </c>
      <c r="W48" s="4">
        <f>'תקציב הנדסה 2022 '!W21</f>
        <v>0</v>
      </c>
      <c r="X48" s="4">
        <f>'תקציב הנדסה 2022 '!X21</f>
        <v>0</v>
      </c>
      <c r="Y48" s="4">
        <f>'תקציב הנדסה 2022 '!Y21</f>
        <v>0</v>
      </c>
      <c r="Z48" s="4">
        <f>'תקציב הנדסה 2022 '!Z21</f>
        <v>0</v>
      </c>
      <c r="AA48" s="4">
        <f>'תקציב הנדסה 2022 '!AA21</f>
        <v>0</v>
      </c>
      <c r="AB48" s="255" t="str">
        <f>'תקציב הנדסה 2022 '!AB21</f>
        <v>העסקת צוות יועצים שילווה את התכנון והביצוע של הפרויקט. התב"ר לסגירה. ראה תב"ר 1366.</v>
      </c>
      <c r="AC48" s="3">
        <f>'תקציב הנדסה 2022 '!AC21</f>
        <v>742000</v>
      </c>
      <c r="AD48" s="190"/>
      <c r="AE48" s="278" t="s">
        <v>985</v>
      </c>
      <c r="AF48" s="278"/>
      <c r="AG48" s="190"/>
      <c r="AH48" s="190"/>
      <c r="AI48" s="3"/>
      <c r="AJ48" s="446">
        <f t="shared" si="3"/>
        <v>0</v>
      </c>
      <c r="AK48" s="449"/>
      <c r="AL48" s="3"/>
      <c r="AM48" s="3"/>
      <c r="AN48" s="4"/>
      <c r="AO48" s="9" t="str">
        <f>AE48</f>
        <v>התב"ר לסגירה. ראה ת.ע. 2021 יחד עם תבר 1366. לבדוק סגירת שריונים</v>
      </c>
      <c r="AP48" s="3"/>
      <c r="AQ48" s="3"/>
      <c r="AR48" s="3" t="s">
        <v>986</v>
      </c>
      <c r="AS48" s="448"/>
      <c r="AT48" s="3" t="s">
        <v>986</v>
      </c>
      <c r="AU48" s="630"/>
      <c r="AV48" s="4"/>
      <c r="AW48" s="4"/>
      <c r="AX48" s="4"/>
      <c r="AY48" s="4"/>
      <c r="AZ48" s="4"/>
    </row>
    <row r="49" spans="1:52" s="6" customFormat="1" ht="60">
      <c r="A49" s="3">
        <f t="shared" si="4"/>
        <v>44</v>
      </c>
      <c r="B49" s="3">
        <f>'תקציב הנדסה 2022 '!B23</f>
        <v>1511</v>
      </c>
      <c r="C49" s="255" t="str">
        <f>'תקציב הנדסה 2022 '!C23</f>
        <v>פתוח קטעי רח' דרך ירושלים גולומב</v>
      </c>
      <c r="D49" s="4">
        <f>'תקציב הנדסה 2022 '!D23</f>
        <v>960000</v>
      </c>
      <c r="E49" s="4">
        <f>'תקציב הנדסה 2022 '!E23</f>
        <v>960000</v>
      </c>
      <c r="F49" s="4">
        <f>'תקציב הנדסה 2022 '!F23</f>
        <v>0</v>
      </c>
      <c r="G49" s="4">
        <f>'תקציב הנדסה 2022 '!G23</f>
        <v>100000</v>
      </c>
      <c r="H49" s="4">
        <f>'תקציב הנדסה 2022 '!H23</f>
        <v>17284</v>
      </c>
      <c r="I49" s="4">
        <f>'תקציב הנדסה 2022 '!I23</f>
        <v>0</v>
      </c>
      <c r="J49" s="4">
        <f>'תקציב הנדסה 2022 '!J23</f>
        <v>0</v>
      </c>
      <c r="K49" s="4">
        <f>'תקציב הנדסה 2022 '!K23</f>
        <v>0</v>
      </c>
      <c r="L49" s="4">
        <f>'תקציב הנדסה 2022 '!L23</f>
        <v>17284</v>
      </c>
      <c r="M49" s="4">
        <f>'תקציב הנדסה 2022 '!M23</f>
        <v>82716</v>
      </c>
      <c r="N49" s="4">
        <f>'תקציב הנדסה 2022 '!N23</f>
        <v>0</v>
      </c>
      <c r="O49" s="4">
        <f>'תקציב הנדסה 2022 '!O23</f>
        <v>860000</v>
      </c>
      <c r="P49" s="4">
        <f>'תקציב הנדסה 2022 '!P23</f>
        <v>82716</v>
      </c>
      <c r="Q49" s="4">
        <f>'תקציב הנדסה 2022 '!Q23</f>
        <v>0</v>
      </c>
      <c r="R49" s="4">
        <f>'תקציב הנדסה 2022 '!R23</f>
        <v>0</v>
      </c>
      <c r="S49" s="4">
        <f>'תקציב הנדסה 2022 '!S23</f>
        <v>0</v>
      </c>
      <c r="T49" s="4">
        <f>'תקציב הנדסה 2022 '!T23</f>
        <v>0</v>
      </c>
      <c r="U49" s="4">
        <f>'תקציב הנדסה 2022 '!U23</f>
        <v>0</v>
      </c>
      <c r="V49" s="4">
        <f>'תקציב הנדסה 2022 '!V23</f>
        <v>0</v>
      </c>
      <c r="W49" s="4">
        <f>'תקציב הנדסה 2022 '!W23</f>
        <v>0</v>
      </c>
      <c r="X49" s="4">
        <f>'תקציב הנדסה 2022 '!X23</f>
        <v>0</v>
      </c>
      <c r="Y49" s="4">
        <f>'תקציב הנדסה 2022 '!Y23</f>
        <v>0</v>
      </c>
      <c r="Z49" s="4">
        <f>'תקציב הנדסה 2022 '!Z23</f>
        <v>0</v>
      </c>
      <c r="AA49" s="4">
        <f>'תקציב הנדסה 2022 '!AA23</f>
        <v>0</v>
      </c>
      <c r="AB49" s="255" t="str">
        <f>'תקציב הנדסה 2022 '!AB23</f>
        <v xml:space="preserve">הקמת חניות והסדרים גיאומטרים ליד מבנה לזכר השואה שיוקם ע"י היזם (ליאור דינור ואחרים). מימון היזם מובטח בערבות. </v>
      </c>
      <c r="AC49" s="3">
        <f>'תקציב הנדסה 2022 '!AC23</f>
        <v>742000</v>
      </c>
      <c r="AD49" s="450" t="s">
        <v>989</v>
      </c>
      <c r="AE49" s="278" t="s">
        <v>990</v>
      </c>
      <c r="AF49" s="278" t="s">
        <v>991</v>
      </c>
      <c r="AG49" s="190"/>
      <c r="AH49" s="190"/>
      <c r="AI49" s="3"/>
      <c r="AJ49" s="446">
        <f t="shared" si="3"/>
        <v>0</v>
      </c>
      <c r="AK49" s="449" t="s">
        <v>955</v>
      </c>
      <c r="AL49" s="449" t="s">
        <v>992</v>
      </c>
      <c r="AM49" s="7" t="s">
        <v>993</v>
      </c>
      <c r="AN49" s="4"/>
      <c r="AO49" s="9" t="str">
        <f>AM49</f>
        <v>עולה שוב לסיכום של מהנדסת העיר. נעדכן בשבוע הקרוב</v>
      </c>
      <c r="AP49" s="3"/>
      <c r="AQ49" s="3"/>
      <c r="AR49" s="3" t="s">
        <v>994</v>
      </c>
      <c r="AS49" s="448"/>
      <c r="AT49" s="3" t="s">
        <v>994</v>
      </c>
      <c r="AU49" s="630"/>
      <c r="AV49" s="4"/>
      <c r="AW49" s="4"/>
      <c r="AX49" s="4"/>
      <c r="AY49" s="4"/>
      <c r="AZ49" s="4"/>
    </row>
    <row r="50" spans="1:52" s="6" customFormat="1" ht="60">
      <c r="A50" s="3">
        <f t="shared" si="4"/>
        <v>45</v>
      </c>
      <c r="B50" s="3">
        <f>'תקציב הנדסה 2022 '!B29</f>
        <v>1587</v>
      </c>
      <c r="C50" s="255" t="str">
        <f>'תקציב הנדסה 2022 '!C29</f>
        <v>פיתוח מתחם המכללות הר' 1920/1</v>
      </c>
      <c r="D50" s="4">
        <f>'תקציב הנדסה 2022 '!D29</f>
        <v>34200000</v>
      </c>
      <c r="E50" s="4">
        <f>'תקציב הנדסה 2022 '!E29</f>
        <v>34200000</v>
      </c>
      <c r="F50" s="4">
        <f>'תקציב הנדסה 2022 '!F29</f>
        <v>0</v>
      </c>
      <c r="G50" s="4">
        <f>'תקציב הנדסה 2022 '!G29</f>
        <v>12550000</v>
      </c>
      <c r="H50" s="4">
        <f>'תקציב הנדסה 2022 '!H29</f>
        <v>9735645</v>
      </c>
      <c r="I50" s="4">
        <f>'תקציב הנדסה 2022 '!I29</f>
        <v>1089975</v>
      </c>
      <c r="J50" s="4">
        <f>'תקציב הנדסה 2022 '!J29</f>
        <v>252573</v>
      </c>
      <c r="K50" s="4">
        <f>'תקציב הנדסה 2022 '!K29</f>
        <v>1342548</v>
      </c>
      <c r="L50" s="4">
        <f>'תקציב הנדסה 2022 '!L29</f>
        <v>11078193</v>
      </c>
      <c r="M50" s="4">
        <f>'תקציב הנדסה 2022 '!M29</f>
        <v>171807</v>
      </c>
      <c r="N50" s="4">
        <f>'תקציב הנדסה 2022 '!N29</f>
        <v>2100000</v>
      </c>
      <c r="O50" s="4">
        <f>'תקציב הנדסה 2022 '!O29</f>
        <v>20850000</v>
      </c>
      <c r="P50" s="4">
        <f>'תקציב הנדסה 2022 '!P29</f>
        <v>1471807</v>
      </c>
      <c r="Q50" s="4">
        <f>'תקציב הנדסה 2022 '!Q29</f>
        <v>0</v>
      </c>
      <c r="R50" s="4">
        <f>'תקציב הנדסה 2022 '!R29</f>
        <v>0</v>
      </c>
      <c r="S50" s="4">
        <f>'תקציב הנדסה 2022 '!S29</f>
        <v>0</v>
      </c>
      <c r="T50" s="4">
        <f>'תקציב הנדסה 2022 '!T29</f>
        <v>1300000</v>
      </c>
      <c r="U50" s="4">
        <f>'תקציב הנדסה 2022 '!U29</f>
        <v>800000</v>
      </c>
      <c r="V50" s="4">
        <f>'תקציב הנדסה 2022 '!V29</f>
        <v>800000</v>
      </c>
      <c r="W50" s="4">
        <f>'תקציב הנדסה 2022 '!W29</f>
        <v>0</v>
      </c>
      <c r="X50" s="4">
        <f>'תקציב הנדסה 2022 '!X29</f>
        <v>0</v>
      </c>
      <c r="Y50" s="4">
        <f>'תקציב הנדסה 2022 '!Y29</f>
        <v>0</v>
      </c>
      <c r="Z50" s="4">
        <f>'תקציב הנדסה 2022 '!Z29</f>
        <v>0</v>
      </c>
      <c r="AA50" s="4">
        <f>'תקציב הנדסה 2022 '!AA29</f>
        <v>0</v>
      </c>
      <c r="AB50" s="255" t="str">
        <f>'תקציב הנדסה 2022 '!AB29</f>
        <v>עבודה סלילה, גינון ותאורה במתחם. 2022: סיום ביצוע שלב א' ותכנון דרך שרות מנחם בגין.</v>
      </c>
      <c r="AC50" s="3">
        <f>'תקציב הנדסה 2022 '!AC29</f>
        <v>742000</v>
      </c>
      <c r="AD50" s="450" t="s">
        <v>1007</v>
      </c>
      <c r="AE50" s="278" t="s">
        <v>1008</v>
      </c>
      <c r="AF50" s="278"/>
      <c r="AG50" s="190">
        <v>100000</v>
      </c>
      <c r="AH50" s="190">
        <v>100000</v>
      </c>
      <c r="AI50" s="7"/>
      <c r="AJ50" s="446">
        <f t="shared" si="3"/>
        <v>0</v>
      </c>
      <c r="AK50" s="449" t="s">
        <v>955</v>
      </c>
      <c r="AL50" s="32" t="s">
        <v>1009</v>
      </c>
      <c r="AM50" s="7" t="s">
        <v>1010</v>
      </c>
      <c r="AN50" s="4"/>
      <c r="AO50" s="16" t="str">
        <f>AM50</f>
        <v>אביבה ודמיטרי בחופשה - נעביר פירוט בשבוע הבא</v>
      </c>
      <c r="AP50" s="7" t="s">
        <v>1011</v>
      </c>
      <c r="AQ50" s="7" t="s">
        <v>1012</v>
      </c>
      <c r="AR50" s="30" t="s">
        <v>1013</v>
      </c>
      <c r="AS50" s="448"/>
      <c r="AT50" s="30"/>
      <c r="AU50" s="630"/>
      <c r="AV50" s="4"/>
      <c r="AW50" s="4"/>
      <c r="AX50" s="4"/>
      <c r="AY50" s="4"/>
      <c r="AZ50" s="4"/>
    </row>
    <row r="51" spans="1:52" s="5" customFormat="1" ht="30">
      <c r="A51" s="3">
        <f t="shared" si="4"/>
        <v>46</v>
      </c>
      <c r="B51" s="3">
        <f>'תקציב הנדסה 2022 '!B30</f>
        <v>1601</v>
      </c>
      <c r="C51" s="255" t="str">
        <f>'תקציב הנדסה 2022 '!C30</f>
        <v>העתקות פרויקטים שונים</v>
      </c>
      <c r="D51" s="4">
        <f>'תקציב הנדסה 2022 '!D30</f>
        <v>700000</v>
      </c>
      <c r="E51" s="4">
        <f>'תקציב הנדסה 2022 '!E30</f>
        <v>700000</v>
      </c>
      <c r="F51" s="4">
        <f>'תקציב הנדסה 2022 '!F30</f>
        <v>0</v>
      </c>
      <c r="G51" s="4">
        <f>'תקציב הנדסה 2022 '!G30</f>
        <v>650000</v>
      </c>
      <c r="H51" s="4">
        <f>'תקציב הנדסה 2022 '!H30</f>
        <v>538227</v>
      </c>
      <c r="I51" s="4">
        <f>'תקציב הנדסה 2022 '!I30</f>
        <v>0</v>
      </c>
      <c r="J51" s="4">
        <f>'תקציב הנדסה 2022 '!J30</f>
        <v>0</v>
      </c>
      <c r="K51" s="4">
        <f>'תקציב הנדסה 2022 '!K30</f>
        <v>0</v>
      </c>
      <c r="L51" s="4">
        <f>'תקציב הנדסה 2022 '!L30</f>
        <v>538227</v>
      </c>
      <c r="M51" s="4">
        <f>'תקציב הנדסה 2022 '!M30</f>
        <v>11773</v>
      </c>
      <c r="N51" s="4">
        <f>'תקציב הנדסה 2022 '!N30</f>
        <v>100000</v>
      </c>
      <c r="O51" s="4">
        <f>'תקציב הנדסה 2022 '!O30</f>
        <v>50000</v>
      </c>
      <c r="P51" s="4">
        <f>'תקציב הנדסה 2022 '!P30</f>
        <v>111773</v>
      </c>
      <c r="Q51" s="4">
        <f>'תקציב הנדסה 2022 '!Q30</f>
        <v>0</v>
      </c>
      <c r="R51" s="4">
        <f>'תקציב הנדסה 2022 '!R30</f>
        <v>0</v>
      </c>
      <c r="S51" s="4">
        <f>'תקציב הנדסה 2022 '!S30</f>
        <v>0</v>
      </c>
      <c r="T51" s="4">
        <f>'תקציב הנדסה 2022 '!T30</f>
        <v>100000</v>
      </c>
      <c r="U51" s="4">
        <f>'תקציב הנדסה 2022 '!U30</f>
        <v>0</v>
      </c>
      <c r="V51" s="4">
        <f>'תקציב הנדסה 2022 '!V30</f>
        <v>0</v>
      </c>
      <c r="W51" s="4">
        <f>'תקציב הנדסה 2022 '!W30</f>
        <v>0</v>
      </c>
      <c r="X51" s="4">
        <f>'תקציב הנדסה 2022 '!X30</f>
        <v>0</v>
      </c>
      <c r="Y51" s="4">
        <f>'תקציב הנדסה 2022 '!Y30</f>
        <v>0</v>
      </c>
      <c r="Z51" s="4">
        <f>'תקציב הנדסה 2022 '!Z30</f>
        <v>0</v>
      </c>
      <c r="AA51" s="4">
        <f>'תקציב הנדסה 2022 '!AA30</f>
        <v>0</v>
      </c>
      <c r="AB51" s="255" t="str">
        <f>'תקציב הנדסה 2022 '!AB30</f>
        <v>סל העתקות אור של תוכניות הפרויקטים השונים.</v>
      </c>
      <c r="AC51" s="3">
        <f>'תקציב הנדסה 2022 '!AC30</f>
        <v>742000</v>
      </c>
      <c r="AD51" s="190"/>
      <c r="AE51" s="278"/>
      <c r="AF51" s="278"/>
      <c r="AG51" s="190"/>
      <c r="AH51" s="190"/>
      <c r="AI51" s="3"/>
      <c r="AJ51" s="446">
        <f t="shared" si="3"/>
        <v>0</v>
      </c>
      <c r="AK51" s="449"/>
      <c r="AL51" s="32"/>
      <c r="AM51" s="3"/>
      <c r="AN51" s="4"/>
      <c r="AO51" s="16"/>
      <c r="AP51" s="3"/>
      <c r="AQ51" s="3"/>
      <c r="AR51" s="3"/>
      <c r="AS51" s="448"/>
      <c r="AT51" s="3"/>
      <c r="AU51" s="630"/>
      <c r="AV51" s="4"/>
      <c r="AW51" s="4"/>
      <c r="AX51" s="4"/>
      <c r="AY51" s="4"/>
      <c r="AZ51" s="4">
        <v>-50000</v>
      </c>
    </row>
    <row r="52" spans="1:52" s="5" customFormat="1" ht="45">
      <c r="A52" s="3">
        <f t="shared" si="4"/>
        <v>47</v>
      </c>
      <c r="B52" s="3">
        <f>'תקציב הנדסה 2022 '!B31</f>
        <v>1602</v>
      </c>
      <c r="C52" s="255" t="str">
        <f>'תקציב הנדסה 2022 '!C31</f>
        <v>רח' ז'בוטינסקי אלתרמן הבריגדה</v>
      </c>
      <c r="D52" s="4">
        <f>'תקציב הנדסה 2022 '!D31</f>
        <v>31000000</v>
      </c>
      <c r="E52" s="4">
        <f>'תקציב הנדסה 2022 '!E31</f>
        <v>32000000</v>
      </c>
      <c r="F52" s="4">
        <f>'תקציב הנדסה 2022 '!F31</f>
        <v>-1000000</v>
      </c>
      <c r="G52" s="4">
        <f>'תקציב הנדסה 2022 '!G31</f>
        <v>32000000</v>
      </c>
      <c r="H52" s="4">
        <f>'תקציב הנדסה 2022 '!H31</f>
        <v>30452036</v>
      </c>
      <c r="I52" s="4">
        <f>'תקציב הנדסה 2022 '!I31</f>
        <v>0</v>
      </c>
      <c r="J52" s="4">
        <f>'תקציב הנדסה 2022 '!J31</f>
        <v>4829</v>
      </c>
      <c r="K52" s="4">
        <f>'תקציב הנדסה 2022 '!K31</f>
        <v>4829</v>
      </c>
      <c r="L52" s="4">
        <f>'תקציב הנדסה 2022 '!L31</f>
        <v>30456865</v>
      </c>
      <c r="M52" s="4">
        <f>'תקציב הנדסה 2022 '!M31</f>
        <v>43135</v>
      </c>
      <c r="N52" s="4">
        <f>'תקציב הנדסה 2022 '!N31</f>
        <v>500000</v>
      </c>
      <c r="O52" s="4">
        <f>'תקציב הנדסה 2022 '!O31</f>
        <v>0</v>
      </c>
      <c r="P52" s="4">
        <f>'תקציב הנדסה 2022 '!P31</f>
        <v>1543135</v>
      </c>
      <c r="Q52" s="4">
        <f>'תקציב הנדסה 2022 '!Q31</f>
        <v>0</v>
      </c>
      <c r="R52" s="4">
        <f>'תקציב הנדסה 2022 '!R31</f>
        <v>0</v>
      </c>
      <c r="S52" s="4">
        <f>'תקציב הנדסה 2022 '!S31</f>
        <v>0</v>
      </c>
      <c r="T52" s="4">
        <f>'תקציב הנדסה 2022 '!T31</f>
        <v>1500000</v>
      </c>
      <c r="U52" s="4">
        <f>'תקציב הנדסה 2022 '!U31</f>
        <v>-1000000</v>
      </c>
      <c r="V52" s="4">
        <f>'תקציב הנדסה 2022 '!V31</f>
        <v>-1000000</v>
      </c>
      <c r="W52" s="4">
        <f>'תקציב הנדסה 2022 '!W31</f>
        <v>0</v>
      </c>
      <c r="X52" s="4">
        <f>'תקציב הנדסה 2022 '!X31</f>
        <v>0</v>
      </c>
      <c r="Y52" s="4">
        <f>'תקציב הנדסה 2022 '!Y31</f>
        <v>0</v>
      </c>
      <c r="Z52" s="4">
        <f>'תקציב הנדסה 2022 '!Z31</f>
        <v>0</v>
      </c>
      <c r="AA52" s="4">
        <f>'תקציב הנדסה 2022 '!AA31</f>
        <v>0</v>
      </c>
      <c r="AB52" s="255" t="str">
        <f>'תקציב הנדסה 2022 '!AB31</f>
        <v>עבודות פיתוח במתחם הרחובות והרחבתם.סיום. ח-ן סופיים.</v>
      </c>
      <c r="AC52" s="3">
        <f>'תקציב הנדסה 2022 '!AC31</f>
        <v>742000</v>
      </c>
      <c r="AD52" s="190"/>
      <c r="AE52" s="278" t="s">
        <v>1014</v>
      </c>
      <c r="AF52" s="278"/>
      <c r="AG52" s="3"/>
      <c r="AH52" s="190"/>
      <c r="AI52" s="3"/>
      <c r="AJ52" s="446">
        <f t="shared" si="3"/>
        <v>0</v>
      </c>
      <c r="AK52" s="449"/>
      <c r="AL52" s="32"/>
      <c r="AM52" s="3"/>
      <c r="AN52" s="4"/>
      <c r="AO52" s="16"/>
      <c r="AP52" s="7" t="s">
        <v>1015</v>
      </c>
      <c r="AQ52" s="3"/>
      <c r="AR52" s="3" t="s">
        <v>1016</v>
      </c>
      <c r="AS52" s="448"/>
      <c r="AT52" s="3" t="s">
        <v>1016</v>
      </c>
      <c r="AU52" s="630"/>
      <c r="AV52" s="4"/>
      <c r="AW52" s="4"/>
      <c r="AX52" s="4"/>
      <c r="AY52" s="4"/>
      <c r="AZ52" s="4"/>
    </row>
    <row r="53" spans="1:52" s="5" customFormat="1" ht="60">
      <c r="A53" s="3">
        <f t="shared" si="4"/>
        <v>48</v>
      </c>
      <c r="B53" s="3">
        <f>'תקציב הנדסה 2022 '!B37</f>
        <v>1722</v>
      </c>
      <c r="C53" s="255" t="str">
        <f>'תקציב הנדסה 2022 '!C37</f>
        <v>חיבור גשר הולכי רגל כביש 20</v>
      </c>
      <c r="D53" s="4">
        <f>'תקציב הנדסה 2022 '!D37</f>
        <v>2400000</v>
      </c>
      <c r="E53" s="4">
        <f>'תקציב הנדסה 2022 '!E37</f>
        <v>2400000</v>
      </c>
      <c r="F53" s="4">
        <f>'תקציב הנדסה 2022 '!F37</f>
        <v>0</v>
      </c>
      <c r="G53" s="4">
        <f>'תקציב הנדסה 2022 '!G37</f>
        <v>300000</v>
      </c>
      <c r="H53" s="4">
        <f>'תקציב הנדסה 2022 '!H37</f>
        <v>98067</v>
      </c>
      <c r="I53" s="4">
        <f>'תקציב הנדסה 2022 '!I37</f>
        <v>67053</v>
      </c>
      <c r="J53" s="4">
        <f>'תקציב הנדסה 2022 '!J37</f>
        <v>8850</v>
      </c>
      <c r="K53" s="4">
        <f>'תקציב הנדסה 2022 '!K37</f>
        <v>75903</v>
      </c>
      <c r="L53" s="4">
        <f>'תקציב הנדסה 2022 '!L37</f>
        <v>173970</v>
      </c>
      <c r="M53" s="4">
        <f>'תקציב הנדסה 2022 '!M37</f>
        <v>126030</v>
      </c>
      <c r="N53" s="4">
        <f>'תקציב הנדסה 2022 '!N37</f>
        <v>0</v>
      </c>
      <c r="O53" s="4">
        <f>'תקציב הנדסה 2022 '!O37</f>
        <v>2100000</v>
      </c>
      <c r="P53" s="4">
        <f>'תקציב הנדסה 2022 '!P37</f>
        <v>126030</v>
      </c>
      <c r="Q53" s="4">
        <f>'תקציב הנדסה 2022 '!Q37</f>
        <v>0</v>
      </c>
      <c r="R53" s="4">
        <f>'תקציב הנדסה 2022 '!R37</f>
        <v>0</v>
      </c>
      <c r="S53" s="4">
        <f>'תקציב הנדסה 2022 '!S37</f>
        <v>0</v>
      </c>
      <c r="T53" s="4">
        <f>'תקציב הנדסה 2022 '!T37</f>
        <v>0</v>
      </c>
      <c r="U53" s="4">
        <f>'תקציב הנדסה 2022 '!U37</f>
        <v>0</v>
      </c>
      <c r="V53" s="4">
        <f>'תקציב הנדסה 2022 '!V37</f>
        <v>0</v>
      </c>
      <c r="W53" s="4">
        <f>'תקציב הנדסה 2022 '!W37</f>
        <v>0</v>
      </c>
      <c r="X53" s="4">
        <f>'תקציב הנדסה 2022 '!X37</f>
        <v>0</v>
      </c>
      <c r="Y53" s="4">
        <f>'תקציב הנדסה 2022 '!Y37</f>
        <v>0</v>
      </c>
      <c r="Z53" s="4">
        <f>'תקציב הנדסה 2022 '!Z37</f>
        <v>0</v>
      </c>
      <c r="AA53" s="4">
        <f>'תקציב הנדסה 2022 '!AA37</f>
        <v>0</v>
      </c>
      <c r="AB53" s="255" t="str">
        <f>'תקציב הנדסה 2022 '!AB37</f>
        <v>חיבור פארק שלב ב' עם שכונת המסילה בגשר הולכי רגל מעל כביש 20.</v>
      </c>
      <c r="AC53" s="3">
        <f>'תקציב הנדסה 2022 '!AC37</f>
        <v>742000</v>
      </c>
      <c r="AD53" s="190"/>
      <c r="AE53" s="278" t="s">
        <v>1026</v>
      </c>
      <c r="AF53" s="278"/>
      <c r="AG53" s="190"/>
      <c r="AH53" s="190"/>
      <c r="AI53" s="3"/>
      <c r="AJ53" s="446">
        <f t="shared" si="3"/>
        <v>0</v>
      </c>
      <c r="AK53" s="449" t="s">
        <v>955</v>
      </c>
      <c r="AL53" s="32" t="s">
        <v>1028</v>
      </c>
      <c r="AM53" s="7" t="s">
        <v>1029</v>
      </c>
      <c r="AN53" s="4"/>
      <c r="AO53" s="16" t="s">
        <v>1030</v>
      </c>
      <c r="AP53" s="3"/>
      <c r="AQ53" s="3"/>
      <c r="AR53" s="415" t="s">
        <v>1031</v>
      </c>
      <c r="AS53" s="448" t="s">
        <v>1032</v>
      </c>
      <c r="AT53" s="448" t="s">
        <v>1033</v>
      </c>
      <c r="AU53" s="630"/>
      <c r="AV53" s="4"/>
      <c r="AW53" s="4"/>
      <c r="AX53" s="4"/>
      <c r="AY53" s="4"/>
      <c r="AZ53" s="4"/>
    </row>
    <row r="54" spans="1:52" s="5" customFormat="1" ht="105">
      <c r="A54" s="3">
        <f t="shared" si="4"/>
        <v>49</v>
      </c>
      <c r="B54" s="3">
        <f>'תקציב הנדסה 2022 '!B38</f>
        <v>1744</v>
      </c>
      <c r="C54" s="255" t="str">
        <f>'תקציב הנדסה 2022 '!C38</f>
        <v>מערכת בקרת רמזורים</v>
      </c>
      <c r="D54" s="4">
        <f>'תקציב הנדסה 2022 '!D38</f>
        <v>13000000</v>
      </c>
      <c r="E54" s="4">
        <f>'תקציב הנדסה 2022 '!E38</f>
        <v>13000000</v>
      </c>
      <c r="F54" s="4">
        <f>'תקציב הנדסה 2022 '!F38</f>
        <v>0</v>
      </c>
      <c r="G54" s="4">
        <f>'תקציב הנדסה 2022 '!G38</f>
        <v>7800000</v>
      </c>
      <c r="H54" s="4">
        <f>'תקציב הנדסה 2022 '!H38</f>
        <v>6005098</v>
      </c>
      <c r="I54" s="4">
        <f>'תקציב הנדסה 2022 '!I38</f>
        <v>0</v>
      </c>
      <c r="J54" s="4">
        <f>'תקציב הנדסה 2022 '!J38</f>
        <v>117421</v>
      </c>
      <c r="K54" s="4">
        <f>'תקציב הנדסה 2022 '!K38</f>
        <v>117421</v>
      </c>
      <c r="L54" s="4">
        <f>'תקציב הנדסה 2022 '!L38</f>
        <v>6122519</v>
      </c>
      <c r="M54" s="4">
        <f>'תקציב הנדסה 2022 '!M38</f>
        <v>77481</v>
      </c>
      <c r="N54" s="4">
        <f>'תקציב הנדסה 2022 '!N38</f>
        <v>1000000</v>
      </c>
      <c r="O54" s="4">
        <f>'תקציב הנדסה 2022 '!O38</f>
        <v>5800000</v>
      </c>
      <c r="P54" s="4">
        <f>'תקציב הנדסה 2022 '!P38</f>
        <v>1677481</v>
      </c>
      <c r="Q54" s="4">
        <f>'תקציב הנדסה 2022 '!Q38</f>
        <v>0</v>
      </c>
      <c r="R54" s="4">
        <f>'תקציב הנדסה 2022 '!R38</f>
        <v>0</v>
      </c>
      <c r="S54" s="4">
        <f>'תקציב הנדסה 2022 '!S38</f>
        <v>0</v>
      </c>
      <c r="T54" s="4">
        <f>'תקציב הנדסה 2022 '!T38</f>
        <v>1600000</v>
      </c>
      <c r="U54" s="4">
        <f>'תקציב הנדסה 2022 '!U38</f>
        <v>-600000</v>
      </c>
      <c r="V54" s="4">
        <f>'תקציב הנדסה 2022 '!V38</f>
        <v>-600000</v>
      </c>
      <c r="W54" s="4">
        <f>'תקציב הנדסה 2022 '!W38</f>
        <v>0</v>
      </c>
      <c r="X54" s="4">
        <f>'תקציב הנדסה 2022 '!X38</f>
        <v>0</v>
      </c>
      <c r="Y54" s="4">
        <f>'תקציב הנדסה 2022 '!Y38</f>
        <v>0</v>
      </c>
      <c r="Z54" s="4">
        <f>'תקציב הנדסה 2022 '!Z38</f>
        <v>0</v>
      </c>
      <c r="AA54" s="4">
        <f>'תקציב הנדסה 2022 '!AA38</f>
        <v>0</v>
      </c>
      <c r="AB54" s="255" t="str">
        <f>'תקציב הנדסה 2022 '!AB38</f>
        <v>ליווי ותכנון יועץ רמזורים לעדכון מערכת בקרת רמזורים ברחבי העיר עקב צמתים ורמזורים חדשים. 2022: תכנון 20 רמזורים חדשים ,יועץ רמזורים, רמזור בן גוריון בר אילן. עדכון רמזורים לתיעדוף הולכי הרגל.</v>
      </c>
      <c r="AC54" s="3">
        <f>'תקציב הנדסה 2022 '!AC38</f>
        <v>742000</v>
      </c>
      <c r="AD54" s="190"/>
      <c r="AE54" s="278" t="s">
        <v>1035</v>
      </c>
      <c r="AF54" s="278"/>
      <c r="AG54" s="378"/>
      <c r="AH54" s="190"/>
      <c r="AI54" s="7"/>
      <c r="AJ54" s="446">
        <f t="shared" si="3"/>
        <v>0</v>
      </c>
      <c r="AK54" s="449" t="s">
        <v>1036</v>
      </c>
      <c r="AL54" s="32" t="s">
        <v>1037</v>
      </c>
      <c r="AM54" s="7" t="s">
        <v>1010</v>
      </c>
      <c r="AN54" s="4"/>
      <c r="AO54" s="16" t="str">
        <f>AM54</f>
        <v>אביבה ודמיטרי בחופשה - נעביר פירוט בשבוע הבא</v>
      </c>
      <c r="AP54" s="7" t="s">
        <v>1038</v>
      </c>
      <c r="AQ54" s="7" t="s">
        <v>1039</v>
      </c>
      <c r="AR54" s="415" t="s">
        <v>1040</v>
      </c>
      <c r="AS54" s="448" t="s">
        <v>1041</v>
      </c>
      <c r="AT54" s="448" t="s">
        <v>1041</v>
      </c>
      <c r="AU54" s="630"/>
      <c r="AV54" s="4"/>
      <c r="AW54" s="4">
        <v>-200000</v>
      </c>
      <c r="AX54" s="4"/>
      <c r="AY54" s="4"/>
      <c r="AZ54" s="4">
        <v>-200000</v>
      </c>
    </row>
    <row r="55" spans="1:52" s="5" customFormat="1" ht="60">
      <c r="A55" s="3">
        <f t="shared" si="4"/>
        <v>50</v>
      </c>
      <c r="B55" s="3">
        <f>'תקציב הנדסה 2022 '!B44</f>
        <v>2105</v>
      </c>
      <c r="C55" s="255" t="str">
        <f>'תקציב הנדסה 2022 '!C44</f>
        <v>הארכת דרך ירושלים והתחברות אליה</v>
      </c>
      <c r="D55" s="4">
        <f>'תקציב הנדסה 2022 '!D44</f>
        <v>60000000</v>
      </c>
      <c r="E55" s="4">
        <f>'תקציב הנדסה 2022 '!E44</f>
        <v>60000000</v>
      </c>
      <c r="F55" s="4">
        <f>'תקציב הנדסה 2022 '!F44</f>
        <v>0</v>
      </c>
      <c r="G55" s="4">
        <f>'תקציב הנדסה 2022 '!G44</f>
        <v>1000000</v>
      </c>
      <c r="H55" s="4">
        <f>'תקציב הנדסה 2022 '!H44</f>
        <v>0</v>
      </c>
      <c r="I55" s="4">
        <f>'תקציב הנדסה 2022 '!I44</f>
        <v>0</v>
      </c>
      <c r="J55" s="4">
        <f>'תקציב הנדסה 2022 '!J44</f>
        <v>129838</v>
      </c>
      <c r="K55" s="4">
        <f>'תקציב הנדסה 2022 '!K44</f>
        <v>129838</v>
      </c>
      <c r="L55" s="4">
        <f>'תקציב הנדסה 2022 '!L44</f>
        <v>129838</v>
      </c>
      <c r="M55" s="4">
        <f>'תקציב הנדסה 2022 '!M44</f>
        <v>70162</v>
      </c>
      <c r="N55" s="4">
        <f>'תקציב הנדסה 2022 '!N44</f>
        <v>200000</v>
      </c>
      <c r="O55" s="4">
        <f>'תקציב הנדסה 2022 '!O44</f>
        <v>59600000</v>
      </c>
      <c r="P55" s="4">
        <f>'תקציב הנדסה 2022 '!P44</f>
        <v>870162</v>
      </c>
      <c r="Q55" s="4">
        <f>'תקציב הנדסה 2022 '!Q44</f>
        <v>0</v>
      </c>
      <c r="R55" s="4">
        <f>'תקציב הנדסה 2022 '!R44</f>
        <v>0</v>
      </c>
      <c r="S55" s="4">
        <f>'תקציב הנדסה 2022 '!S44</f>
        <v>0</v>
      </c>
      <c r="T55" s="4">
        <f>'תקציב הנדסה 2022 '!T44</f>
        <v>800000</v>
      </c>
      <c r="U55" s="4">
        <f>'תקציב הנדסה 2022 '!U44</f>
        <v>-600000</v>
      </c>
      <c r="V55" s="4">
        <f>'תקציב הנדסה 2022 '!V44</f>
        <v>-600000</v>
      </c>
      <c r="W55" s="4">
        <f>'תקציב הנדסה 2022 '!W44</f>
        <v>0</v>
      </c>
      <c r="X55" s="4">
        <f>'תקציב הנדסה 2022 '!X44</f>
        <v>0</v>
      </c>
      <c r="Y55" s="4">
        <f>'תקציב הנדסה 2022 '!Y44</f>
        <v>0</v>
      </c>
      <c r="Z55" s="4">
        <f>'תקציב הנדסה 2022 '!Z44</f>
        <v>0</v>
      </c>
      <c r="AA55" s="4">
        <f>'תקציב הנדסה 2022 '!AA44</f>
        <v>0</v>
      </c>
      <c r="AB55" s="255" t="str">
        <f>'תקציב הנדסה 2022 '!AB44</f>
        <v xml:space="preserve">הארכת דרך ירושלים  מרחוב סוקולוב עד ליפקין שחק כולל דרך ושביל אופניים , פיתוח רחוב יבנה והנגב . תכנון. </v>
      </c>
      <c r="AC55" s="3">
        <f>'תקציב הנדסה 2022 '!AC44</f>
        <v>742000</v>
      </c>
      <c r="AD55" s="190"/>
      <c r="AE55" s="278" t="s">
        <v>1053</v>
      </c>
      <c r="AF55" s="278"/>
      <c r="AG55" s="378"/>
      <c r="AH55" s="190"/>
      <c r="AI55" s="7"/>
      <c r="AJ55" s="446">
        <f t="shared" si="3"/>
        <v>0</v>
      </c>
      <c r="AK55" s="449"/>
      <c r="AL55" s="7"/>
      <c r="AM55" s="3"/>
      <c r="AN55" s="4"/>
      <c r="AO55" s="452" t="s">
        <v>1054</v>
      </c>
      <c r="AP55" s="7"/>
      <c r="AQ55" s="7"/>
      <c r="AR55" s="278" t="s">
        <v>1055</v>
      </c>
      <c r="AS55" s="456"/>
      <c r="AT55" s="278"/>
      <c r="AU55" s="630"/>
      <c r="AV55" s="4"/>
      <c r="AW55" s="574">
        <f>-100000+100000</f>
        <v>0</v>
      </c>
      <c r="AX55" s="4">
        <v>400000</v>
      </c>
      <c r="AY55" s="4">
        <f>AX55-N55</f>
        <v>200000</v>
      </c>
      <c r="AZ55" s="574">
        <f>-100000+100000</f>
        <v>0</v>
      </c>
    </row>
    <row r="56" spans="1:52" s="5" customFormat="1" ht="90">
      <c r="A56" s="3">
        <f t="shared" si="4"/>
        <v>51</v>
      </c>
      <c r="B56" s="3">
        <f>'תקציב הנדסה 2022 '!B45</f>
        <v>2107</v>
      </c>
      <c r="C56" s="255" t="str">
        <f>'תקציב הנדסה 2022 '!C45</f>
        <v>פיתוח וביצוע שידרוג ויזואלי מתחם בני בניימין הנדיב</v>
      </c>
      <c r="D56" s="4">
        <f>'תקציב הנדסה 2022 '!D45</f>
        <v>340000</v>
      </c>
      <c r="E56" s="4">
        <f>'תקציב הנדסה 2022 '!E45</f>
        <v>340000</v>
      </c>
      <c r="F56" s="4">
        <f>'תקציב הנדסה 2022 '!F45</f>
        <v>0</v>
      </c>
      <c r="G56" s="4">
        <f>'תקציב הנדסה 2022 '!G45</f>
        <v>340000</v>
      </c>
      <c r="H56" s="4">
        <f>'תקציב הנדסה 2022 '!H45</f>
        <v>0</v>
      </c>
      <c r="I56" s="4">
        <f>'תקציב הנדסה 2022 '!I45</f>
        <v>0</v>
      </c>
      <c r="J56" s="4">
        <f>'תקציב הנדסה 2022 '!J45</f>
        <v>0</v>
      </c>
      <c r="K56" s="4">
        <f>'תקציב הנדסה 2022 '!K45</f>
        <v>0</v>
      </c>
      <c r="L56" s="4">
        <f>'תקציב הנדסה 2022 '!L45</f>
        <v>0</v>
      </c>
      <c r="M56" s="4">
        <f>'תקציב הנדסה 2022 '!M45</f>
        <v>0</v>
      </c>
      <c r="N56" s="4">
        <f>'תקציב הנדסה 2022 '!N45</f>
        <v>0</v>
      </c>
      <c r="O56" s="4">
        <f>'תקציב הנדסה 2022 '!O45</f>
        <v>340000</v>
      </c>
      <c r="P56" s="4">
        <f>'תקציב הנדסה 2022 '!P45</f>
        <v>340000</v>
      </c>
      <c r="Q56" s="4">
        <f>'תקציב הנדסה 2022 '!Q45</f>
        <v>0</v>
      </c>
      <c r="R56" s="4">
        <f>'תקציב הנדסה 2022 '!R45</f>
        <v>0</v>
      </c>
      <c r="S56" s="4">
        <f>'תקציב הנדסה 2022 '!S45</f>
        <v>0</v>
      </c>
      <c r="T56" s="4">
        <f>'תקציב הנדסה 2022 '!T45</f>
        <v>340000</v>
      </c>
      <c r="U56" s="4">
        <f>'תקציב הנדסה 2022 '!U45</f>
        <v>-340000</v>
      </c>
      <c r="V56" s="4">
        <f>'תקציב הנדסה 2022 '!V45</f>
        <v>-340000</v>
      </c>
      <c r="W56" s="4">
        <f>'תקציב הנדסה 2022 '!W45</f>
        <v>0</v>
      </c>
      <c r="X56" s="4">
        <f>'תקציב הנדסה 2022 '!X45</f>
        <v>0</v>
      </c>
      <c r="Y56" s="4">
        <f>'תקציב הנדסה 2022 '!Y45</f>
        <v>0</v>
      </c>
      <c r="Z56" s="4">
        <f>'תקציב הנדסה 2022 '!Z45</f>
        <v>0</v>
      </c>
      <c r="AA56" s="4">
        <f>'תקציב הנדסה 2022 '!AA45</f>
        <v>0</v>
      </c>
      <c r="AB56" s="255" t="str">
        <f>'תקציב הנדסה 2022 '!AB45</f>
        <v>הסדרת שבילי גישה רגלית וכניסת כלי רכב לחניות,שביל פינוי אשפה,פיתוח כולל גינון ותאורה.ב-2021 מתוכנן מרכז "מייקרים" בשיתוף אדריכלית השימור. יבוצע לאחר קבלת היתר לבניינים.</v>
      </c>
      <c r="AC56" s="3">
        <f>'תקציב הנדסה 2022 '!AC45</f>
        <v>742000</v>
      </c>
      <c r="AD56" s="190"/>
      <c r="AE56" s="278" t="s">
        <v>1057</v>
      </c>
      <c r="AF56" s="278"/>
      <c r="AG56" s="190"/>
      <c r="AH56" s="190"/>
      <c r="AI56" s="3"/>
      <c r="AJ56" s="446">
        <f t="shared" si="3"/>
        <v>0</v>
      </c>
      <c r="AK56" s="449"/>
      <c r="AL56" s="3"/>
      <c r="AM56" s="7"/>
      <c r="AN56" s="4"/>
      <c r="AO56" s="452" t="s">
        <v>1058</v>
      </c>
      <c r="AP56" s="3"/>
      <c r="AQ56" s="3"/>
      <c r="AR56" s="3" t="s">
        <v>1059</v>
      </c>
      <c r="AS56" s="448" t="s">
        <v>1060</v>
      </c>
      <c r="AT56" s="3"/>
      <c r="AU56" s="630"/>
      <c r="AV56" s="4"/>
      <c r="AW56" s="4"/>
      <c r="AX56" s="4"/>
      <c r="AY56" s="4"/>
      <c r="AZ56" s="4"/>
    </row>
    <row r="57" spans="1:52" s="5" customFormat="1" ht="60">
      <c r="A57" s="3">
        <f t="shared" si="4"/>
        <v>52</v>
      </c>
      <c r="B57" s="3">
        <f>'תקציב הנדסה 2022 '!B50</f>
        <v>2121</v>
      </c>
      <c r="C57" s="255" t="str">
        <f>'תקציב הנדסה 2022 '!C50</f>
        <v>צומת הבריגדה היהודית -מנחם בגין- בטיחות</v>
      </c>
      <c r="D57" s="4">
        <f>'תקציב הנדסה 2022 '!D50</f>
        <v>300000</v>
      </c>
      <c r="E57" s="4">
        <f>'תקציב הנדסה 2022 '!E50</f>
        <v>300000</v>
      </c>
      <c r="F57" s="4">
        <f>'תקציב הנדסה 2022 '!F50</f>
        <v>0</v>
      </c>
      <c r="G57" s="4">
        <f>'תקציב הנדסה 2022 '!G50</f>
        <v>300000</v>
      </c>
      <c r="H57" s="4">
        <f>'תקציב הנדסה 2022 '!H50</f>
        <v>75918</v>
      </c>
      <c r="I57" s="4">
        <f>'תקציב הנדסה 2022 '!I50</f>
        <v>0</v>
      </c>
      <c r="J57" s="4">
        <f>'תקציב הנדסה 2022 '!J50</f>
        <v>76900</v>
      </c>
      <c r="K57" s="4">
        <f>'תקציב הנדסה 2022 '!K50</f>
        <v>76900</v>
      </c>
      <c r="L57" s="4">
        <f>'תקציב הנדסה 2022 '!L50</f>
        <v>152818</v>
      </c>
      <c r="M57" s="4">
        <f>'תקציב הנדסה 2022 '!M50</f>
        <v>47182</v>
      </c>
      <c r="N57" s="4">
        <f>'תקציב הנדסה 2022 '!N50</f>
        <v>100000</v>
      </c>
      <c r="O57" s="4">
        <f>'תקציב הנדסה 2022 '!O50</f>
        <v>0</v>
      </c>
      <c r="P57" s="4">
        <f>'תקציב הנדסה 2022 '!P50</f>
        <v>147182</v>
      </c>
      <c r="Q57" s="4">
        <f>'תקציב הנדסה 2022 '!Q50</f>
        <v>0</v>
      </c>
      <c r="R57" s="4">
        <f>'תקציב הנדסה 2022 '!R50</f>
        <v>0</v>
      </c>
      <c r="S57" s="4">
        <f>'תקציב הנדסה 2022 '!S50</f>
        <v>0</v>
      </c>
      <c r="T57" s="4">
        <f>'תקציב הנדסה 2022 '!T50</f>
        <v>100000</v>
      </c>
      <c r="U57" s="4">
        <f>'תקציב הנדסה 2022 '!U50</f>
        <v>0</v>
      </c>
      <c r="V57" s="4">
        <f>'תקציב הנדסה 2022 '!V50</f>
        <v>0</v>
      </c>
      <c r="W57" s="4">
        <f>'תקציב הנדסה 2022 '!W50</f>
        <v>0</v>
      </c>
      <c r="X57" s="4">
        <f>'תקציב הנדסה 2022 '!X50</f>
        <v>0</v>
      </c>
      <c r="Y57" s="4">
        <f>'תקציב הנדסה 2022 '!Y50</f>
        <v>0</v>
      </c>
      <c r="Z57" s="4">
        <f>'תקציב הנדסה 2022 '!Z50</f>
        <v>0</v>
      </c>
      <c r="AA57" s="4">
        <f>'תקציב הנדסה 2022 '!AA50</f>
        <v>0</v>
      </c>
      <c r="AB57" s="255" t="str">
        <f>'תקציב הנדסה 2022 '!AB50</f>
        <v>תכנון צומת הבריגדה היהודית -מנחם בגין עקב ריבוי תאונות דרכים עפ"י נתוני הרלב"ד. מימון מ. התחבורה.</v>
      </c>
      <c r="AC57" s="3">
        <f>'תקציב הנדסה 2022 '!AC50</f>
        <v>742000</v>
      </c>
      <c r="AD57" s="190"/>
      <c r="AE57" s="278"/>
      <c r="AF57" s="278"/>
      <c r="AG57" s="190"/>
      <c r="AH57" s="190"/>
      <c r="AI57" s="3"/>
      <c r="AJ57" s="446">
        <f t="shared" si="3"/>
        <v>0</v>
      </c>
      <c r="AK57" s="449"/>
      <c r="AL57" s="32"/>
      <c r="AM57" s="7"/>
      <c r="AN57" s="4"/>
      <c r="AO57" s="452"/>
      <c r="AP57" s="3"/>
      <c r="AQ57" s="3"/>
      <c r="AR57" s="3"/>
      <c r="AS57" s="448"/>
      <c r="AT57" s="3"/>
      <c r="AU57" s="630"/>
      <c r="AV57" s="4"/>
      <c r="AW57" s="4"/>
      <c r="AX57" s="4"/>
      <c r="AY57" s="4"/>
      <c r="AZ57" s="4"/>
    </row>
    <row r="58" spans="1:52" s="5" customFormat="1" ht="75">
      <c r="A58" s="3">
        <f t="shared" si="4"/>
        <v>53</v>
      </c>
      <c r="B58" s="3">
        <f>'תקציב הנדסה 2022 '!B51</f>
        <v>2122</v>
      </c>
      <c r="C58" s="255" t="str">
        <f>'תקציב הנדסה 2022 '!C51</f>
        <v>צומת הרב גורן מוהליבר - בטיחות</v>
      </c>
      <c r="D58" s="4">
        <f>'תקציב הנדסה 2022 '!D51</f>
        <v>100000</v>
      </c>
      <c r="E58" s="4">
        <f>'תקציב הנדסה 2022 '!E51</f>
        <v>300000</v>
      </c>
      <c r="F58" s="4">
        <f>'תקציב הנדסה 2022 '!F51</f>
        <v>-200000</v>
      </c>
      <c r="G58" s="4">
        <f>'תקציב הנדסה 2022 '!G51</f>
        <v>300000</v>
      </c>
      <c r="H58" s="4">
        <f>'תקציב הנדסה 2022 '!H51</f>
        <v>38188</v>
      </c>
      <c r="I58" s="4">
        <f>'תקציב הנדסה 2022 '!I51</f>
        <v>0</v>
      </c>
      <c r="J58" s="4">
        <f>'תקציב הנדסה 2022 '!J51</f>
        <v>21242</v>
      </c>
      <c r="K58" s="4">
        <f>'תקציב הנדסה 2022 '!K51</f>
        <v>21242</v>
      </c>
      <c r="L58" s="4">
        <f>'תקציב הנדסה 2022 '!L51</f>
        <v>59430</v>
      </c>
      <c r="M58" s="4">
        <f>'תקציב הנדסה 2022 '!M51</f>
        <v>40570</v>
      </c>
      <c r="N58" s="4">
        <f>'תקציב הנדסה 2022 '!N51</f>
        <v>0</v>
      </c>
      <c r="O58" s="4">
        <f>'תקציב הנדסה 2022 '!O51</f>
        <v>0</v>
      </c>
      <c r="P58" s="4">
        <f>'תקציב הנדסה 2022 '!P51</f>
        <v>240570</v>
      </c>
      <c r="Q58" s="4">
        <f>'תקציב הנדסה 2022 '!Q51</f>
        <v>0</v>
      </c>
      <c r="R58" s="4">
        <f>'תקציב הנדסה 2022 '!R51</f>
        <v>0</v>
      </c>
      <c r="S58" s="4">
        <f>'תקציב הנדסה 2022 '!S51</f>
        <v>0</v>
      </c>
      <c r="T58" s="4">
        <f>'תקציב הנדסה 2022 '!T51</f>
        <v>200000</v>
      </c>
      <c r="U58" s="4">
        <f>'תקציב הנדסה 2022 '!U51</f>
        <v>-200000</v>
      </c>
      <c r="V58" s="4">
        <f>'תקציב הנדסה 2022 '!V51</f>
        <v>-60000</v>
      </c>
      <c r="W58" s="4">
        <f>'תקציב הנדסה 2022 '!W51</f>
        <v>0</v>
      </c>
      <c r="X58" s="4">
        <f>'תקציב הנדסה 2022 '!X51</f>
        <v>0</v>
      </c>
      <c r="Y58" s="4">
        <f>'תקציב הנדסה 2022 '!Y51</f>
        <v>0</v>
      </c>
      <c r="Z58" s="4">
        <f>'תקציב הנדסה 2022 '!Z51</f>
        <v>0</v>
      </c>
      <c r="AA58" s="4">
        <f>'תקציב הנדסה 2022 '!AA51</f>
        <v>-140000</v>
      </c>
      <c r="AB58" s="255" t="str">
        <f>'תקציב הנדסה 2022 '!AB51</f>
        <v xml:space="preserve">תכנון צומת הרב גורן מוהליבר עקב ריבוי תאונות דרכים עפ"י נתוני הרלב"ד. מימון מ. התחבורה. </v>
      </c>
      <c r="AC58" s="3">
        <f>'תקציב הנדסה 2022 '!AC51</f>
        <v>742000</v>
      </c>
      <c r="AD58" s="190"/>
      <c r="AE58" s="278" t="s">
        <v>1066</v>
      </c>
      <c r="AF58" s="278" t="s">
        <v>1067</v>
      </c>
      <c r="AG58" s="190"/>
      <c r="AH58" s="190"/>
      <c r="AI58" s="3"/>
      <c r="AJ58" s="446">
        <f t="shared" si="3"/>
        <v>0</v>
      </c>
      <c r="AK58" s="278" t="s">
        <v>1068</v>
      </c>
      <c r="AL58" s="32" t="s">
        <v>1069</v>
      </c>
      <c r="AM58" s="3"/>
      <c r="AN58" s="4"/>
      <c r="AO58" s="452" t="s">
        <v>1070</v>
      </c>
      <c r="AP58" s="3"/>
      <c r="AQ58" s="3"/>
      <c r="AR58" s="3"/>
      <c r="AS58" s="448"/>
      <c r="AT58" s="3"/>
      <c r="AU58" s="630"/>
      <c r="AV58" s="4"/>
      <c r="AW58" s="4"/>
      <c r="AX58" s="4"/>
      <c r="AY58" s="4"/>
      <c r="AZ58" s="4"/>
    </row>
    <row r="59" spans="1:52" s="5" customFormat="1" ht="45">
      <c r="A59" s="3">
        <f t="shared" si="4"/>
        <v>54</v>
      </c>
      <c r="B59" s="3">
        <f>'תקציב הנדסה 2022 '!B52</f>
        <v>2123</v>
      </c>
      <c r="C59" s="255" t="str">
        <f>'תקציב הנדסה 2022 '!C52</f>
        <v>צומת השרון בר אילן -בטיחות</v>
      </c>
      <c r="D59" s="4">
        <f>'תקציב הנדסה 2022 '!D52</f>
        <v>250000</v>
      </c>
      <c r="E59" s="4">
        <f>'תקציב הנדסה 2022 '!E52</f>
        <v>750000</v>
      </c>
      <c r="F59" s="4">
        <f>'תקציב הנדסה 2022 '!F52</f>
        <v>-500000</v>
      </c>
      <c r="G59" s="4">
        <f>'תקציב הנדסה 2022 '!G52</f>
        <v>750000</v>
      </c>
      <c r="H59" s="4">
        <f>'תקציב הנדסה 2022 '!H52</f>
        <v>38624</v>
      </c>
      <c r="I59" s="4">
        <f>'תקציב הנדסה 2022 '!I52</f>
        <v>0</v>
      </c>
      <c r="J59" s="4">
        <f>'תקציב הנדסה 2022 '!J52</f>
        <v>77516</v>
      </c>
      <c r="K59" s="4">
        <f>'תקציב הנדסה 2022 '!K52</f>
        <v>77516</v>
      </c>
      <c r="L59" s="4">
        <f>'תקציב הנדסה 2022 '!L52</f>
        <v>116140</v>
      </c>
      <c r="M59" s="4">
        <f>'תקציב הנדסה 2022 '!M52</f>
        <v>33860</v>
      </c>
      <c r="N59" s="4">
        <f>'תקציב הנדסה 2022 '!N52</f>
        <v>100000</v>
      </c>
      <c r="O59" s="4">
        <f>'תקציב הנדסה 2022 '!O52</f>
        <v>0</v>
      </c>
      <c r="P59" s="4">
        <f>'תקציב הנדסה 2022 '!P52</f>
        <v>633860</v>
      </c>
      <c r="Q59" s="4">
        <f>'תקציב הנדסה 2022 '!Q52</f>
        <v>0</v>
      </c>
      <c r="R59" s="4">
        <f>'תקציב הנדסה 2022 '!R52</f>
        <v>0</v>
      </c>
      <c r="S59" s="4">
        <f>'תקציב הנדסה 2022 '!S52</f>
        <v>0</v>
      </c>
      <c r="T59" s="4">
        <f>'תקציב הנדסה 2022 '!T52</f>
        <v>600000</v>
      </c>
      <c r="U59" s="4">
        <f>'תקציב הנדסה 2022 '!U52</f>
        <v>-500000</v>
      </c>
      <c r="V59" s="4">
        <f>'תקציב הנדסה 2022 '!V52</f>
        <v>-150000</v>
      </c>
      <c r="W59" s="4">
        <f>'תקציב הנדסה 2022 '!W52</f>
        <v>0</v>
      </c>
      <c r="X59" s="4">
        <f>'תקציב הנדסה 2022 '!X52</f>
        <v>0</v>
      </c>
      <c r="Y59" s="4">
        <f>'תקציב הנדסה 2022 '!Y52</f>
        <v>0</v>
      </c>
      <c r="Z59" s="4">
        <f>'תקציב הנדסה 2022 '!Z52</f>
        <v>0</v>
      </c>
      <c r="AA59" s="4">
        <f>'תקציב הנדסה 2022 '!AA52</f>
        <v>-350000</v>
      </c>
      <c r="AB59" s="255" t="str">
        <f>'תקציב הנדסה 2022 '!AB52</f>
        <v>תכנון צומת השרון בר אילן  עקב ריבוי תאונות דרכים עפ"י נתוני הרלב"ד. מימון מ. התחבורה.</v>
      </c>
      <c r="AC59" s="3">
        <f>'תקציב הנדסה 2022 '!AC52</f>
        <v>742000</v>
      </c>
      <c r="AD59" s="190"/>
      <c r="AE59" s="278"/>
      <c r="AF59" s="278"/>
      <c r="AG59" s="190"/>
      <c r="AH59" s="190"/>
      <c r="AI59" s="3"/>
      <c r="AJ59" s="446">
        <f t="shared" si="3"/>
        <v>0</v>
      </c>
      <c r="AK59" s="449"/>
      <c r="AL59" s="32" t="s">
        <v>1071</v>
      </c>
      <c r="AM59" s="3"/>
      <c r="AN59" s="4"/>
      <c r="AO59" s="452" t="s">
        <v>1072</v>
      </c>
      <c r="AP59" s="3"/>
      <c r="AQ59" s="3"/>
      <c r="AR59" s="3"/>
      <c r="AS59" s="448"/>
      <c r="AT59" s="3"/>
      <c r="AU59" s="630"/>
      <c r="AV59" s="4"/>
      <c r="AW59" s="4"/>
      <c r="AX59" s="4"/>
      <c r="AY59" s="4"/>
      <c r="AZ59" s="4"/>
    </row>
    <row r="60" spans="1:52" s="5" customFormat="1" ht="30">
      <c r="A60" s="3">
        <f t="shared" si="4"/>
        <v>55</v>
      </c>
      <c r="B60" s="3">
        <f>'תקציב הנדסה 2022 '!B54</f>
        <v>2142</v>
      </c>
      <c r="C60" s="255" t="str">
        <f>'תקציב הנדסה 2022 '!C54</f>
        <v>פיתוח רח' הארז והחרוב</v>
      </c>
      <c r="D60" s="4">
        <f>'תקציב הנדסה 2022 '!D54</f>
        <v>4000000</v>
      </c>
      <c r="E60" s="4">
        <f>'תקציב הנדסה 2022 '!E54</f>
        <v>4000000</v>
      </c>
      <c r="F60" s="4">
        <f>'תקציב הנדסה 2022 '!F54</f>
        <v>0</v>
      </c>
      <c r="G60" s="4">
        <f>'תקציב הנדסה 2022 '!G54</f>
        <v>3400000</v>
      </c>
      <c r="H60" s="4">
        <f>'תקציב הנדסה 2022 '!H54</f>
        <v>148572</v>
      </c>
      <c r="I60" s="4">
        <f>'תקציב הנדסה 2022 '!I54</f>
        <v>1045967</v>
      </c>
      <c r="J60" s="4">
        <f>'תקציב הנדסה 2022 '!J54</f>
        <v>592307</v>
      </c>
      <c r="K60" s="4">
        <f>'תקציב הנדסה 2022 '!K54</f>
        <v>1638274</v>
      </c>
      <c r="L60" s="4">
        <f>'תקציב הנדסה 2022 '!L54</f>
        <v>1786846</v>
      </c>
      <c r="M60" s="4">
        <f>'תקציב הנדסה 2022 '!M54</f>
        <v>613154</v>
      </c>
      <c r="N60" s="4">
        <f>'תקציב הנדסה 2022 '!N54</f>
        <v>1000000</v>
      </c>
      <c r="O60" s="4">
        <f>'תקציב הנדסה 2022 '!O54</f>
        <v>600000</v>
      </c>
      <c r="P60" s="4">
        <f>'תקציב הנדסה 2022 '!P54</f>
        <v>1613154</v>
      </c>
      <c r="Q60" s="4">
        <f>'תקציב הנדסה 2022 '!Q54</f>
        <v>0</v>
      </c>
      <c r="R60" s="4">
        <f>'תקציב הנדסה 2022 '!R54</f>
        <v>0</v>
      </c>
      <c r="S60" s="4">
        <f>'תקציב הנדסה 2022 '!S54</f>
        <v>0</v>
      </c>
      <c r="T60" s="4">
        <f>'תקציב הנדסה 2022 '!T54</f>
        <v>1000000</v>
      </c>
      <c r="U60" s="4">
        <f>'תקציב הנדסה 2022 '!U54</f>
        <v>0</v>
      </c>
      <c r="V60" s="4">
        <f>'תקציב הנדסה 2022 '!V54</f>
        <v>0</v>
      </c>
      <c r="W60" s="4">
        <f>'תקציב הנדסה 2022 '!W54</f>
        <v>0</v>
      </c>
      <c r="X60" s="4">
        <f>'תקציב הנדסה 2022 '!X54</f>
        <v>0</v>
      </c>
      <c r="Y60" s="4">
        <f>'תקציב הנדסה 2022 '!Y54</f>
        <v>0</v>
      </c>
      <c r="Z60" s="4">
        <f>'תקציב הנדסה 2022 '!Z54</f>
        <v>0</v>
      </c>
      <c r="AA60" s="4">
        <f>'תקציב הנדסה 2022 '!AA54</f>
        <v>0</v>
      </c>
      <c r="AB60" s="255" t="str">
        <f>'תקציב הנדסה 2022 '!AB54</f>
        <v>פיתוח רחובות הארז והחרוב. תכנון וביצוע.</v>
      </c>
      <c r="AC60" s="3">
        <f>'תקציב הנדסה 2022 '!AC54</f>
        <v>742000</v>
      </c>
      <c r="AD60" s="190"/>
      <c r="AE60" s="278"/>
      <c r="AF60" s="278"/>
      <c r="AG60" s="190"/>
      <c r="AH60" s="190"/>
      <c r="AI60" s="3"/>
      <c r="AJ60" s="446">
        <f t="shared" si="3"/>
        <v>0</v>
      </c>
      <c r="AK60" s="449"/>
      <c r="AL60" s="7"/>
      <c r="AM60" s="3"/>
      <c r="AN60" s="4"/>
      <c r="AO60" s="452"/>
      <c r="AP60" s="3"/>
      <c r="AQ60" s="3"/>
      <c r="AR60" s="3"/>
      <c r="AS60" s="448"/>
      <c r="AT60" s="3"/>
      <c r="AU60" s="630"/>
      <c r="AV60" s="4"/>
      <c r="AW60" s="4"/>
      <c r="AX60" s="4"/>
      <c r="AY60" s="4"/>
      <c r="AZ60" s="4"/>
    </row>
    <row r="61" spans="1:52" s="5" customFormat="1" ht="45">
      <c r="A61" s="3">
        <f t="shared" si="4"/>
        <v>56</v>
      </c>
      <c r="B61" s="3">
        <f>'תקציב הנדסה 2022 '!B58</f>
        <v>2189</v>
      </c>
      <c r="C61" s="255" t="str">
        <f>'תקציב הנדסה 2022 '!C58</f>
        <v>צומת כצלנסון  - ירושלים</v>
      </c>
      <c r="D61" s="4">
        <f>'תקציב הנדסה 2022 '!D58</f>
        <v>250000</v>
      </c>
      <c r="E61" s="4">
        <f>'תקציב הנדסה 2022 '!E58</f>
        <v>250000</v>
      </c>
      <c r="F61" s="4">
        <f>'תקציב הנדסה 2022 '!F58</f>
        <v>0</v>
      </c>
      <c r="G61" s="4">
        <f>'תקציב הנדסה 2022 '!G58</f>
        <v>30000</v>
      </c>
      <c r="H61" s="4">
        <f>'תקציב הנדסה 2022 '!H58</f>
        <v>17123</v>
      </c>
      <c r="I61" s="4">
        <f>'תקציב הנדסה 2022 '!I58</f>
        <v>0</v>
      </c>
      <c r="J61" s="4">
        <f>'תקציב הנדסה 2022 '!J58</f>
        <v>0</v>
      </c>
      <c r="K61" s="4">
        <f>'תקציב הנדסה 2022 '!K58</f>
        <v>0</v>
      </c>
      <c r="L61" s="4">
        <f>'תקציב הנדסה 2022 '!L58</f>
        <v>17123</v>
      </c>
      <c r="M61" s="4">
        <f>'תקציב הנדסה 2022 '!M58</f>
        <v>12877</v>
      </c>
      <c r="N61" s="4">
        <f>'תקציב הנדסה 2022 '!N58</f>
        <v>0</v>
      </c>
      <c r="O61" s="4">
        <f>'תקציב הנדסה 2022 '!O58</f>
        <v>220000</v>
      </c>
      <c r="P61" s="4">
        <f>'תקציב הנדסה 2022 '!P58</f>
        <v>12877</v>
      </c>
      <c r="Q61" s="4">
        <f>'תקציב הנדסה 2022 '!Q58</f>
        <v>0</v>
      </c>
      <c r="R61" s="4">
        <f>'תקציב הנדסה 2022 '!R58</f>
        <v>0</v>
      </c>
      <c r="S61" s="4">
        <f>'תקציב הנדסה 2022 '!S58</f>
        <v>0</v>
      </c>
      <c r="T61" s="4">
        <f>'תקציב הנדסה 2022 '!T58</f>
        <v>0</v>
      </c>
      <c r="U61" s="4">
        <f>'תקציב הנדסה 2022 '!U58</f>
        <v>0</v>
      </c>
      <c r="V61" s="4">
        <f>'תקציב הנדסה 2022 '!V58</f>
        <v>0</v>
      </c>
      <c r="W61" s="4">
        <f>'תקציב הנדסה 2022 '!W58</f>
        <v>0</v>
      </c>
      <c r="X61" s="4">
        <f>'תקציב הנדסה 2022 '!X58</f>
        <v>0</v>
      </c>
      <c r="Y61" s="4">
        <f>'תקציב הנדסה 2022 '!Y58</f>
        <v>0</v>
      </c>
      <c r="Z61" s="4">
        <f>'תקציב הנדסה 2022 '!Z58</f>
        <v>0</v>
      </c>
      <c r="AA61" s="4">
        <f>'תקציב הנדסה 2022 '!AA58</f>
        <v>0</v>
      </c>
      <c r="AB61" s="255" t="str">
        <f>'תקציב הנדסה 2022 '!AB58</f>
        <v>ביצוע צומת כצלנסון ירושלים כולל הארכת הפניה שמאלה.  פרויקט בטיחותי.מימון מ. התחבורה.</v>
      </c>
      <c r="AC61" s="3">
        <f>'תקציב הנדסה 2022 '!AC58</f>
        <v>742000</v>
      </c>
      <c r="AD61" s="190"/>
      <c r="AE61" s="278" t="s">
        <v>1083</v>
      </c>
      <c r="AF61" s="278"/>
      <c r="AG61" s="190"/>
      <c r="AH61" s="190"/>
      <c r="AI61" s="3"/>
      <c r="AJ61" s="446">
        <f t="shared" si="3"/>
        <v>0</v>
      </c>
      <c r="AK61" s="449"/>
      <c r="AL61" s="32"/>
      <c r="AM61" s="3"/>
      <c r="AN61" s="4"/>
      <c r="AO61" s="452" t="str">
        <f>AE61</f>
        <v>לדווח משרד התחבורה.</v>
      </c>
      <c r="AP61" s="3" t="s">
        <v>1084</v>
      </c>
      <c r="AQ61" s="3"/>
      <c r="AR61" s="3"/>
      <c r="AS61" s="448"/>
      <c r="AT61" s="3"/>
      <c r="AU61" s="630"/>
      <c r="AV61" s="4"/>
      <c r="AW61" s="4"/>
      <c r="AX61" s="4"/>
      <c r="AY61" s="4"/>
      <c r="AZ61" s="4"/>
    </row>
    <row r="62" spans="1:52" s="5" customFormat="1" ht="45">
      <c r="A62" s="3">
        <f t="shared" si="4"/>
        <v>57</v>
      </c>
      <c r="B62" s="3">
        <f>'תקציב הנדסה 2022 '!B59</f>
        <v>2190</v>
      </c>
      <c r="C62" s="255" t="str">
        <f>'תקציב הנדסה 2022 '!C59</f>
        <v>תכנון הסדרת צומת אשל- בזל</v>
      </c>
      <c r="D62" s="4">
        <f>'תקציב הנדסה 2022 '!D59</f>
        <v>250000</v>
      </c>
      <c r="E62" s="4">
        <f>'תקציב הנדסה 2022 '!E59</f>
        <v>250000</v>
      </c>
      <c r="F62" s="4">
        <f>'תקציב הנדסה 2022 '!F59</f>
        <v>0</v>
      </c>
      <c r="G62" s="4">
        <f>'תקציב הנדסה 2022 '!G59</f>
        <v>0</v>
      </c>
      <c r="H62" s="4">
        <f>'תקציב הנדסה 2022 '!H59</f>
        <v>0</v>
      </c>
      <c r="I62" s="4">
        <f>'תקציב הנדסה 2022 '!I59</f>
        <v>0</v>
      </c>
      <c r="J62" s="4">
        <f>'תקציב הנדסה 2022 '!J59</f>
        <v>0</v>
      </c>
      <c r="K62" s="4">
        <f>'תקציב הנדסה 2022 '!K59</f>
        <v>0</v>
      </c>
      <c r="L62" s="4">
        <f>'תקציב הנדסה 2022 '!L59</f>
        <v>0</v>
      </c>
      <c r="M62" s="4">
        <f>'תקציב הנדסה 2022 '!M59</f>
        <v>250000</v>
      </c>
      <c r="N62" s="4">
        <f>'תקציב הנדסה 2022 '!N59</f>
        <v>0</v>
      </c>
      <c r="O62" s="4">
        <f>'תקציב הנדסה 2022 '!O59</f>
        <v>0</v>
      </c>
      <c r="P62" s="4">
        <f>'תקציב הנדסה 2022 '!P59</f>
        <v>0</v>
      </c>
      <c r="Q62" s="4">
        <f>'תקציב הנדסה 2022 '!Q59</f>
        <v>250000</v>
      </c>
      <c r="R62" s="4">
        <f>'תקציב הנדסה 2022 '!R59</f>
        <v>0</v>
      </c>
      <c r="S62" s="4">
        <f>'תקציב הנדסה 2022 '!S59</f>
        <v>250000</v>
      </c>
      <c r="T62" s="4">
        <f>'תקציב הנדסה 2022 '!T59</f>
        <v>0</v>
      </c>
      <c r="U62" s="4">
        <f>'תקציב הנדסה 2022 '!U59</f>
        <v>0</v>
      </c>
      <c r="V62" s="4">
        <f>'תקציב הנדסה 2022 '!V59</f>
        <v>0</v>
      </c>
      <c r="W62" s="4">
        <f>'תקציב הנדסה 2022 '!W59</f>
        <v>0</v>
      </c>
      <c r="X62" s="4">
        <f>'תקציב הנדסה 2022 '!X59</f>
        <v>0</v>
      </c>
      <c r="Y62" s="4">
        <f>'תקציב הנדסה 2022 '!Y59</f>
        <v>0</v>
      </c>
      <c r="Z62" s="4">
        <f>'תקציב הנדסה 2022 '!Z59</f>
        <v>0</v>
      </c>
      <c r="AA62" s="4">
        <f>'תקציב הנדסה 2022 '!AA59</f>
        <v>0</v>
      </c>
      <c r="AB62" s="255" t="str">
        <f>'תקציב הנדסה 2022 '!AB59</f>
        <v>תכנון צומת אשל בזל . פרויקט בטיחותי. מימון מ. התחבורה.</v>
      </c>
      <c r="AC62" s="3">
        <f>'תקציב הנדסה 2022 '!AC59</f>
        <v>742000</v>
      </c>
      <c r="AD62" s="278" t="s">
        <v>1085</v>
      </c>
      <c r="AE62" s="278" t="s">
        <v>1086</v>
      </c>
      <c r="AF62" s="278" t="s">
        <v>1087</v>
      </c>
      <c r="AG62" s="190">
        <v>250000</v>
      </c>
      <c r="AH62" s="190"/>
      <c r="AI62" s="3">
        <v>250000</v>
      </c>
      <c r="AJ62" s="446">
        <f t="shared" si="3"/>
        <v>0</v>
      </c>
      <c r="AK62" s="278" t="s">
        <v>1087</v>
      </c>
      <c r="AL62" s="32" t="s">
        <v>1088</v>
      </c>
      <c r="AM62" s="7" t="s">
        <v>1089</v>
      </c>
      <c r="AN62" s="4"/>
      <c r="AO62" s="452"/>
      <c r="AP62" s="3" t="s">
        <v>1084</v>
      </c>
      <c r="AQ62" s="3"/>
      <c r="AR62" s="3"/>
      <c r="AS62" s="448"/>
      <c r="AT62" s="3"/>
      <c r="AU62" s="630"/>
      <c r="AV62" s="4"/>
      <c r="AW62" s="4"/>
      <c r="AX62" s="4"/>
      <c r="AY62" s="4"/>
      <c r="AZ62" s="4"/>
    </row>
    <row r="63" spans="1:52" s="5" customFormat="1" ht="60">
      <c r="A63" s="3">
        <f t="shared" si="4"/>
        <v>58</v>
      </c>
      <c r="B63" s="3">
        <f>'תקציב הנדסה 2022 '!B60</f>
        <v>2192</v>
      </c>
      <c r="C63" s="255" t="str">
        <f>'תקציב הנדסה 2022 '!C60</f>
        <v>הפרדה בין מי נגר למערכת ביוב עירונית</v>
      </c>
      <c r="D63" s="4">
        <f>'תקציב הנדסה 2022 '!D60</f>
        <v>20400000</v>
      </c>
      <c r="E63" s="4">
        <f>'תקציב הנדסה 2022 '!E60</f>
        <v>20400000</v>
      </c>
      <c r="F63" s="4">
        <f>'תקציב הנדסה 2022 '!F60</f>
        <v>0</v>
      </c>
      <c r="G63" s="4">
        <f>'תקציב הנדסה 2022 '!G60</f>
        <v>0</v>
      </c>
      <c r="H63" s="4">
        <f>'תקציב הנדסה 2022 '!H60</f>
        <v>0</v>
      </c>
      <c r="I63" s="4">
        <f>'תקציב הנדסה 2022 '!I60</f>
        <v>0</v>
      </c>
      <c r="J63" s="4">
        <f>'תקציב הנדסה 2022 '!J60</f>
        <v>0</v>
      </c>
      <c r="K63" s="4">
        <f>'תקציב הנדסה 2022 '!K60</f>
        <v>0</v>
      </c>
      <c r="L63" s="4">
        <f>'תקציב הנדסה 2022 '!L60</f>
        <v>0</v>
      </c>
      <c r="M63" s="4">
        <f>'תקציב הנדסה 2022 '!M60</f>
        <v>100000</v>
      </c>
      <c r="N63" s="4">
        <f>'תקציב הנדסה 2022 '!N60</f>
        <v>0</v>
      </c>
      <c r="O63" s="4">
        <f>'תקציב הנדסה 2022 '!O60</f>
        <v>20300000</v>
      </c>
      <c r="P63" s="4">
        <f>'תקציב הנדסה 2022 '!P60</f>
        <v>0</v>
      </c>
      <c r="Q63" s="4">
        <f>'תקציב הנדסה 2022 '!Q60</f>
        <v>100000</v>
      </c>
      <c r="R63" s="4">
        <f>'תקציב הנדסה 2022 '!R60</f>
        <v>0</v>
      </c>
      <c r="S63" s="4">
        <f>'תקציב הנדסה 2022 '!S60</f>
        <v>100000</v>
      </c>
      <c r="T63" s="4">
        <f>'תקציב הנדסה 2022 '!T60</f>
        <v>0</v>
      </c>
      <c r="U63" s="4">
        <f>'תקציב הנדסה 2022 '!U60</f>
        <v>0</v>
      </c>
      <c r="V63" s="4">
        <f>'תקציב הנדסה 2022 '!V60</f>
        <v>0</v>
      </c>
      <c r="W63" s="4">
        <f>'תקציב הנדסה 2022 '!W60</f>
        <v>0</v>
      </c>
      <c r="X63" s="4">
        <f>'תקציב הנדסה 2022 '!X60</f>
        <v>0</v>
      </c>
      <c r="Y63" s="4">
        <f>'תקציב הנדסה 2022 '!Y60</f>
        <v>0</v>
      </c>
      <c r="Z63" s="4">
        <f>'תקציב הנדסה 2022 '!Z60</f>
        <v>0</v>
      </c>
      <c r="AA63" s="4">
        <f>'תקציב הנדסה 2022 '!AA60</f>
        <v>0</v>
      </c>
      <c r="AB63" s="255" t="str">
        <f>'תקציב הנדסה 2022 '!AB60</f>
        <v>עבודות לאיתור ליקויים עקב כמות עצומה של מי הנגר החודרים למערכת הביוב והגורמים להצפות ועבודות לתיקונם.</v>
      </c>
      <c r="AC63" s="3">
        <f>'תקציב הנדסה 2022 '!AC60</f>
        <v>742000</v>
      </c>
      <c r="AD63" s="278"/>
      <c r="AE63" s="278" t="s">
        <v>1090</v>
      </c>
      <c r="AF63" s="278"/>
      <c r="AG63" s="190">
        <v>100000</v>
      </c>
      <c r="AH63" s="190"/>
      <c r="AI63" s="3">
        <v>100000</v>
      </c>
      <c r="AJ63" s="446">
        <f t="shared" si="3"/>
        <v>0</v>
      </c>
      <c r="AK63" s="449"/>
      <c r="AL63" s="32"/>
      <c r="AM63" s="3"/>
      <c r="AN63" s="4"/>
      <c r="AO63" s="452" t="s">
        <v>1091</v>
      </c>
      <c r="AP63" s="3" t="s">
        <v>1092</v>
      </c>
      <c r="AQ63" s="3"/>
      <c r="AR63" s="3"/>
      <c r="AS63" s="448" t="s">
        <v>1093</v>
      </c>
      <c r="AT63" s="3"/>
      <c r="AU63" s="630"/>
      <c r="AV63" s="4"/>
      <c r="AW63" s="4"/>
      <c r="AX63" s="4"/>
      <c r="AY63" s="4"/>
      <c r="AZ63" s="4"/>
    </row>
    <row r="64" spans="1:52" s="5" customFormat="1" ht="90">
      <c r="A64" s="3">
        <f t="shared" si="4"/>
        <v>59</v>
      </c>
      <c r="B64" s="3">
        <f>'תקציב הנדסה 2022 '!B61</f>
        <v>2193</v>
      </c>
      <c r="C64" s="255" t="str">
        <f>'תקציב הנדסה 2022 '!C61</f>
        <v>תוכנית תפעולית במסגרת "מהיר לעיר"</v>
      </c>
      <c r="D64" s="4">
        <f>'תקציב הנדסה 2022 '!D61</f>
        <v>500000</v>
      </c>
      <c r="E64" s="4">
        <f>'תקציב הנדסה 2022 '!E61</f>
        <v>500000</v>
      </c>
      <c r="F64" s="4">
        <f>'תקציב הנדסה 2022 '!F61</f>
        <v>0</v>
      </c>
      <c r="G64" s="4">
        <f>'תקציב הנדסה 2022 '!G61</f>
        <v>0</v>
      </c>
      <c r="H64" s="4">
        <f>'תקציב הנדסה 2022 '!H61</f>
        <v>0</v>
      </c>
      <c r="I64" s="4">
        <f>'תקציב הנדסה 2022 '!I61</f>
        <v>0</v>
      </c>
      <c r="J64" s="4">
        <f>'תקציב הנדסה 2022 '!J61</f>
        <v>0</v>
      </c>
      <c r="K64" s="4">
        <f>'תקציב הנדסה 2022 '!K61</f>
        <v>0</v>
      </c>
      <c r="L64" s="4">
        <f>'תקציב הנדסה 2022 '!L61</f>
        <v>0</v>
      </c>
      <c r="M64" s="4">
        <f>'תקציב הנדסה 2022 '!M61</f>
        <v>0</v>
      </c>
      <c r="N64" s="4">
        <f>'תקציב הנדסה 2022 '!N61</f>
        <v>200000</v>
      </c>
      <c r="O64" s="4">
        <f>'תקציב הנדסה 2022 '!O61</f>
        <v>300000</v>
      </c>
      <c r="P64" s="4">
        <f>'תקציב הנדסה 2022 '!P61</f>
        <v>0</v>
      </c>
      <c r="Q64" s="4">
        <f>'תקציב הנדסה 2022 '!Q61</f>
        <v>0</v>
      </c>
      <c r="R64" s="4">
        <f>'תקציב הנדסה 2022 '!R61</f>
        <v>0</v>
      </c>
      <c r="S64" s="4">
        <f>'תקציב הנדסה 2022 '!S61</f>
        <v>0</v>
      </c>
      <c r="T64" s="4">
        <f>'תקציב הנדסה 2022 '!T61</f>
        <v>0</v>
      </c>
      <c r="U64" s="4">
        <f>'תקציב הנדסה 2022 '!U61</f>
        <v>200000</v>
      </c>
      <c r="V64" s="4">
        <f>'תקציב הנדסה 2022 '!V61</f>
        <v>200000</v>
      </c>
      <c r="W64" s="4">
        <f>'תקציב הנדסה 2022 '!W61</f>
        <v>0</v>
      </c>
      <c r="X64" s="4">
        <f>'תקציב הנדסה 2022 '!X61</f>
        <v>0</v>
      </c>
      <c r="Y64" s="4">
        <f>'תקציב הנדסה 2022 '!Y61</f>
        <v>0</v>
      </c>
      <c r="Z64" s="4">
        <f>'תקציב הנדסה 2022 '!Z61</f>
        <v>0</v>
      </c>
      <c r="AA64" s="4">
        <f>'תקציב הנדסה 2022 '!AA61</f>
        <v>0</v>
      </c>
      <c r="AB64" s="255" t="str">
        <f>'תקציב הנדסה 2022 '!AB61</f>
        <v>הקמת תחנות אוטובוס , תחנות קצה ותשתיות בהתאם לצורך, במסגרת התוכנית התפעולית של "מהיר לעיר".</v>
      </c>
      <c r="AC64" s="3">
        <f>'תקציב הנדסה 2022 '!AC61</f>
        <v>742000</v>
      </c>
      <c r="AD64" s="278" t="s">
        <v>1094</v>
      </c>
      <c r="AE64" s="278" t="s">
        <v>1095</v>
      </c>
      <c r="AF64" s="278" t="s">
        <v>1096</v>
      </c>
      <c r="AG64" s="190"/>
      <c r="AH64" s="190"/>
      <c r="AI64" s="3"/>
      <c r="AJ64" s="446">
        <f t="shared" si="3"/>
        <v>0</v>
      </c>
      <c r="AK64" s="449" t="s">
        <v>1097</v>
      </c>
      <c r="AL64" s="32" t="s">
        <v>1098</v>
      </c>
      <c r="AM64" s="7" t="s">
        <v>1099</v>
      </c>
      <c r="AN64" s="4"/>
      <c r="AO64" s="452" t="s">
        <v>1100</v>
      </c>
      <c r="AP64" s="3" t="s">
        <v>1101</v>
      </c>
      <c r="AQ64" s="3" t="s">
        <v>1102</v>
      </c>
      <c r="AR64" s="3" t="s">
        <v>1103</v>
      </c>
      <c r="AS64" s="453" t="s">
        <v>1103</v>
      </c>
      <c r="AT64" s="3" t="s">
        <v>998</v>
      </c>
      <c r="AU64" s="630"/>
      <c r="AV64" s="4"/>
      <c r="AW64" s="4"/>
      <c r="AX64" s="4"/>
      <c r="AY64" s="4"/>
      <c r="AZ64" s="4"/>
    </row>
    <row r="65" spans="1:52" s="5" customFormat="1" ht="75">
      <c r="A65" s="3">
        <f t="shared" si="4"/>
        <v>60</v>
      </c>
      <c r="B65" s="3">
        <f>'תקציב הנדסה 2022 '!B62</f>
        <v>2195</v>
      </c>
      <c r="C65" s="255" t="str">
        <f>'תקציב הנדסה 2022 '!C62</f>
        <v xml:space="preserve">תוכנית אב לביופילטרים ברחבי העיר   </v>
      </c>
      <c r="D65" s="4">
        <f>'תקציב הנדסה 2022 '!D62</f>
        <v>2300000</v>
      </c>
      <c r="E65" s="4">
        <f>'תקציב הנדסה 2022 '!E62</f>
        <v>2300000</v>
      </c>
      <c r="F65" s="4">
        <f>'תקציב הנדסה 2022 '!F62</f>
        <v>0</v>
      </c>
      <c r="G65" s="4">
        <f>'תקציב הנדסה 2022 '!G62</f>
        <v>0</v>
      </c>
      <c r="H65" s="4">
        <f>'תקציב הנדסה 2022 '!H62</f>
        <v>0</v>
      </c>
      <c r="I65" s="4">
        <f>'תקציב הנדסה 2022 '!I62</f>
        <v>0</v>
      </c>
      <c r="J65" s="4">
        <f>'תקציב הנדסה 2022 '!J62</f>
        <v>0</v>
      </c>
      <c r="K65" s="4">
        <f>'תקציב הנדסה 2022 '!K62</f>
        <v>0</v>
      </c>
      <c r="L65" s="4">
        <f>'תקציב הנדסה 2022 '!L62</f>
        <v>0</v>
      </c>
      <c r="M65" s="4">
        <f>'תקציב הנדסה 2022 '!M62</f>
        <v>0</v>
      </c>
      <c r="N65" s="4">
        <f>'תקציב הנדסה 2022 '!N62</f>
        <v>100000</v>
      </c>
      <c r="O65" s="4">
        <f>'תקציב הנדסה 2022 '!O62</f>
        <v>2200000</v>
      </c>
      <c r="P65" s="4">
        <f>'תקציב הנדסה 2022 '!P62</f>
        <v>0</v>
      </c>
      <c r="Q65" s="4">
        <f>'תקציב הנדסה 2022 '!Q62</f>
        <v>0</v>
      </c>
      <c r="R65" s="4">
        <f>'תקציב הנדסה 2022 '!R62</f>
        <v>0</v>
      </c>
      <c r="S65" s="4">
        <f>'תקציב הנדסה 2022 '!S62</f>
        <v>0</v>
      </c>
      <c r="T65" s="4">
        <f>'תקציב הנדסה 2022 '!T62</f>
        <v>0</v>
      </c>
      <c r="U65" s="4">
        <f>'תקציב הנדסה 2022 '!U62</f>
        <v>100000</v>
      </c>
      <c r="V65" s="4">
        <f>'תקציב הנדסה 2022 '!V62</f>
        <v>100000</v>
      </c>
      <c r="W65" s="4">
        <f>'תקציב הנדסה 2022 '!W62</f>
        <v>0</v>
      </c>
      <c r="X65" s="4">
        <f>'תקציב הנדסה 2022 '!X62</f>
        <v>0</v>
      </c>
      <c r="Y65" s="4">
        <f>'תקציב הנדסה 2022 '!Y62</f>
        <v>0</v>
      </c>
      <c r="Z65" s="4">
        <f>'תקציב הנדסה 2022 '!Z62</f>
        <v>0</v>
      </c>
      <c r="AA65" s="4">
        <f>'תקציב הנדסה 2022 '!AA62</f>
        <v>0</v>
      </c>
      <c r="AB65" s="255" t="str">
        <f>'תקציב הנדסה 2022 '!AB62</f>
        <v>הכנת תוכנית אב לביופילטרים ברחבי העיר והקמת 2 ביופילטרים. מתקנים לסינון מים מזוהמים ומניעת בזבוז מי נגר עירוני .</v>
      </c>
      <c r="AC65" s="3">
        <f>'תקציב הנדסה 2022 '!AC62</f>
        <v>742000</v>
      </c>
      <c r="AD65" s="190"/>
      <c r="AE65" s="278" t="s">
        <v>1104</v>
      </c>
      <c r="AF65" s="278"/>
      <c r="AG65" s="190"/>
      <c r="AH65" s="190"/>
      <c r="AI65" s="3"/>
      <c r="AJ65" s="446">
        <f t="shared" si="3"/>
        <v>0</v>
      </c>
      <c r="AK65" s="449"/>
      <c r="AL65" s="32"/>
      <c r="AM65" s="3"/>
      <c r="AN65" s="4"/>
      <c r="AO65" s="452" t="s">
        <v>1105</v>
      </c>
      <c r="AP65" s="3"/>
      <c r="AQ65" s="3"/>
      <c r="AR65" s="457" t="s">
        <v>1105</v>
      </c>
      <c r="AS65" s="448" t="s">
        <v>1106</v>
      </c>
      <c r="AT65" s="457" t="s">
        <v>1107</v>
      </c>
      <c r="AU65" s="630"/>
      <c r="AV65" s="4"/>
      <c r="AW65" s="4"/>
      <c r="AX65" s="4"/>
      <c r="AY65" s="4"/>
      <c r="AZ65" s="4"/>
    </row>
    <row r="66" spans="1:52" s="5" customFormat="1" ht="60">
      <c r="A66" s="3">
        <f t="shared" si="4"/>
        <v>61</v>
      </c>
      <c r="B66" s="3">
        <f>'תקציב הנדסה 2022 '!B68</f>
        <v>20001</v>
      </c>
      <c r="C66" s="255" t="str">
        <f>'תקציב הנדסה 2022 '!C68</f>
        <v>רחוב אזר ההסתדרות</v>
      </c>
      <c r="D66" s="4">
        <f>'תקציב הנדסה 2022 '!D68</f>
        <v>3200000</v>
      </c>
      <c r="E66" s="4">
        <f>'תקציב הנדסה 2022 '!E68</f>
        <v>0</v>
      </c>
      <c r="F66" s="4">
        <f>'תקציב הנדסה 2022 '!F68</f>
        <v>3200000</v>
      </c>
      <c r="G66" s="4">
        <f>'תקציב הנדסה 2022 '!G68</f>
        <v>0</v>
      </c>
      <c r="H66" s="4">
        <f>'תקציב הנדסה 2022 '!H68</f>
        <v>0</v>
      </c>
      <c r="I66" s="4">
        <f>'תקציב הנדסה 2022 '!I68</f>
        <v>0</v>
      </c>
      <c r="J66" s="4">
        <f>'תקציב הנדסה 2022 '!J68</f>
        <v>0</v>
      </c>
      <c r="K66" s="4">
        <f>'תקציב הנדסה 2022 '!K68</f>
        <v>0</v>
      </c>
      <c r="L66" s="4">
        <f>'תקציב הנדסה 2022 '!L68</f>
        <v>0</v>
      </c>
      <c r="M66" s="4">
        <f>'תקציב הנדסה 2022 '!M68</f>
        <v>0</v>
      </c>
      <c r="N66" s="4">
        <f>'תקציב הנדסה 2022 '!N68</f>
        <v>400000</v>
      </c>
      <c r="O66" s="4">
        <f>'תקציב הנדסה 2022 '!O68</f>
        <v>2800000</v>
      </c>
      <c r="P66" s="4">
        <f>'תקציב הנדסה 2022 '!P68</f>
        <v>0</v>
      </c>
      <c r="Q66" s="4">
        <f>'תקציב הנדסה 2022 '!Q68</f>
        <v>0</v>
      </c>
      <c r="R66" s="4">
        <f>'תקציב הנדסה 2022 '!R68</f>
        <v>0</v>
      </c>
      <c r="S66" s="4">
        <f>'תקציב הנדסה 2022 '!S68</f>
        <v>0</v>
      </c>
      <c r="T66" s="4">
        <f>'תקציב הנדסה 2022 '!T68</f>
        <v>0</v>
      </c>
      <c r="U66" s="4">
        <f>'תקציב הנדסה 2022 '!U68</f>
        <v>400000</v>
      </c>
      <c r="V66" s="4">
        <f>'תקציב הנדסה 2022 '!V68</f>
        <v>400000</v>
      </c>
      <c r="W66" s="4">
        <f>'תקציב הנדסה 2022 '!W68</f>
        <v>0</v>
      </c>
      <c r="X66" s="4">
        <f>'תקציב הנדסה 2022 '!X68</f>
        <v>0</v>
      </c>
      <c r="Y66" s="4">
        <f>'תקציב הנדסה 2022 '!Y68</f>
        <v>0</v>
      </c>
      <c r="Z66" s="4">
        <f>'תקציב הנדסה 2022 '!Z68</f>
        <v>0</v>
      </c>
      <c r="AA66" s="4">
        <f>'תקציב הנדסה 2022 '!AA68</f>
        <v>0</v>
      </c>
      <c r="AB66" s="255" t="str">
        <f>'תקציב הנדסה 2022 '!AB68</f>
        <v>פיתוח הרחוב. ב - 2022: תכנון.</v>
      </c>
      <c r="AC66" s="3">
        <f>'תקציב הנדסה 2022 '!AC68</f>
        <v>742000</v>
      </c>
      <c r="AD66" s="190"/>
      <c r="AE66" s="278"/>
      <c r="AF66" s="278"/>
      <c r="AG66" s="190"/>
      <c r="AH66" s="190"/>
      <c r="AI66" s="3"/>
      <c r="AJ66" s="3"/>
      <c r="AK66" s="449"/>
      <c r="AL66" s="32"/>
      <c r="AM66" s="3"/>
      <c r="AN66" s="3"/>
      <c r="AO66" s="452"/>
      <c r="AP66" s="3"/>
      <c r="AQ66" s="3"/>
      <c r="AR66" s="3"/>
      <c r="AS66" s="448" t="s">
        <v>1118</v>
      </c>
      <c r="AT66" s="3"/>
      <c r="AU66" s="630" t="s">
        <v>2154</v>
      </c>
      <c r="AV66" s="4"/>
      <c r="AW66" s="4"/>
      <c r="AX66" s="4"/>
      <c r="AY66" s="4"/>
      <c r="AZ66" s="4"/>
    </row>
    <row r="67" spans="1:52" s="5" customFormat="1" ht="45">
      <c r="A67" s="3">
        <f t="shared" si="4"/>
        <v>62</v>
      </c>
      <c r="B67" s="3">
        <f>'תקציב הנדסה 2022 '!B69</f>
        <v>20002</v>
      </c>
      <c r="C67" s="255" t="str">
        <f>'תקציב הנדסה 2022 '!C69</f>
        <v>שדרוג מובל ניקוז בנעמי שמר</v>
      </c>
      <c r="D67" s="4">
        <f>'תקציב הנדסה 2022 '!D69</f>
        <v>1500000</v>
      </c>
      <c r="E67" s="4">
        <f>'תקציב הנדסה 2022 '!E69</f>
        <v>0</v>
      </c>
      <c r="F67" s="4">
        <f>'תקציב הנדסה 2022 '!F69</f>
        <v>1500000</v>
      </c>
      <c r="G67" s="4">
        <f>'תקציב הנדסה 2022 '!G69</f>
        <v>0</v>
      </c>
      <c r="H67" s="4">
        <f>'תקציב הנדסה 2022 '!H69</f>
        <v>0</v>
      </c>
      <c r="I67" s="4">
        <f>'תקציב הנדסה 2022 '!I69</f>
        <v>0</v>
      </c>
      <c r="J67" s="4">
        <f>'תקציב הנדסה 2022 '!J69</f>
        <v>0</v>
      </c>
      <c r="K67" s="4">
        <f>'תקציב הנדסה 2022 '!K69</f>
        <v>0</v>
      </c>
      <c r="L67" s="4">
        <f>'תקציב הנדסה 2022 '!L69</f>
        <v>0</v>
      </c>
      <c r="M67" s="4">
        <f>'תקציב הנדסה 2022 '!M69</f>
        <v>0</v>
      </c>
      <c r="N67" s="4">
        <f>'תקציב הנדסה 2022 '!N69</f>
        <v>750000</v>
      </c>
      <c r="O67" s="4">
        <f>'תקציב הנדסה 2022 '!O69</f>
        <v>750000</v>
      </c>
      <c r="P67" s="4">
        <f>'תקציב הנדסה 2022 '!P69</f>
        <v>0</v>
      </c>
      <c r="Q67" s="4">
        <f>'תקציב הנדסה 2022 '!Q69</f>
        <v>0</v>
      </c>
      <c r="R67" s="4">
        <f>'תקציב הנדסה 2022 '!R69</f>
        <v>0</v>
      </c>
      <c r="S67" s="4">
        <f>'תקציב הנדסה 2022 '!S69</f>
        <v>0</v>
      </c>
      <c r="T67" s="4">
        <f>'תקציב הנדסה 2022 '!T69</f>
        <v>0</v>
      </c>
      <c r="U67" s="4">
        <f>'תקציב הנדסה 2022 '!U69</f>
        <v>750000</v>
      </c>
      <c r="V67" s="4">
        <f>'תקציב הנדסה 2022 '!V69</f>
        <v>750000</v>
      </c>
      <c r="W67" s="4">
        <f>'תקציב הנדסה 2022 '!W69</f>
        <v>0</v>
      </c>
      <c r="X67" s="4">
        <f>'תקציב הנדסה 2022 '!X69</f>
        <v>0</v>
      </c>
      <c r="Y67" s="4">
        <f>'תקציב הנדסה 2022 '!Y69</f>
        <v>0</v>
      </c>
      <c r="Z67" s="4">
        <f>'תקציב הנדסה 2022 '!Z69</f>
        <v>0</v>
      </c>
      <c r="AA67" s="4">
        <f>'תקציב הנדסה 2022 '!AA69</f>
        <v>0</v>
      </c>
      <c r="AB67" s="255" t="str">
        <f>'תקציב הנדסה 2022 '!AB69</f>
        <v>תכנון וביצוע של עבודות שדרוג פנימי של המובל בנעמי שמר להגדלת כושר ההולכה.</v>
      </c>
      <c r="AC67" s="3">
        <f>'תקציב הנדסה 2022 '!AC69</f>
        <v>742000</v>
      </c>
      <c r="AD67" s="190"/>
      <c r="AE67" s="278"/>
      <c r="AF67" s="278"/>
      <c r="AG67" s="190"/>
      <c r="AH67" s="190"/>
      <c r="AI67" s="3"/>
      <c r="AJ67" s="3"/>
      <c r="AK67" s="449"/>
      <c r="AL67" s="32"/>
      <c r="AM67" s="3"/>
      <c r="AN67" s="3"/>
      <c r="AO67" s="452"/>
      <c r="AP67" s="3"/>
      <c r="AQ67" s="3"/>
      <c r="AR67" s="3"/>
      <c r="AS67" s="448"/>
      <c r="AT67" s="3"/>
      <c r="AU67" s="630" t="s">
        <v>2155</v>
      </c>
      <c r="AV67" s="4"/>
      <c r="AW67" s="4"/>
      <c r="AX67" s="4"/>
      <c r="AY67" s="4"/>
      <c r="AZ67" s="4">
        <v>-750000</v>
      </c>
    </row>
    <row r="68" spans="1:52" s="5" customFormat="1" ht="60">
      <c r="A68" s="3">
        <f t="shared" si="4"/>
        <v>63</v>
      </c>
      <c r="B68" s="3">
        <f>'תקציב הנדסה 2022 '!B70</f>
        <v>20003</v>
      </c>
      <c r="C68" s="255" t="str">
        <f>'תקציב הנדסה 2022 '!C70</f>
        <v>פיתוח צומת אל על - נורדאו</v>
      </c>
      <c r="D68" s="4">
        <f>'תקציב הנדסה 2022 '!D70</f>
        <v>5300000</v>
      </c>
      <c r="E68" s="4">
        <f>'תקציב הנדסה 2022 '!E70</f>
        <v>0</v>
      </c>
      <c r="F68" s="4">
        <f>'תקציב הנדסה 2022 '!F70</f>
        <v>5300000</v>
      </c>
      <c r="G68" s="4">
        <f>'תקציב הנדסה 2022 '!G70</f>
        <v>0</v>
      </c>
      <c r="H68" s="4">
        <f>'תקציב הנדסה 2022 '!H70</f>
        <v>0</v>
      </c>
      <c r="I68" s="4">
        <f>'תקציב הנדסה 2022 '!I70</f>
        <v>0</v>
      </c>
      <c r="J68" s="4">
        <f>'תקציב הנדסה 2022 '!J70</f>
        <v>0</v>
      </c>
      <c r="K68" s="4">
        <f>'תקציב הנדסה 2022 '!K70</f>
        <v>0</v>
      </c>
      <c r="L68" s="4">
        <f>'תקציב הנדסה 2022 '!L70</f>
        <v>0</v>
      </c>
      <c r="M68" s="4">
        <f>'תקציב הנדסה 2022 '!M70</f>
        <v>0</v>
      </c>
      <c r="N68" s="4">
        <f>'תקציב הנדסה 2022 '!N70</f>
        <v>300000</v>
      </c>
      <c r="O68" s="4">
        <f>'תקציב הנדסה 2022 '!O70</f>
        <v>5000000</v>
      </c>
      <c r="P68" s="4">
        <f>'תקציב הנדסה 2022 '!P70</f>
        <v>0</v>
      </c>
      <c r="Q68" s="4">
        <f>'תקציב הנדסה 2022 '!Q70</f>
        <v>0</v>
      </c>
      <c r="R68" s="4">
        <f>'תקציב הנדסה 2022 '!R70</f>
        <v>0</v>
      </c>
      <c r="S68" s="4">
        <f>'תקציב הנדסה 2022 '!S70</f>
        <v>0</v>
      </c>
      <c r="T68" s="4">
        <f>'תקציב הנדסה 2022 '!T70</f>
        <v>0</v>
      </c>
      <c r="U68" s="4">
        <f>'תקציב הנדסה 2022 '!U70</f>
        <v>300000</v>
      </c>
      <c r="V68" s="4">
        <f>'תקציב הנדסה 2022 '!V70</f>
        <v>300000</v>
      </c>
      <c r="W68" s="4">
        <f>'תקציב הנדסה 2022 '!W70</f>
        <v>0</v>
      </c>
      <c r="X68" s="4">
        <f>'תקציב הנדסה 2022 '!X70</f>
        <v>0</v>
      </c>
      <c r="Y68" s="4">
        <f>'תקציב הנדסה 2022 '!Y70</f>
        <v>0</v>
      </c>
      <c r="Z68" s="4">
        <f>'תקציב הנדסה 2022 '!Z70</f>
        <v>0</v>
      </c>
      <c r="AA68" s="4">
        <f>'תקציב הנדסה 2022 '!AA70</f>
        <v>0</v>
      </c>
      <c r="AB68" s="255" t="str">
        <f>'תקציב הנדסה 2022 '!AB70</f>
        <v>הסדרת צומת רחובות אל על נורדאו כולל כיכר עדכון תב"ע. ב - 2022 : תכנון ראשוני.</v>
      </c>
      <c r="AC68" s="3">
        <f>'תקציב הנדסה 2022 '!AC70</f>
        <v>742000</v>
      </c>
      <c r="AD68" s="190"/>
      <c r="AE68" s="278"/>
      <c r="AF68" s="278"/>
      <c r="AG68" s="190"/>
      <c r="AH68" s="190"/>
      <c r="AI68" s="3"/>
      <c r="AJ68" s="3"/>
      <c r="AK68" s="449"/>
      <c r="AL68" s="460"/>
      <c r="AM68" s="3"/>
      <c r="AN68" s="3"/>
      <c r="AO68" s="452"/>
      <c r="AP68" s="3"/>
      <c r="AQ68" s="3" t="s">
        <v>1122</v>
      </c>
      <c r="AR68" s="3"/>
      <c r="AS68" s="448"/>
      <c r="AT68" s="3"/>
      <c r="AU68" s="630" t="s">
        <v>2156</v>
      </c>
      <c r="AV68" s="4"/>
      <c r="AW68" s="4"/>
      <c r="AX68" s="4">
        <v>300000</v>
      </c>
      <c r="AY68" s="4">
        <f>AX68-N68</f>
        <v>0</v>
      </c>
      <c r="AZ68" s="4">
        <v>-100000</v>
      </c>
    </row>
    <row r="69" spans="1:52" s="5" customFormat="1" ht="90">
      <c r="A69" s="3">
        <f t="shared" si="4"/>
        <v>64</v>
      </c>
      <c r="B69" s="3">
        <f>'תקציב הנדסה 2022 '!B71</f>
        <v>20004</v>
      </c>
      <c r="C69" s="255" t="str">
        <f>'תקציב הנדסה 2022 '!C71</f>
        <v xml:space="preserve">שצפ הואדי והמנהרה הרומית </v>
      </c>
      <c r="D69" s="4">
        <f>'תקציב הנדסה 2022 '!D71</f>
        <v>24750000</v>
      </c>
      <c r="E69" s="4">
        <f>'תקציב הנדסה 2022 '!E71</f>
        <v>0</v>
      </c>
      <c r="F69" s="4">
        <f>'תקציב הנדסה 2022 '!F71</f>
        <v>24750000</v>
      </c>
      <c r="G69" s="4">
        <f>'תקציב הנדסה 2022 '!G71</f>
        <v>0</v>
      </c>
      <c r="H69" s="4">
        <f>'תקציב הנדסה 2022 '!H71</f>
        <v>0</v>
      </c>
      <c r="I69" s="4">
        <f>'תקציב הנדסה 2022 '!I71</f>
        <v>0</v>
      </c>
      <c r="J69" s="4">
        <f>'תקציב הנדסה 2022 '!J71</f>
        <v>0</v>
      </c>
      <c r="K69" s="4">
        <f>'תקציב הנדסה 2022 '!K71</f>
        <v>0</v>
      </c>
      <c r="L69" s="4">
        <f>'תקציב הנדסה 2022 '!L71</f>
        <v>0</v>
      </c>
      <c r="M69" s="4">
        <f>'תקציב הנדסה 2022 '!M71</f>
        <v>0</v>
      </c>
      <c r="N69" s="4">
        <f>'תקציב הנדסה 2022 '!N71</f>
        <v>500000</v>
      </c>
      <c r="O69" s="4">
        <f>'תקציב הנדסה 2022 '!O71</f>
        <v>24250000</v>
      </c>
      <c r="P69" s="4">
        <f>'תקציב הנדסה 2022 '!P71</f>
        <v>0</v>
      </c>
      <c r="Q69" s="4">
        <f>'תקציב הנדסה 2022 '!Q71</f>
        <v>0</v>
      </c>
      <c r="R69" s="4">
        <f>'תקציב הנדסה 2022 '!R71</f>
        <v>0</v>
      </c>
      <c r="S69" s="4">
        <f>'תקציב הנדסה 2022 '!S71</f>
        <v>0</v>
      </c>
      <c r="T69" s="4">
        <f>'תקציב הנדסה 2022 '!T71</f>
        <v>0</v>
      </c>
      <c r="U69" s="4">
        <f>'תקציב הנדסה 2022 '!U71</f>
        <v>500000</v>
      </c>
      <c r="V69" s="4">
        <f>'תקציב הנדסה 2022 '!V71</f>
        <v>500000</v>
      </c>
      <c r="W69" s="4">
        <f>'תקציב הנדסה 2022 '!W71</f>
        <v>0</v>
      </c>
      <c r="X69" s="4">
        <f>'תקציב הנדסה 2022 '!X71</f>
        <v>0</v>
      </c>
      <c r="Y69" s="4">
        <f>'תקציב הנדסה 2022 '!Y71</f>
        <v>0</v>
      </c>
      <c r="Z69" s="4">
        <f>'תקציב הנדסה 2022 '!Z71</f>
        <v>0</v>
      </c>
      <c r="AA69" s="4">
        <f>'תקציב הנדסה 2022 '!AA71</f>
        <v>0</v>
      </c>
      <c r="AB69" s="255" t="str">
        <f>'תקציב הנדסה 2022 '!AB71</f>
        <v>עבודות פיתוח, גינון והשקייה, עבודות ניקוז ותיעול פיתוח לאזור הואדי כולל שיקום מדרכות ושבילי אופניים בנעמי שמר ועבודות חשמל ותאורה.ב - 2022 עבור הפקעות. הפרויקט ברובו במימון נת"ע.</v>
      </c>
      <c r="AC69" s="3">
        <f>'תקציב הנדסה 2022 '!AC71</f>
        <v>742000</v>
      </c>
      <c r="AD69" s="190"/>
      <c r="AE69" s="278"/>
      <c r="AF69" s="278"/>
      <c r="AG69" s="190"/>
      <c r="AH69" s="190"/>
      <c r="AI69" s="3"/>
      <c r="AJ69" s="3"/>
      <c r="AK69" s="449"/>
      <c r="AL69" s="460"/>
      <c r="AM69" s="3"/>
      <c r="AN69" s="3"/>
      <c r="AO69" s="452"/>
      <c r="AP69" s="3"/>
      <c r="AQ69" s="3"/>
      <c r="AR69" s="3"/>
      <c r="AS69" s="453" t="s">
        <v>1125</v>
      </c>
      <c r="AT69" s="3" t="s">
        <v>1903</v>
      </c>
      <c r="AU69" s="630" t="s">
        <v>2163</v>
      </c>
      <c r="AV69" s="4">
        <v>-1000000</v>
      </c>
      <c r="AW69" s="4"/>
      <c r="AX69" s="4"/>
      <c r="AY69" s="4"/>
      <c r="AZ69" s="4">
        <v>-100000</v>
      </c>
    </row>
    <row r="70" spans="1:52" s="5" customFormat="1" ht="60">
      <c r="A70" s="3">
        <f t="shared" si="4"/>
        <v>65</v>
      </c>
      <c r="B70" s="3">
        <f>'תקציב הנדסה 2022 '!B9</f>
        <v>608</v>
      </c>
      <c r="C70" s="255" t="str">
        <f>'תקציב הנדסה 2022 '!C9</f>
        <v>עבודות ניקוז בעיר</v>
      </c>
      <c r="D70" s="4">
        <f>'תקציב הנדסה 2022 '!D9</f>
        <v>8300000</v>
      </c>
      <c r="E70" s="4">
        <f>'תקציב הנדסה 2022 '!E9</f>
        <v>8300000</v>
      </c>
      <c r="F70" s="4">
        <f>'תקציב הנדסה 2022 '!F9</f>
        <v>0</v>
      </c>
      <c r="G70" s="4">
        <f>'תקציב הנדסה 2022 '!G9</f>
        <v>6200000</v>
      </c>
      <c r="H70" s="4">
        <f>'תקציב הנדסה 2022 '!H9</f>
        <v>5803860</v>
      </c>
      <c r="I70" s="4">
        <f>'תקציב הנדסה 2022 '!I9</f>
        <v>0</v>
      </c>
      <c r="J70" s="4">
        <f>'תקציב הנדסה 2022 '!J9</f>
        <v>36837</v>
      </c>
      <c r="K70" s="4">
        <f>'תקציב הנדסה 2022 '!K9</f>
        <v>36837</v>
      </c>
      <c r="L70" s="4">
        <f>'תקציב הנדסה 2022 '!L9</f>
        <v>5840697</v>
      </c>
      <c r="M70" s="4">
        <f>'תקציב הנדסה 2022 '!M9</f>
        <v>359303</v>
      </c>
      <c r="N70" s="4">
        <f>'תקציב הנדסה 2022 '!N9</f>
        <v>1000000</v>
      </c>
      <c r="O70" s="4">
        <f>'תקציב הנדסה 2022 '!O9</f>
        <v>1100000</v>
      </c>
      <c r="P70" s="4">
        <f>'תקציב הנדסה 2022 '!P9</f>
        <v>359303</v>
      </c>
      <c r="Q70" s="4">
        <f>'תקציב הנדסה 2022 '!Q9</f>
        <v>0</v>
      </c>
      <c r="R70" s="4">
        <f>'תקציב הנדסה 2022 '!R9</f>
        <v>0</v>
      </c>
      <c r="S70" s="4">
        <f>'תקציב הנדסה 2022 '!S9</f>
        <v>0</v>
      </c>
      <c r="T70" s="4">
        <f>'תקציב הנדסה 2022 '!T9</f>
        <v>0</v>
      </c>
      <c r="U70" s="4">
        <f>'תקציב הנדסה 2022 '!U9</f>
        <v>1000000</v>
      </c>
      <c r="V70" s="4">
        <f>'תקציב הנדסה 2022 '!V9</f>
        <v>1000000</v>
      </c>
      <c r="W70" s="4">
        <f>'תקציב הנדסה 2022 '!W9</f>
        <v>0</v>
      </c>
      <c r="X70" s="4">
        <f>'תקציב הנדסה 2022 '!X9</f>
        <v>0</v>
      </c>
      <c r="Y70" s="4">
        <f>'תקציב הנדסה 2022 '!Y9</f>
        <v>0</v>
      </c>
      <c r="Z70" s="4">
        <f>'תקציב הנדסה 2022 '!Z9</f>
        <v>0</v>
      </c>
      <c r="AA70" s="4">
        <f>'תקציב הנדסה 2022 '!AA9</f>
        <v>0</v>
      </c>
      <c r="AB70" s="255" t="str">
        <f>'תקציב הנדסה 2022 '!AB9</f>
        <v>סל עבודות ניקוז ברחבי העיר .</v>
      </c>
      <c r="AC70" s="3">
        <f>'תקציב הנדסה 2022 '!AC9</f>
        <v>745000</v>
      </c>
      <c r="AD70" s="190"/>
      <c r="AE70" s="278" t="s">
        <v>950</v>
      </c>
      <c r="AF70" s="278"/>
      <c r="AG70" s="190">
        <v>400000</v>
      </c>
      <c r="AH70" s="190">
        <f>250000+100000</f>
        <v>350000</v>
      </c>
      <c r="AI70" s="3"/>
      <c r="AJ70" s="446">
        <f>AG70-AH70-AI70</f>
        <v>50000</v>
      </c>
      <c r="AK70" s="449" t="s">
        <v>951</v>
      </c>
      <c r="AL70" s="789" t="s">
        <v>952</v>
      </c>
      <c r="AM70" s="3"/>
      <c r="AN70" s="64" t="s">
        <v>953</v>
      </c>
      <c r="AO70" s="9" t="str">
        <f>AE70</f>
        <v>במקביל לעבודות התאגיד. לקבל: תאור עבודות,אומדן.</v>
      </c>
      <c r="AP70" s="3"/>
      <c r="AQ70" s="3"/>
      <c r="AR70" s="3" t="s">
        <v>941</v>
      </c>
      <c r="AS70" s="448"/>
      <c r="AT70" s="3" t="s">
        <v>941</v>
      </c>
      <c r="AU70" s="630" t="s">
        <v>2151</v>
      </c>
      <c r="AV70" s="4"/>
      <c r="AW70" s="4"/>
      <c r="AX70" s="659"/>
      <c r="AY70" s="4"/>
      <c r="AZ70" s="4"/>
    </row>
    <row r="71" spans="1:52" s="5" customFormat="1" ht="30">
      <c r="A71" s="3">
        <f t="shared" si="4"/>
        <v>66</v>
      </c>
      <c r="B71" s="3">
        <f>'תקציב הנדסה 2022 '!B65</f>
        <v>2232</v>
      </c>
      <c r="C71" s="255" t="str">
        <f>'תקציב הנדסה 2022 '!C65</f>
        <v>החלפת קו ניקוז רח' שלווה</v>
      </c>
      <c r="D71" s="4">
        <f>'תקציב הנדסה 2022 '!D65</f>
        <v>17200000</v>
      </c>
      <c r="E71" s="4">
        <f>'תקציב הנדסה 2022 '!E65</f>
        <v>17200000</v>
      </c>
      <c r="F71" s="4">
        <f>'תקציב הנדסה 2022 '!F65</f>
        <v>0</v>
      </c>
      <c r="G71" s="4">
        <f>'תקציב הנדסה 2022 '!G65</f>
        <v>500000</v>
      </c>
      <c r="H71" s="4">
        <f>'תקציב הנדסה 2022 '!H65</f>
        <v>0</v>
      </c>
      <c r="I71" s="4">
        <f>'תקציב הנדסה 2022 '!I65</f>
        <v>0</v>
      </c>
      <c r="J71" s="4">
        <f>'תקציב הנדסה 2022 '!J65</f>
        <v>0</v>
      </c>
      <c r="K71" s="4">
        <f>'תקציב הנדסה 2022 '!K65</f>
        <v>0</v>
      </c>
      <c r="L71" s="4">
        <f>'תקציב הנדסה 2022 '!L65</f>
        <v>0</v>
      </c>
      <c r="M71" s="4">
        <f>'תקציב הנדסה 2022 '!M65</f>
        <v>0</v>
      </c>
      <c r="N71" s="4">
        <f>'תקציב הנדסה 2022 '!N65</f>
        <v>500000</v>
      </c>
      <c r="O71" s="4">
        <f>'תקציב הנדסה 2022 '!O65</f>
        <v>16700000</v>
      </c>
      <c r="P71" s="4">
        <f>'תקציב הנדסה 2022 '!P65</f>
        <v>500000</v>
      </c>
      <c r="Q71" s="4">
        <f>'תקציב הנדסה 2022 '!Q65</f>
        <v>0</v>
      </c>
      <c r="R71" s="4">
        <f>'תקציב הנדסה 2022 '!R65</f>
        <v>0</v>
      </c>
      <c r="S71" s="4">
        <f>'תקציב הנדסה 2022 '!S65</f>
        <v>0</v>
      </c>
      <c r="T71" s="4">
        <f>'תקציב הנדסה 2022 '!T65</f>
        <v>500000</v>
      </c>
      <c r="U71" s="4">
        <f>'תקציב הנדסה 2022 '!U65</f>
        <v>0</v>
      </c>
      <c r="V71" s="4">
        <f>'תקציב הנדסה 2022 '!V65</f>
        <v>0</v>
      </c>
      <c r="W71" s="4">
        <f>'תקציב הנדסה 2022 '!W65</f>
        <v>0</v>
      </c>
      <c r="X71" s="4">
        <f>'תקציב הנדסה 2022 '!X65</f>
        <v>0</v>
      </c>
      <c r="Y71" s="4">
        <f>'תקציב הנדסה 2022 '!Y65</f>
        <v>0</v>
      </c>
      <c r="Z71" s="4">
        <f>'תקציב הנדסה 2022 '!Z65</f>
        <v>0</v>
      </c>
      <c r="AA71" s="4">
        <f>'תקציב הנדסה 2022 '!AA65</f>
        <v>0</v>
      </c>
      <c r="AB71" s="255" t="str">
        <f>'תקציב הנדסה 2022 '!AB65</f>
        <v>החלפת קו ניקוז ברח' שלווה. אומדן ראשוני.</v>
      </c>
      <c r="AC71" s="3">
        <f>'תקציב הנדסה 2022 '!AC65</f>
        <v>745000</v>
      </c>
      <c r="AD71" s="190"/>
      <c r="AE71" s="278"/>
      <c r="AF71" s="278"/>
      <c r="AG71" s="3"/>
      <c r="AH71" s="190"/>
      <c r="AI71" s="3"/>
      <c r="AJ71" s="446">
        <f>AG71-AH71-AI71</f>
        <v>0</v>
      </c>
      <c r="AK71" s="449"/>
      <c r="AL71" s="460"/>
      <c r="AM71" s="3"/>
      <c r="AN71" s="4"/>
      <c r="AO71" s="452"/>
      <c r="AP71" s="3"/>
      <c r="AQ71" s="3"/>
      <c r="AR71" s="3"/>
      <c r="AS71" s="448"/>
      <c r="AT71" s="3"/>
      <c r="AU71" s="630"/>
      <c r="AV71" s="4"/>
      <c r="AW71" s="4"/>
      <c r="AX71" s="4"/>
      <c r="AY71" s="4"/>
      <c r="AZ71" s="4"/>
    </row>
    <row r="72" spans="1:52" s="5" customFormat="1" ht="30" customHeight="1">
      <c r="A72" s="3">
        <f t="shared" si="4"/>
        <v>67</v>
      </c>
      <c r="B72" s="3">
        <f>'תקציב הנדסה 2022 '!B66</f>
        <v>2233</v>
      </c>
      <c r="C72" s="255" t="str">
        <f>'תקציב הנדסה 2022 '!C66</f>
        <v>החלפת קו ניקוז רח' בזל</v>
      </c>
      <c r="D72" s="4">
        <f>'תקציב הנדסה 2022 '!D66</f>
        <v>20250000</v>
      </c>
      <c r="E72" s="4">
        <f>'תקציב הנדסה 2022 '!E66</f>
        <v>20250000</v>
      </c>
      <c r="F72" s="4">
        <f>'תקציב הנדסה 2022 '!F66</f>
        <v>0</v>
      </c>
      <c r="G72" s="4">
        <f>'תקציב הנדסה 2022 '!G66</f>
        <v>500000</v>
      </c>
      <c r="H72" s="4">
        <f>'תקציב הנדסה 2022 '!H66</f>
        <v>0</v>
      </c>
      <c r="I72" s="4">
        <f>'תקציב הנדסה 2022 '!I66</f>
        <v>0</v>
      </c>
      <c r="J72" s="4">
        <f>'תקציב הנדסה 2022 '!J66</f>
        <v>0</v>
      </c>
      <c r="K72" s="4">
        <f>'תקציב הנדסה 2022 '!K66</f>
        <v>0</v>
      </c>
      <c r="L72" s="4">
        <f>'תקציב הנדסה 2022 '!L66</f>
        <v>0</v>
      </c>
      <c r="M72" s="4">
        <f>'תקציב הנדסה 2022 '!M66</f>
        <v>0</v>
      </c>
      <c r="N72" s="4">
        <f>'תקציב הנדסה 2022 '!N66</f>
        <v>500000</v>
      </c>
      <c r="O72" s="4">
        <f>'תקציב הנדסה 2022 '!O66</f>
        <v>19750000</v>
      </c>
      <c r="P72" s="4">
        <f>'תקציב הנדסה 2022 '!P66</f>
        <v>500000</v>
      </c>
      <c r="Q72" s="4">
        <f>'תקציב הנדסה 2022 '!Q66</f>
        <v>0</v>
      </c>
      <c r="R72" s="4">
        <f>'תקציב הנדסה 2022 '!R66</f>
        <v>0</v>
      </c>
      <c r="S72" s="4">
        <f>'תקציב הנדסה 2022 '!S66</f>
        <v>0</v>
      </c>
      <c r="T72" s="4">
        <f>'תקציב הנדסה 2022 '!T66</f>
        <v>500000</v>
      </c>
      <c r="U72" s="4">
        <f>'תקציב הנדסה 2022 '!U66</f>
        <v>0</v>
      </c>
      <c r="V72" s="4">
        <f>'תקציב הנדסה 2022 '!V66</f>
        <v>0</v>
      </c>
      <c r="W72" s="4">
        <f>'תקציב הנדסה 2022 '!W66</f>
        <v>0</v>
      </c>
      <c r="X72" s="4">
        <f>'תקציב הנדסה 2022 '!X66</f>
        <v>0</v>
      </c>
      <c r="Y72" s="4">
        <f>'תקציב הנדסה 2022 '!Y66</f>
        <v>0</v>
      </c>
      <c r="Z72" s="4">
        <f>'תקציב הנדסה 2022 '!Z66</f>
        <v>0</v>
      </c>
      <c r="AA72" s="4">
        <f>'תקציב הנדסה 2022 '!AA66</f>
        <v>0</v>
      </c>
      <c r="AB72" s="255" t="str">
        <f>'תקציב הנדסה 2022 '!AB66</f>
        <v>החלפת קו ניקוז ברח' בזל. אומדן ראשוני.</v>
      </c>
      <c r="AC72" s="3">
        <f>'תקציב הנדסה 2022 '!AC66</f>
        <v>745000</v>
      </c>
      <c r="AD72" s="190"/>
      <c r="AE72" s="278"/>
      <c r="AF72" s="278"/>
      <c r="AG72" s="190"/>
      <c r="AH72" s="190"/>
      <c r="AI72" s="3"/>
      <c r="AJ72" s="446">
        <f>AG72-AH72-AI72</f>
        <v>0</v>
      </c>
      <c r="AK72" s="449"/>
      <c r="AL72" s="460"/>
      <c r="AM72" s="3"/>
      <c r="AN72" s="4"/>
      <c r="AO72" s="452"/>
      <c r="AP72" s="3"/>
      <c r="AQ72" s="3"/>
      <c r="AR72" s="3"/>
      <c r="AS72" s="448"/>
      <c r="AT72" s="3"/>
      <c r="AU72" s="630"/>
      <c r="AV72" s="4"/>
      <c r="AW72" s="4"/>
      <c r="AX72" s="4"/>
      <c r="AY72" s="4"/>
      <c r="AZ72" s="4"/>
    </row>
    <row r="73" spans="1:52" s="5" customFormat="1" ht="45">
      <c r="A73" s="3">
        <f>A72+1</f>
        <v>68</v>
      </c>
      <c r="B73" s="3">
        <f>'תקציב הנדסה 2022 '!B27</f>
        <v>1568</v>
      </c>
      <c r="C73" s="255" t="str">
        <f>'תקציב הנדסה 2022 '!C27</f>
        <v>פיתוח פארק שלב ג'</v>
      </c>
      <c r="D73" s="4">
        <f>'תקציב הנדסה 2022 '!D27</f>
        <v>46375301</v>
      </c>
      <c r="E73" s="4">
        <f>'תקציב הנדסה 2022 '!E27</f>
        <v>46375301</v>
      </c>
      <c r="F73" s="4">
        <f>'תקציב הנדסה 2022 '!F27</f>
        <v>0</v>
      </c>
      <c r="G73" s="4">
        <f>'תקציב הנדסה 2022 '!G27</f>
        <v>28625301</v>
      </c>
      <c r="H73" s="4">
        <f>'תקציב הנדסה 2022 '!H27</f>
        <v>27779038</v>
      </c>
      <c r="I73" s="4">
        <f>'תקציב הנדסה 2022 '!I27</f>
        <v>201679</v>
      </c>
      <c r="J73" s="4">
        <f>'תקציב הנדסה 2022 '!J27</f>
        <v>33946</v>
      </c>
      <c r="K73" s="4">
        <f>'תקציב הנדסה 2022 '!K27</f>
        <v>235625</v>
      </c>
      <c r="L73" s="4">
        <f>'תקציב הנדסה 2022 '!L27</f>
        <v>28014663</v>
      </c>
      <c r="M73" s="4">
        <f>'תקציב הנדסה 2022 '!M27</f>
        <v>10638</v>
      </c>
      <c r="N73" s="4">
        <f>'תקציב הנדסה 2022 '!N27</f>
        <v>600000</v>
      </c>
      <c r="O73" s="4">
        <f>'תקציב הנדסה 2022 '!O27</f>
        <v>17750000</v>
      </c>
      <c r="P73" s="4">
        <f>'תקציב הנדסה 2022 '!P27</f>
        <v>610638</v>
      </c>
      <c r="Q73" s="4">
        <f>'תקציב הנדסה 2022 '!Q27</f>
        <v>0</v>
      </c>
      <c r="R73" s="4">
        <f>'תקציב הנדסה 2022 '!R27</f>
        <v>0</v>
      </c>
      <c r="S73" s="4">
        <f>'תקציב הנדסה 2022 '!S27</f>
        <v>0</v>
      </c>
      <c r="T73" s="4">
        <f>'תקציב הנדסה 2022 '!T27</f>
        <v>600000</v>
      </c>
      <c r="U73" s="4">
        <f>'תקציב הנדסה 2022 '!U27</f>
        <v>0</v>
      </c>
      <c r="V73" s="4">
        <f>'תקציב הנדסה 2022 '!V27</f>
        <v>0</v>
      </c>
      <c r="W73" s="4">
        <f>'תקציב הנדסה 2022 '!W27</f>
        <v>0</v>
      </c>
      <c r="X73" s="4">
        <f>'תקציב הנדסה 2022 '!X27</f>
        <v>0</v>
      </c>
      <c r="Y73" s="4">
        <f>'תקציב הנדסה 2022 '!Y27</f>
        <v>0</v>
      </c>
      <c r="Z73" s="4">
        <f>'תקציב הנדסה 2022 '!Z27</f>
        <v>0</v>
      </c>
      <c r="AA73" s="4">
        <f>'תקציב הנדסה 2022 '!AA27</f>
        <v>0</v>
      </c>
      <c r="AB73" s="255" t="str">
        <f>'תקציב הנדסה 2022 '!AB27</f>
        <v>עבודות פיתוח, גינון  חשמל ותאורה מבנה הכבאית במיקום חדש בפארק הרצליה.</v>
      </c>
      <c r="AC73" s="3">
        <f>'תקציב הנדסה 2022 '!AC27</f>
        <v>746000</v>
      </c>
      <c r="AD73" s="190"/>
      <c r="AE73" s="278" t="s">
        <v>1001</v>
      </c>
      <c r="AF73" s="278"/>
      <c r="AG73" s="7"/>
      <c r="AH73" s="190"/>
      <c r="AI73" s="7"/>
      <c r="AJ73" s="446">
        <f>AG73-AH73-AI73</f>
        <v>0</v>
      </c>
      <c r="AK73" s="449" t="s">
        <v>1002</v>
      </c>
      <c r="AL73" s="460"/>
      <c r="AM73" s="7"/>
      <c r="AN73" s="4"/>
      <c r="AO73" s="452" t="s">
        <v>1003</v>
      </c>
      <c r="AP73" s="7"/>
      <c r="AQ73" s="7" t="s">
        <v>1004</v>
      </c>
      <c r="AR73" s="30" t="s">
        <v>1005</v>
      </c>
      <c r="AS73" s="453" t="s">
        <v>1005</v>
      </c>
      <c r="AT73" s="30" t="s">
        <v>1900</v>
      </c>
      <c r="AU73" s="630"/>
      <c r="AV73" s="4"/>
      <c r="AW73" s="4"/>
      <c r="AX73" s="4"/>
      <c r="AY73" s="4"/>
      <c r="AZ73" s="4"/>
    </row>
    <row r="74" spans="1:52" s="5" customFormat="1" ht="30">
      <c r="A74" s="3">
        <f t="shared" si="4"/>
        <v>69</v>
      </c>
      <c r="B74" s="3">
        <f>'תקציב הנדסה 2022 '!B72</f>
        <v>20005</v>
      </c>
      <c r="C74" s="255" t="str">
        <f>'תקציב הנדסה 2022 '!C72</f>
        <v>שצפ שבט מנשה</v>
      </c>
      <c r="D74" s="4">
        <f>'תקציב הנדסה 2022 '!D72</f>
        <v>1685000</v>
      </c>
      <c r="E74" s="4">
        <f>'תקציב הנדסה 2022 '!E72</f>
        <v>0</v>
      </c>
      <c r="F74" s="4">
        <f>'תקציב הנדסה 2022 '!F72</f>
        <v>1685000</v>
      </c>
      <c r="G74" s="4">
        <f>'תקציב הנדסה 2022 '!G72</f>
        <v>0</v>
      </c>
      <c r="H74" s="4">
        <f>'תקציב הנדסה 2022 '!H72</f>
        <v>0</v>
      </c>
      <c r="I74" s="4">
        <f>'תקציב הנדסה 2022 '!I72</f>
        <v>0</v>
      </c>
      <c r="J74" s="4">
        <f>'תקציב הנדסה 2022 '!J72</f>
        <v>0</v>
      </c>
      <c r="K74" s="4">
        <f>'תקציב הנדסה 2022 '!K72</f>
        <v>0</v>
      </c>
      <c r="L74" s="4">
        <f>'תקציב הנדסה 2022 '!L72</f>
        <v>0</v>
      </c>
      <c r="M74" s="4">
        <f>'תקציב הנדסה 2022 '!M72</f>
        <v>0</v>
      </c>
      <c r="N74" s="4">
        <f>'תקציב הנדסה 2022 '!N72</f>
        <v>500000</v>
      </c>
      <c r="O74" s="4">
        <f>'תקציב הנדסה 2022 '!O72</f>
        <v>1185000</v>
      </c>
      <c r="P74" s="4">
        <f>'תקציב הנדסה 2022 '!P72</f>
        <v>0</v>
      </c>
      <c r="Q74" s="4">
        <f>'תקציב הנדסה 2022 '!Q72</f>
        <v>0</v>
      </c>
      <c r="R74" s="4">
        <f>'תקציב הנדסה 2022 '!R72</f>
        <v>0</v>
      </c>
      <c r="S74" s="4">
        <f>'תקציב הנדסה 2022 '!S72</f>
        <v>0</v>
      </c>
      <c r="T74" s="4">
        <f>'תקציב הנדסה 2022 '!T72</f>
        <v>0</v>
      </c>
      <c r="U74" s="4">
        <f>'תקציב הנדסה 2022 '!U72</f>
        <v>500000</v>
      </c>
      <c r="V74" s="4">
        <f>'תקציב הנדסה 2022 '!V72</f>
        <v>500000</v>
      </c>
      <c r="W74" s="4">
        <f>'תקציב הנדסה 2022 '!W72</f>
        <v>0</v>
      </c>
      <c r="X74" s="4">
        <f>'תקציב הנדסה 2022 '!X72</f>
        <v>0</v>
      </c>
      <c r="Y74" s="4">
        <f>'תקציב הנדסה 2022 '!Y72</f>
        <v>0</v>
      </c>
      <c r="Z74" s="4">
        <f>'תקציב הנדסה 2022 '!Z72</f>
        <v>0</v>
      </c>
      <c r="AA74" s="4">
        <f>'תקציב הנדסה 2022 '!AA72</f>
        <v>0</v>
      </c>
      <c r="AB74" s="255" t="str">
        <f>'תקציב הנדסה 2022 '!AB72</f>
        <v>עבודות פיתוח, גינון , השקייה, חשמל ותאורה ברחוב שבט מנשה.</v>
      </c>
      <c r="AC74" s="3">
        <f>'תקציב הנדסה 2022 '!AC72</f>
        <v>746000</v>
      </c>
      <c r="AD74" s="190"/>
      <c r="AE74" s="278"/>
      <c r="AF74" s="278"/>
      <c r="AG74" s="190"/>
      <c r="AH74" s="190"/>
      <c r="AI74" s="3"/>
      <c r="AJ74" s="3"/>
      <c r="AK74" s="449"/>
      <c r="AL74" s="460"/>
      <c r="AM74" s="3"/>
      <c r="AN74" s="3"/>
      <c r="AO74" s="452"/>
      <c r="AP74" s="3"/>
      <c r="AQ74" s="3"/>
      <c r="AR74" s="3"/>
      <c r="AS74" s="448" t="s">
        <v>1128</v>
      </c>
      <c r="AT74" s="3"/>
      <c r="AU74" s="630" t="s">
        <v>2157</v>
      </c>
      <c r="AV74" s="4"/>
      <c r="AW74" s="4"/>
      <c r="AX74" s="4"/>
      <c r="AY74" s="4"/>
      <c r="AZ74" s="4"/>
    </row>
    <row r="75" spans="1:52" s="5" customFormat="1" ht="30">
      <c r="A75" s="3">
        <f t="shared" si="4"/>
        <v>70</v>
      </c>
      <c r="B75" s="3">
        <f>'תקציב הנדסה 2022 '!B73</f>
        <v>20006</v>
      </c>
      <c r="C75" s="255" t="str">
        <f>'תקציב הנדסה 2022 '!C73</f>
        <v>גינת צוקרמן</v>
      </c>
      <c r="D75" s="4">
        <f>'תקציב הנדסה 2022 '!D73</f>
        <v>4000000</v>
      </c>
      <c r="E75" s="4">
        <f>'תקציב הנדסה 2022 '!E73</f>
        <v>0</v>
      </c>
      <c r="F75" s="4">
        <f>'תקציב הנדסה 2022 '!F73</f>
        <v>4000000</v>
      </c>
      <c r="G75" s="4">
        <f>'תקציב הנדסה 2022 '!G73</f>
        <v>0</v>
      </c>
      <c r="H75" s="4">
        <f>'תקציב הנדסה 2022 '!H73</f>
        <v>0</v>
      </c>
      <c r="I75" s="4">
        <f>'תקציב הנדסה 2022 '!I73</f>
        <v>0</v>
      </c>
      <c r="J75" s="4">
        <f>'תקציב הנדסה 2022 '!J73</f>
        <v>0</v>
      </c>
      <c r="K75" s="4">
        <f>'תקציב הנדסה 2022 '!K73</f>
        <v>0</v>
      </c>
      <c r="L75" s="4">
        <f>'תקציב הנדסה 2022 '!L73</f>
        <v>0</v>
      </c>
      <c r="M75" s="4">
        <f>'תקציב הנדסה 2022 '!M73</f>
        <v>0</v>
      </c>
      <c r="N75" s="4">
        <f>'תקציב הנדסה 2022 '!N73</f>
        <v>600000</v>
      </c>
      <c r="O75" s="4">
        <f>'תקציב הנדסה 2022 '!O73</f>
        <v>3400000</v>
      </c>
      <c r="P75" s="4">
        <f>'תקציב הנדסה 2022 '!P73</f>
        <v>0</v>
      </c>
      <c r="Q75" s="4">
        <f>'תקציב הנדסה 2022 '!Q73</f>
        <v>0</v>
      </c>
      <c r="R75" s="4">
        <f>'תקציב הנדסה 2022 '!R73</f>
        <v>0</v>
      </c>
      <c r="S75" s="4">
        <f>'תקציב הנדסה 2022 '!S73</f>
        <v>0</v>
      </c>
      <c r="T75" s="4">
        <f>'תקציב הנדסה 2022 '!T73</f>
        <v>0</v>
      </c>
      <c r="U75" s="4">
        <f>'תקציב הנדסה 2022 '!U73</f>
        <v>600000</v>
      </c>
      <c r="V75" s="4">
        <f>'תקציב הנדסה 2022 '!V73</f>
        <v>600000</v>
      </c>
      <c r="W75" s="4">
        <f>'תקציב הנדסה 2022 '!W73</f>
        <v>0</v>
      </c>
      <c r="X75" s="4">
        <f>'תקציב הנדסה 2022 '!X73</f>
        <v>0</v>
      </c>
      <c r="Y75" s="4">
        <f>'תקציב הנדסה 2022 '!Y73</f>
        <v>0</v>
      </c>
      <c r="Z75" s="4">
        <f>'תקציב הנדסה 2022 '!Z73</f>
        <v>0</v>
      </c>
      <c r="AA75" s="4">
        <f>'תקציב הנדסה 2022 '!AA73</f>
        <v>0</v>
      </c>
      <c r="AB75" s="255" t="str">
        <f>'תקציב הנדסה 2022 '!AB73</f>
        <v>עבודות פיתוח, גינון , השקייה, חשמל ותאורה רחוב בר כוכבא.</v>
      </c>
      <c r="AC75" s="3">
        <f>'תקציב הנדסה 2022 '!AC73</f>
        <v>746000</v>
      </c>
      <c r="AD75" s="190"/>
      <c r="AE75" s="278"/>
      <c r="AF75" s="278"/>
      <c r="AG75" s="190"/>
      <c r="AH75" s="190"/>
      <c r="AI75" s="3"/>
      <c r="AJ75" s="3"/>
      <c r="AK75" s="449"/>
      <c r="AL75" s="460"/>
      <c r="AM75" s="3"/>
      <c r="AN75" s="3"/>
      <c r="AO75" s="452"/>
      <c r="AP75" s="3"/>
      <c r="AQ75" s="3"/>
      <c r="AR75" s="3"/>
      <c r="AS75" s="453" t="s">
        <v>1117</v>
      </c>
      <c r="AT75" s="3" t="s">
        <v>1903</v>
      </c>
      <c r="AU75" s="630"/>
      <c r="AV75" s="4"/>
      <c r="AW75" s="4">
        <v>-200000</v>
      </c>
      <c r="AX75" s="4"/>
      <c r="AY75" s="4"/>
      <c r="AZ75" s="4">
        <v>-200000</v>
      </c>
    </row>
    <row r="76" spans="1:52" s="5" customFormat="1" ht="30">
      <c r="A76" s="3">
        <f t="shared" si="4"/>
        <v>71</v>
      </c>
      <c r="B76" s="3">
        <f>'תקציב הנדסה 2022 '!B74</f>
        <v>20007</v>
      </c>
      <c r="C76" s="255" t="str">
        <f>'תקציב הנדסה 2022 '!C74</f>
        <v>המדרון 15 שצ"פ</v>
      </c>
      <c r="D76" s="4">
        <f>'תקציב הנדסה 2022 '!D74</f>
        <v>700000</v>
      </c>
      <c r="E76" s="4">
        <f>'תקציב הנדסה 2022 '!E74</f>
        <v>0</v>
      </c>
      <c r="F76" s="4">
        <f>'תקציב הנדסה 2022 '!F74</f>
        <v>700000</v>
      </c>
      <c r="G76" s="4">
        <f>'תקציב הנדסה 2022 '!G74</f>
        <v>0</v>
      </c>
      <c r="H76" s="4">
        <f>'תקציב הנדסה 2022 '!H74</f>
        <v>0</v>
      </c>
      <c r="I76" s="4">
        <f>'תקציב הנדסה 2022 '!I74</f>
        <v>0</v>
      </c>
      <c r="J76" s="4">
        <f>'תקציב הנדסה 2022 '!J74</f>
        <v>0</v>
      </c>
      <c r="K76" s="4">
        <f>'תקציב הנדסה 2022 '!K74</f>
        <v>0</v>
      </c>
      <c r="L76" s="4">
        <f>'תקציב הנדסה 2022 '!L74</f>
        <v>0</v>
      </c>
      <c r="M76" s="4">
        <f>'תקציב הנדסה 2022 '!M74</f>
        <v>0</v>
      </c>
      <c r="N76" s="4">
        <f>'תקציב הנדסה 2022 '!N74</f>
        <v>700000</v>
      </c>
      <c r="O76" s="4">
        <f>'תקציב הנדסה 2022 '!O74</f>
        <v>0</v>
      </c>
      <c r="P76" s="4">
        <f>'תקציב הנדסה 2022 '!P74</f>
        <v>0</v>
      </c>
      <c r="Q76" s="4">
        <f>'תקציב הנדסה 2022 '!Q74</f>
        <v>0</v>
      </c>
      <c r="R76" s="4">
        <f>'תקציב הנדסה 2022 '!R74</f>
        <v>0</v>
      </c>
      <c r="S76" s="4">
        <f>'תקציב הנדסה 2022 '!S74</f>
        <v>0</v>
      </c>
      <c r="T76" s="4">
        <f>'תקציב הנדסה 2022 '!T74</f>
        <v>0</v>
      </c>
      <c r="U76" s="4">
        <f>'תקציב הנדסה 2022 '!U74</f>
        <v>700000</v>
      </c>
      <c r="V76" s="4">
        <f>'תקציב הנדסה 2022 '!V74</f>
        <v>700000</v>
      </c>
      <c r="W76" s="4">
        <f>'תקציב הנדסה 2022 '!W74</f>
        <v>0</v>
      </c>
      <c r="X76" s="4">
        <f>'תקציב הנדסה 2022 '!X74</f>
        <v>0</v>
      </c>
      <c r="Y76" s="4">
        <f>'תקציב הנדסה 2022 '!Y74</f>
        <v>0</v>
      </c>
      <c r="Z76" s="4">
        <f>'תקציב הנדסה 2022 '!Z74</f>
        <v>0</v>
      </c>
      <c r="AA76" s="4">
        <f>'תקציב הנדסה 2022 '!AA74</f>
        <v>0</v>
      </c>
      <c r="AB76" s="255" t="str">
        <f>'תקציב הנדסה 2022 '!AB74</f>
        <v>פיתוח רחוב המדרון. רחוב ללא מוצא.</v>
      </c>
      <c r="AC76" s="3">
        <f>'תקציב הנדסה 2022 '!AC74</f>
        <v>746000</v>
      </c>
      <c r="AD76" s="190"/>
      <c r="AE76" s="278"/>
      <c r="AF76" s="278"/>
      <c r="AG76" s="190"/>
      <c r="AH76" s="190"/>
      <c r="AI76" s="3"/>
      <c r="AJ76" s="3"/>
      <c r="AK76" s="449"/>
      <c r="AL76" s="460"/>
      <c r="AM76" s="3"/>
      <c r="AN76" s="3"/>
      <c r="AO76" s="452"/>
      <c r="AP76" s="3"/>
      <c r="AQ76" s="3" t="s">
        <v>1122</v>
      </c>
      <c r="AR76" s="3"/>
      <c r="AS76" s="453" t="s">
        <v>1133</v>
      </c>
      <c r="AT76" s="3" t="s">
        <v>1904</v>
      </c>
      <c r="AU76" s="630" t="s">
        <v>2158</v>
      </c>
      <c r="AV76" s="4"/>
      <c r="AW76" s="4"/>
      <c r="AX76" s="4"/>
      <c r="AY76" s="4"/>
      <c r="AZ76" s="4"/>
    </row>
    <row r="77" spans="1:52" s="62" customFormat="1" ht="25.15" customHeight="1">
      <c r="A77" s="32"/>
      <c r="B77" s="32"/>
      <c r="C77" s="358" t="s">
        <v>801</v>
      </c>
      <c r="D77" s="65">
        <f t="shared" ref="D77:AA77" si="5">SUM(D40:D76)</f>
        <v>416804301</v>
      </c>
      <c r="E77" s="65">
        <f t="shared" si="5"/>
        <v>379733301</v>
      </c>
      <c r="F77" s="65">
        <f t="shared" si="5"/>
        <v>37071000</v>
      </c>
      <c r="G77" s="65">
        <f t="shared" si="5"/>
        <v>143984072</v>
      </c>
      <c r="H77" s="65">
        <f t="shared" si="5"/>
        <v>125458864</v>
      </c>
      <c r="I77" s="65">
        <f t="shared" si="5"/>
        <v>2710489</v>
      </c>
      <c r="J77" s="65">
        <f t="shared" si="5"/>
        <v>2715768</v>
      </c>
      <c r="K77" s="65">
        <f t="shared" si="5"/>
        <v>5426257</v>
      </c>
      <c r="L77" s="65">
        <f t="shared" si="5"/>
        <v>130885121</v>
      </c>
      <c r="M77" s="65">
        <f t="shared" si="5"/>
        <v>3508951</v>
      </c>
      <c r="N77" s="65">
        <f t="shared" si="5"/>
        <v>14250000</v>
      </c>
      <c r="O77" s="65">
        <f t="shared" si="5"/>
        <v>268160229</v>
      </c>
      <c r="P77" s="65">
        <f t="shared" si="5"/>
        <v>13098951</v>
      </c>
      <c r="Q77" s="65">
        <f t="shared" si="5"/>
        <v>950000</v>
      </c>
      <c r="R77" s="65">
        <f t="shared" si="5"/>
        <v>0</v>
      </c>
      <c r="S77" s="65">
        <f t="shared" si="5"/>
        <v>950000</v>
      </c>
      <c r="T77" s="65">
        <f t="shared" si="5"/>
        <v>10540000</v>
      </c>
      <c r="U77" s="65">
        <f t="shared" si="5"/>
        <v>3710000</v>
      </c>
      <c r="V77" s="65">
        <f t="shared" si="5"/>
        <v>4200000</v>
      </c>
      <c r="W77" s="65">
        <f t="shared" si="5"/>
        <v>0</v>
      </c>
      <c r="X77" s="65">
        <f t="shared" si="5"/>
        <v>0</v>
      </c>
      <c r="Y77" s="65">
        <f t="shared" si="5"/>
        <v>0</v>
      </c>
      <c r="Z77" s="65">
        <f t="shared" si="5"/>
        <v>0</v>
      </c>
      <c r="AA77" s="65">
        <f t="shared" si="5"/>
        <v>-490000</v>
      </c>
      <c r="AB77" s="358"/>
      <c r="AC77" s="32"/>
      <c r="AD77" s="790"/>
      <c r="AE77" s="791"/>
      <c r="AF77" s="791"/>
      <c r="AG77" s="790"/>
      <c r="AH77" s="790"/>
      <c r="AI77" s="32"/>
      <c r="AJ77" s="32"/>
      <c r="AK77" s="792"/>
      <c r="AL77" s="460"/>
      <c r="AM77" s="32"/>
      <c r="AN77" s="32"/>
      <c r="AO77" s="793"/>
      <c r="AP77" s="32"/>
      <c r="AQ77" s="32"/>
      <c r="AR77" s="32"/>
      <c r="AS77" s="795"/>
      <c r="AT77" s="32"/>
      <c r="AU77" s="794"/>
      <c r="AV77" s="65"/>
      <c r="AW77" s="65"/>
      <c r="AX77" s="65"/>
      <c r="AY77" s="65"/>
      <c r="AZ77" s="65"/>
    </row>
    <row r="78" spans="1:52" s="5" customFormat="1" ht="30">
      <c r="A78" s="3">
        <f>A76+1</f>
        <v>72</v>
      </c>
      <c r="B78" s="3">
        <f>'תקציב הנדסה 2022 '!B25</f>
        <v>1529</v>
      </c>
      <c r="C78" s="255" t="str">
        <f>'תקציב הנדסה 2022 '!C25</f>
        <v>הוצאות בקשר עם תביעות סעיף 197</v>
      </c>
      <c r="D78" s="4">
        <f>'תקציב הנדסה 2022 '!D25</f>
        <v>700000</v>
      </c>
      <c r="E78" s="4">
        <f>'תקציב הנדסה 2022 '!E25</f>
        <v>500000</v>
      </c>
      <c r="F78" s="4">
        <f>'תקציב הנדסה 2022 '!F25</f>
        <v>200000</v>
      </c>
      <c r="G78" s="4">
        <f>'תקציב הנדסה 2022 '!G25</f>
        <v>500000</v>
      </c>
      <c r="H78" s="4">
        <f>'תקציב הנדסה 2022 '!H25</f>
        <v>379082</v>
      </c>
      <c r="I78" s="4">
        <f>'תקציב הנדסה 2022 '!I25</f>
        <v>0</v>
      </c>
      <c r="J78" s="4">
        <f>'תקציב הנדסה 2022 '!J25</f>
        <v>95523</v>
      </c>
      <c r="K78" s="4">
        <f>'תקציב הנדסה 2022 '!K25</f>
        <v>95523</v>
      </c>
      <c r="L78" s="4">
        <f>'תקציב הנדסה 2022 '!L25</f>
        <v>474605</v>
      </c>
      <c r="M78" s="4">
        <f>'תקציב הנדסה 2022 '!M25</f>
        <v>25395</v>
      </c>
      <c r="N78" s="4">
        <f>'תקציב הנדסה 2022 '!N25</f>
        <v>200000</v>
      </c>
      <c r="O78" s="4">
        <f>'תקציב הנדסה 2022 '!O25</f>
        <v>0</v>
      </c>
      <c r="P78" s="4">
        <f>'תקציב הנדסה 2022 '!P25</f>
        <v>25395</v>
      </c>
      <c r="Q78" s="4">
        <f>'תקציב הנדסה 2022 '!Q25</f>
        <v>0</v>
      </c>
      <c r="R78" s="4">
        <f>'תקציב הנדסה 2022 '!R25</f>
        <v>0</v>
      </c>
      <c r="S78" s="4">
        <f>'תקציב הנדסה 2022 '!S25</f>
        <v>0</v>
      </c>
      <c r="T78" s="4">
        <f>'תקציב הנדסה 2022 '!T25</f>
        <v>0</v>
      </c>
      <c r="U78" s="4">
        <f>'תקציב הנדסה 2022 '!U25</f>
        <v>200000</v>
      </c>
      <c r="V78" s="4">
        <f>'תקציב הנדסה 2022 '!V25</f>
        <v>200000</v>
      </c>
      <c r="W78" s="4">
        <f>'תקציב הנדסה 2022 '!W25</f>
        <v>0</v>
      </c>
      <c r="X78" s="4">
        <f>'תקציב הנדסה 2022 '!X25</f>
        <v>0</v>
      </c>
      <c r="Y78" s="4">
        <f>'תקציב הנדסה 2022 '!Y25</f>
        <v>0</v>
      </c>
      <c r="Z78" s="4">
        <f>'תקציב הנדסה 2022 '!Z25</f>
        <v>0</v>
      </c>
      <c r="AA78" s="4">
        <f>'תקציב הנדסה 2022 '!AA25</f>
        <v>0</v>
      </c>
      <c r="AB78" s="255" t="str">
        <f>'תקציב הנדסה 2022 '!AB25</f>
        <v>סל הוצאות בקשר עם תביעות סעיף 197.</v>
      </c>
      <c r="AC78" s="3">
        <f>'תקציב הנדסה 2022 '!AC25</f>
        <v>760000</v>
      </c>
      <c r="AD78" s="190"/>
      <c r="AE78" s="278"/>
      <c r="AF78" s="278"/>
      <c r="AG78" s="378">
        <v>50000</v>
      </c>
      <c r="AH78" s="190">
        <v>25000</v>
      </c>
      <c r="AI78" s="3"/>
      <c r="AJ78" s="446">
        <f>AG78-AH78-AI78</f>
        <v>25000</v>
      </c>
      <c r="AK78" s="449"/>
      <c r="AL78" s="460"/>
      <c r="AM78" s="3"/>
      <c r="AN78" s="4"/>
      <c r="AO78" s="3"/>
      <c r="AP78" s="3"/>
      <c r="AQ78" s="3"/>
      <c r="AR78" s="3" t="s">
        <v>998</v>
      </c>
      <c r="AS78" s="448"/>
      <c r="AT78" s="3" t="s">
        <v>998</v>
      </c>
      <c r="AU78" s="630"/>
      <c r="AV78" s="4"/>
      <c r="AW78" s="4">
        <v>-100000</v>
      </c>
      <c r="AX78" s="4"/>
      <c r="AY78" s="4"/>
      <c r="AZ78" s="4">
        <v>-100000</v>
      </c>
    </row>
    <row r="79" spans="1:52" s="62" customFormat="1" ht="25.15" customHeight="1">
      <c r="A79" s="32"/>
      <c r="B79" s="32"/>
      <c r="C79" s="358" t="s">
        <v>802</v>
      </c>
      <c r="D79" s="65">
        <f>SUM(D78)</f>
        <v>700000</v>
      </c>
      <c r="E79" s="65">
        <f t="shared" ref="E79:AA79" si="6">SUM(E78)</f>
        <v>500000</v>
      </c>
      <c r="F79" s="65">
        <f t="shared" si="6"/>
        <v>200000</v>
      </c>
      <c r="G79" s="65">
        <f t="shared" si="6"/>
        <v>500000</v>
      </c>
      <c r="H79" s="65">
        <f t="shared" si="6"/>
        <v>379082</v>
      </c>
      <c r="I79" s="65">
        <f t="shared" si="6"/>
        <v>0</v>
      </c>
      <c r="J79" s="65">
        <f t="shared" si="6"/>
        <v>95523</v>
      </c>
      <c r="K79" s="65">
        <f t="shared" si="6"/>
        <v>95523</v>
      </c>
      <c r="L79" s="65">
        <f t="shared" si="6"/>
        <v>474605</v>
      </c>
      <c r="M79" s="65">
        <f t="shared" si="6"/>
        <v>25395</v>
      </c>
      <c r="N79" s="65">
        <f t="shared" si="6"/>
        <v>200000</v>
      </c>
      <c r="O79" s="65">
        <f t="shared" si="6"/>
        <v>0</v>
      </c>
      <c r="P79" s="65">
        <f t="shared" si="6"/>
        <v>25395</v>
      </c>
      <c r="Q79" s="65">
        <f t="shared" si="6"/>
        <v>0</v>
      </c>
      <c r="R79" s="65">
        <f t="shared" si="6"/>
        <v>0</v>
      </c>
      <c r="S79" s="65">
        <f t="shared" si="6"/>
        <v>0</v>
      </c>
      <c r="T79" s="65">
        <f t="shared" si="6"/>
        <v>0</v>
      </c>
      <c r="U79" s="65">
        <f t="shared" si="6"/>
        <v>200000</v>
      </c>
      <c r="V79" s="65">
        <f t="shared" si="6"/>
        <v>200000</v>
      </c>
      <c r="W79" s="65">
        <f t="shared" si="6"/>
        <v>0</v>
      </c>
      <c r="X79" s="65">
        <f t="shared" si="6"/>
        <v>0</v>
      </c>
      <c r="Y79" s="65">
        <f t="shared" si="6"/>
        <v>0</v>
      </c>
      <c r="Z79" s="65">
        <f t="shared" si="6"/>
        <v>0</v>
      </c>
      <c r="AA79" s="65">
        <f t="shared" si="6"/>
        <v>0</v>
      </c>
      <c r="AB79" s="358"/>
      <c r="AC79" s="32"/>
      <c r="AD79" s="790"/>
      <c r="AE79" s="791"/>
      <c r="AF79" s="791"/>
      <c r="AG79" s="790"/>
      <c r="AH79" s="790"/>
      <c r="AI79" s="32"/>
      <c r="AJ79" s="642"/>
      <c r="AK79" s="792"/>
      <c r="AL79" s="460"/>
      <c r="AM79" s="32"/>
      <c r="AN79" s="65"/>
      <c r="AO79" s="32"/>
      <c r="AP79" s="32"/>
      <c r="AQ79" s="32"/>
      <c r="AR79" s="32"/>
      <c r="AS79" s="458"/>
      <c r="AT79" s="32"/>
      <c r="AU79" s="794"/>
      <c r="AV79" s="65"/>
      <c r="AW79" s="65"/>
      <c r="AX79" s="65"/>
      <c r="AY79" s="65"/>
      <c r="AZ79" s="65"/>
    </row>
    <row r="80" spans="1:52" s="370" customFormat="1" ht="25.15" customHeight="1">
      <c r="A80" s="302">
        <f>A78</f>
        <v>72</v>
      </c>
      <c r="B80" s="302"/>
      <c r="C80" s="358" t="s">
        <v>412</v>
      </c>
      <c r="D80" s="369">
        <f t="shared" ref="D80:AA80" si="7">D79+D77+D39</f>
        <v>527779791</v>
      </c>
      <c r="E80" s="369">
        <f t="shared" si="7"/>
        <v>483168791</v>
      </c>
      <c r="F80" s="369">
        <f t="shared" si="7"/>
        <v>44611000</v>
      </c>
      <c r="G80" s="369">
        <f t="shared" si="7"/>
        <v>205226071</v>
      </c>
      <c r="H80" s="369">
        <f t="shared" si="7"/>
        <v>168574056</v>
      </c>
      <c r="I80" s="369">
        <f t="shared" si="7"/>
        <v>6019848</v>
      </c>
      <c r="J80" s="369">
        <f t="shared" si="7"/>
        <v>5752801</v>
      </c>
      <c r="K80" s="369">
        <f t="shared" si="7"/>
        <v>11772649</v>
      </c>
      <c r="L80" s="369">
        <f t="shared" si="7"/>
        <v>180346705</v>
      </c>
      <c r="M80" s="369">
        <f t="shared" si="7"/>
        <v>6759366</v>
      </c>
      <c r="N80" s="369">
        <f t="shared" si="7"/>
        <v>29150000</v>
      </c>
      <c r="O80" s="369">
        <f t="shared" si="7"/>
        <v>311523720</v>
      </c>
      <c r="P80" s="369">
        <f t="shared" si="7"/>
        <v>24879366</v>
      </c>
      <c r="Q80" s="369">
        <f t="shared" si="7"/>
        <v>1450000</v>
      </c>
      <c r="R80" s="369">
        <f t="shared" si="7"/>
        <v>0</v>
      </c>
      <c r="S80" s="369">
        <f t="shared" si="7"/>
        <v>1450000</v>
      </c>
      <c r="T80" s="369">
        <f t="shared" si="7"/>
        <v>19570000</v>
      </c>
      <c r="U80" s="369">
        <f t="shared" si="7"/>
        <v>9580000</v>
      </c>
      <c r="V80" s="369">
        <f t="shared" si="7"/>
        <v>8005774</v>
      </c>
      <c r="W80" s="369">
        <f t="shared" si="7"/>
        <v>0</v>
      </c>
      <c r="X80" s="369">
        <f t="shared" si="7"/>
        <v>0</v>
      </c>
      <c r="Y80" s="369">
        <f t="shared" si="7"/>
        <v>0</v>
      </c>
      <c r="Z80" s="369">
        <f t="shared" si="7"/>
        <v>0</v>
      </c>
      <c r="AA80" s="369">
        <f t="shared" si="7"/>
        <v>1574226</v>
      </c>
      <c r="AB80" s="411">
        <f>SUM(AB5:AB67)</f>
        <v>0</v>
      </c>
      <c r="AC80" s="369"/>
      <c r="AD80" s="369">
        <f t="shared" ref="AD80:AJ80" si="8">SUM(AD5:AD67)</f>
        <v>0</v>
      </c>
      <c r="AE80" s="369">
        <f t="shared" si="8"/>
        <v>0</v>
      </c>
      <c r="AF80" s="369">
        <f t="shared" si="8"/>
        <v>0</v>
      </c>
      <c r="AG80" s="369">
        <f t="shared" si="8"/>
        <v>4100000</v>
      </c>
      <c r="AH80" s="369">
        <f t="shared" si="8"/>
        <v>2850000</v>
      </c>
      <c r="AI80" s="369">
        <f t="shared" si="8"/>
        <v>1250000</v>
      </c>
      <c r="AJ80" s="369">
        <f t="shared" si="8"/>
        <v>0</v>
      </c>
      <c r="AK80" s="449"/>
      <c r="AL80" s="302"/>
      <c r="AM80" s="35"/>
      <c r="AN80" s="35"/>
      <c r="AO80" s="452"/>
      <c r="AP80" s="302"/>
      <c r="AQ80" s="302"/>
      <c r="AR80" s="302"/>
      <c r="AS80" s="458"/>
      <c r="AT80" s="302"/>
      <c r="AU80" s="631"/>
      <c r="AV80" s="369">
        <f>SUM(AV5:AV78)</f>
        <v>-1200000</v>
      </c>
      <c r="AW80" s="369">
        <f>SUM(AW5:AW78)</f>
        <v>-4450000</v>
      </c>
      <c r="AX80" s="369">
        <f>SUM(AX5:AX78)</f>
        <v>2850000</v>
      </c>
      <c r="AY80" s="369">
        <f>SUM(AY5:AY78)</f>
        <v>850000</v>
      </c>
      <c r="AZ80" s="369">
        <f>SUM(AZ5:AZ78)</f>
        <v>-5650000</v>
      </c>
    </row>
    <row r="81" spans="3:50" hidden="1">
      <c r="L81" s="14">
        <f>K80+H80</f>
        <v>180346705</v>
      </c>
      <c r="M81" s="14">
        <f>P80+S80-T80</f>
        <v>6759366</v>
      </c>
      <c r="P81" s="14">
        <f>G80-L80</f>
        <v>24879366</v>
      </c>
      <c r="AD81" s="12"/>
      <c r="AU81" s="630"/>
      <c r="AX81" s="4"/>
    </row>
    <row r="82" spans="3:50">
      <c r="AD82" s="12"/>
      <c r="AU82" s="12"/>
      <c r="AX82" s="12"/>
    </row>
    <row r="83" spans="3:50">
      <c r="AH83" s="14"/>
      <c r="AI83" s="14"/>
      <c r="AU83" s="12"/>
      <c r="AX83" s="12"/>
    </row>
    <row r="85" spans="3:50">
      <c r="C85" s="770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</row>
    <row r="86" spans="3:50">
      <c r="C86" s="770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3:50">
      <c r="C87" s="770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3:50">
      <c r="C88" s="770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3:50">
      <c r="C89" s="770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3:50">
      <c r="C90" s="770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3:50">
      <c r="C91" s="770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3:50">
      <c r="C92" s="770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AU92" s="640" t="s">
        <v>2203</v>
      </c>
      <c r="AV92" s="446">
        <v>25315000</v>
      </c>
      <c r="AX92" s="640"/>
    </row>
    <row r="93" spans="3:50">
      <c r="C93" s="770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AU93" s="640" t="s">
        <v>2204</v>
      </c>
      <c r="AV93" s="446" t="e">
        <f>#REF!</f>
        <v>#REF!</v>
      </c>
      <c r="AX93" s="640"/>
    </row>
    <row r="94" spans="3:50">
      <c r="C94" s="770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AU94" s="640" t="s">
        <v>2207</v>
      </c>
      <c r="AV94" s="446">
        <f>-1070000-2500000-960000</f>
        <v>-4530000</v>
      </c>
      <c r="AX94" s="640"/>
    </row>
    <row r="95" spans="3:50">
      <c r="C95" s="770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AU95" s="640" t="s">
        <v>2205</v>
      </c>
      <c r="AV95" s="642" t="e">
        <f>AV92+AV93+AV94</f>
        <v>#REF!</v>
      </c>
      <c r="AX95" s="640"/>
    </row>
    <row r="96" spans="3:50">
      <c r="C96" s="770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</row>
  </sheetData>
  <sortState ref="A5:AZ76">
    <sortCondition ref="AC5:AC76"/>
  </sortState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Q39"/>
  <sheetViews>
    <sheetView showZeros="0" rightToLeft="1" topLeftCell="A16" zoomScaleNormal="100" workbookViewId="0">
      <selection activeCell="C55" sqref="C55"/>
    </sheetView>
  </sheetViews>
  <sheetFormatPr defaultColWidth="9.140625" defaultRowHeight="14.25"/>
  <cols>
    <col min="1" max="3" width="4.140625" style="213" customWidth="1"/>
    <col min="4" max="4" width="34.85546875" style="213" customWidth="1"/>
    <col min="5" max="5" width="30.42578125" style="213" customWidth="1"/>
    <col min="6" max="6" width="12" style="213" customWidth="1"/>
    <col min="7" max="7" width="5.5703125" style="213" customWidth="1"/>
    <col min="8" max="9" width="12.140625" style="213" customWidth="1"/>
    <col min="10" max="10" width="7.85546875" style="213" customWidth="1"/>
    <col min="11" max="16384" width="9.140625" style="213"/>
  </cols>
  <sheetData>
    <row r="3" spans="1:17" ht="20.25">
      <c r="A3" s="212"/>
      <c r="C3" s="214" t="s">
        <v>239</v>
      </c>
      <c r="D3" s="212"/>
      <c r="E3" s="212"/>
      <c r="F3" s="212"/>
      <c r="G3" s="212"/>
      <c r="H3" s="212"/>
      <c r="I3" s="212"/>
      <c r="J3" s="212"/>
      <c r="K3" s="212"/>
      <c r="L3" s="212"/>
    </row>
    <row r="4" spans="1:17" ht="21" thickBot="1">
      <c r="A4" s="212"/>
      <c r="C4" s="214"/>
      <c r="D4" s="212"/>
      <c r="E4" s="212"/>
      <c r="F4" s="212"/>
      <c r="G4" s="212"/>
      <c r="H4" s="212"/>
      <c r="I4" s="212"/>
      <c r="J4" s="212"/>
      <c r="K4" s="212"/>
      <c r="L4" s="212"/>
    </row>
    <row r="5" spans="1:17" ht="16.5" thickBot="1">
      <c r="A5" s="212"/>
      <c r="B5" s="215" t="s">
        <v>160</v>
      </c>
      <c r="C5" s="212" t="s">
        <v>2382</v>
      </c>
      <c r="D5" s="212"/>
      <c r="E5" s="212"/>
      <c r="F5" s="216">
        <f>'תקציב החברה לפיתוח 2022'!U130</f>
        <v>347501469</v>
      </c>
      <c r="I5" s="212"/>
      <c r="J5" s="212"/>
      <c r="K5" s="212"/>
      <c r="L5" s="212"/>
    </row>
    <row r="6" spans="1:17" ht="21" thickBot="1">
      <c r="A6" s="212"/>
      <c r="C6" s="214"/>
      <c r="D6" s="212"/>
      <c r="E6" s="212"/>
      <c r="F6" s="212"/>
      <c r="H6" s="212"/>
      <c r="I6" s="212"/>
      <c r="J6" s="212"/>
      <c r="K6" s="212"/>
      <c r="L6" s="212"/>
    </row>
    <row r="7" spans="1:17" ht="16.5" thickBot="1">
      <c r="B7" s="215" t="s">
        <v>160</v>
      </c>
      <c r="C7" s="212" t="s">
        <v>276</v>
      </c>
      <c r="D7" s="212"/>
      <c r="F7" s="216">
        <f>'תקציב החברה לפיתוח 2022'!A130</f>
        <v>120</v>
      </c>
      <c r="I7" s="212"/>
      <c r="J7" s="212"/>
      <c r="K7" s="212"/>
      <c r="L7" s="212"/>
      <c r="M7" s="212"/>
      <c r="N7" s="212"/>
      <c r="O7" s="212"/>
      <c r="P7" s="212"/>
      <c r="Q7" s="212"/>
    </row>
    <row r="8" spans="1:17" ht="15.75">
      <c r="B8" s="215"/>
      <c r="C8" s="212"/>
      <c r="D8" s="212"/>
      <c r="E8" s="212"/>
      <c r="F8" s="212"/>
      <c r="H8" s="212"/>
      <c r="I8" s="212"/>
      <c r="J8" s="212"/>
      <c r="K8" s="212"/>
      <c r="L8" s="212"/>
      <c r="M8" s="212"/>
      <c r="N8" s="212"/>
      <c r="O8" s="212"/>
      <c r="P8" s="212"/>
      <c r="Q8" s="212"/>
    </row>
    <row r="9" spans="1:17" ht="15.75">
      <c r="B9" s="215" t="s">
        <v>160</v>
      </c>
      <c r="C9" s="212" t="s">
        <v>273</v>
      </c>
      <c r="D9" s="212"/>
      <c r="E9" s="212"/>
      <c r="F9" s="212"/>
      <c r="G9" s="212"/>
      <c r="H9" s="212"/>
      <c r="I9" s="212"/>
      <c r="J9" s="212"/>
      <c r="K9" s="212"/>
      <c r="L9" s="212"/>
    </row>
    <row r="10" spans="1:17" ht="16.5" thickBot="1"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</row>
    <row r="11" spans="1:17" ht="15.75">
      <c r="D11" s="225" t="s">
        <v>274</v>
      </c>
      <c r="E11" s="226" t="s">
        <v>275</v>
      </c>
      <c r="F11" s="227" t="s">
        <v>277</v>
      </c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</row>
    <row r="12" spans="1:17" ht="15.75">
      <c r="C12" s="215"/>
      <c r="D12" s="219" t="s">
        <v>13</v>
      </c>
      <c r="E12" s="228">
        <f>'תקציב החברה לפיתוח 2022'!V130</f>
        <v>184998584</v>
      </c>
      <c r="F12" s="236">
        <f t="shared" ref="F12:F17" si="0">E12/$E$18</f>
        <v>0.5323677754006847</v>
      </c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</row>
    <row r="13" spans="1:17" ht="15.75">
      <c r="C13" s="215"/>
      <c r="D13" s="219" t="s">
        <v>14</v>
      </c>
      <c r="E13" s="228">
        <f>'תקציב החברה לפיתוח 2022'!W130</f>
        <v>1500000</v>
      </c>
      <c r="F13" s="236">
        <f t="shared" si="0"/>
        <v>4.3165285151643487E-3</v>
      </c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</row>
    <row r="14" spans="1:17" ht="15.75" hidden="1">
      <c r="C14" s="215"/>
      <c r="D14" s="219" t="s">
        <v>15</v>
      </c>
      <c r="E14" s="228"/>
      <c r="F14" s="236">
        <f t="shared" si="0"/>
        <v>0</v>
      </c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</row>
    <row r="15" spans="1:17" ht="15.75">
      <c r="C15" s="215"/>
      <c r="D15" s="219" t="s">
        <v>282</v>
      </c>
      <c r="E15" s="228">
        <f>'תקציב החברה לפיתוח 2022'!Y130</f>
        <v>9000000</v>
      </c>
      <c r="F15" s="236">
        <f t="shared" si="0"/>
        <v>2.5899171090986092E-2</v>
      </c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</row>
    <row r="16" spans="1:17" ht="15.75">
      <c r="C16" s="215"/>
      <c r="D16" s="219" t="s">
        <v>749</v>
      </c>
      <c r="E16" s="228">
        <f>'תקציב החברה לפיתוח 2022'!Z130</f>
        <v>7100000</v>
      </c>
      <c r="F16" s="236">
        <f t="shared" si="0"/>
        <v>2.0431568305111253E-2</v>
      </c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</row>
    <row r="17" spans="1:17" ht="15.75">
      <c r="C17" s="215"/>
      <c r="D17" s="219" t="s">
        <v>84</v>
      </c>
      <c r="E17" s="228">
        <f>'תקציב החברה לפיתוח 2022'!AA130</f>
        <v>144902885</v>
      </c>
      <c r="F17" s="236">
        <f t="shared" si="0"/>
        <v>0.41698495668805358</v>
      </c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</row>
    <row r="18" spans="1:17" ht="16.5" thickBot="1">
      <c r="C18" s="215"/>
      <c r="D18" s="222" t="s">
        <v>94</v>
      </c>
      <c r="E18" s="230">
        <f>SUM(E12:E17)</f>
        <v>347501469</v>
      </c>
      <c r="F18" s="304">
        <f>SUM(F12:F17)</f>
        <v>1</v>
      </c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</row>
    <row r="19" spans="1:17" ht="15.75">
      <c r="C19" s="215"/>
      <c r="D19" s="218"/>
      <c r="E19" s="239"/>
      <c r="F19" s="366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</row>
    <row r="20" spans="1:17" ht="15.75">
      <c r="C20" s="215"/>
      <c r="D20" s="218"/>
      <c r="E20" s="239"/>
      <c r="F20" s="366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</row>
    <row r="21" spans="1:17" s="295" customFormat="1" ht="15.75">
      <c r="C21" s="297" t="s">
        <v>160</v>
      </c>
      <c r="D21" s="294" t="s">
        <v>797</v>
      </c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</row>
    <row r="22" spans="1:17" s="295" customFormat="1" ht="15.75">
      <c r="C22" s="297"/>
      <c r="D22" s="294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</row>
    <row r="23" spans="1:17" s="295" customFormat="1" ht="15.75">
      <c r="A23" s="294"/>
      <c r="B23" s="294"/>
      <c r="C23" s="294"/>
      <c r="D23" s="360" t="s">
        <v>2383</v>
      </c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</row>
    <row r="24" spans="1:17" s="295" customFormat="1" ht="15.75">
      <c r="A24" s="294"/>
      <c r="B24" s="294"/>
      <c r="C24" s="294"/>
      <c r="D24" s="360" t="s">
        <v>2440</v>
      </c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</row>
    <row r="25" spans="1:17" s="295" customFormat="1" ht="15.75">
      <c r="A25" s="294"/>
      <c r="B25" s="294"/>
      <c r="C25" s="294"/>
      <c r="D25" s="360" t="s">
        <v>2384</v>
      </c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</row>
    <row r="26" spans="1:17" s="295" customFormat="1" ht="15.75">
      <c r="A26" s="294"/>
      <c r="B26" s="294"/>
      <c r="C26" s="294"/>
      <c r="D26" s="360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</row>
    <row r="27" spans="1:17" s="295" customFormat="1" ht="15.75">
      <c r="A27" s="294"/>
      <c r="B27" s="294"/>
      <c r="C27" s="294"/>
      <c r="D27" s="360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</row>
    <row r="28" spans="1:17" s="295" customFormat="1" ht="15.75">
      <c r="A28" s="294"/>
      <c r="B28" s="294"/>
      <c r="C28" s="294"/>
      <c r="D28" s="360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</row>
    <row r="29" spans="1:17" s="295" customFormat="1" ht="15.75">
      <c r="A29" s="294"/>
      <c r="B29" s="294"/>
      <c r="C29" s="294"/>
      <c r="D29" s="360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</row>
    <row r="30" spans="1:17" s="295" customFormat="1" ht="15.75">
      <c r="A30" s="294"/>
      <c r="B30" s="294"/>
      <c r="C30" s="294"/>
      <c r="D30" s="360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</row>
    <row r="31" spans="1:17" ht="15.75">
      <c r="B31" s="215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</row>
    <row r="35" spans="3:17" s="317" customFormat="1" ht="15.75">
      <c r="C35" s="318" t="s">
        <v>160</v>
      </c>
      <c r="D35" s="319" t="s">
        <v>2492</v>
      </c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19"/>
      <c r="Q35" s="319"/>
    </row>
    <row r="39" spans="3:17" ht="15.75">
      <c r="D39" s="212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Q36"/>
  <sheetViews>
    <sheetView showZeros="0" rightToLeft="1" topLeftCell="A10" workbookViewId="0">
      <selection activeCell="C55" sqref="C55"/>
    </sheetView>
  </sheetViews>
  <sheetFormatPr defaultColWidth="9.140625" defaultRowHeight="14.25"/>
  <cols>
    <col min="1" max="3" width="4.140625" style="213" customWidth="1"/>
    <col min="4" max="4" width="42.140625" style="213" customWidth="1"/>
    <col min="5" max="5" width="30.42578125" style="213" customWidth="1"/>
    <col min="6" max="6" width="12" style="213" customWidth="1"/>
    <col min="7" max="7" width="5.5703125" style="213" customWidth="1"/>
    <col min="8" max="9" width="12.140625" style="213" customWidth="1"/>
    <col min="10" max="10" width="7.85546875" style="213" customWidth="1"/>
    <col min="11" max="16384" width="9.140625" style="213"/>
  </cols>
  <sheetData>
    <row r="2" spans="1:17" ht="20.25">
      <c r="A2" s="212"/>
      <c r="C2" s="214" t="s">
        <v>161</v>
      </c>
      <c r="D2" s="212"/>
      <c r="E2" s="212"/>
      <c r="F2" s="212"/>
      <c r="G2" s="212"/>
      <c r="H2" s="212"/>
      <c r="I2" s="212"/>
      <c r="J2" s="212"/>
      <c r="K2" s="212"/>
      <c r="L2" s="212"/>
    </row>
    <row r="3" spans="1:17" ht="20.25">
      <c r="A3" s="212"/>
      <c r="C3" s="214"/>
      <c r="D3" s="212"/>
      <c r="E3" s="212"/>
      <c r="F3" s="212"/>
      <c r="G3" s="212"/>
      <c r="H3" s="212"/>
      <c r="I3" s="212"/>
      <c r="J3" s="212"/>
      <c r="K3" s="212"/>
      <c r="L3" s="212"/>
    </row>
    <row r="4" spans="1:17" ht="15.75">
      <c r="B4" s="215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</row>
    <row r="5" spans="1:17" ht="15.75">
      <c r="B5" s="215" t="s">
        <v>160</v>
      </c>
      <c r="C5" s="212" t="s">
        <v>2379</v>
      </c>
      <c r="D5" s="212"/>
      <c r="E5" s="212"/>
      <c r="F5" s="212"/>
      <c r="H5" s="221"/>
      <c r="I5" s="212"/>
      <c r="J5" s="212"/>
      <c r="K5" s="212"/>
      <c r="L5" s="212"/>
      <c r="M5" s="212"/>
      <c r="N5" s="212"/>
      <c r="O5" s="212"/>
      <c r="P5" s="212"/>
      <c r="Q5" s="212"/>
    </row>
    <row r="6" spans="1:17" ht="16.5" thickBot="1">
      <c r="C6" s="212"/>
      <c r="D6" s="212"/>
      <c r="E6" s="212"/>
      <c r="F6" s="212"/>
      <c r="H6" s="212"/>
      <c r="I6" s="212"/>
      <c r="J6" s="212"/>
      <c r="K6" s="212"/>
      <c r="L6" s="212"/>
    </row>
    <row r="7" spans="1:17" ht="15.75">
      <c r="D7" s="225" t="s">
        <v>278</v>
      </c>
      <c r="E7" s="217" t="s">
        <v>275</v>
      </c>
      <c r="F7" s="218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</row>
    <row r="8" spans="1:17" ht="15.75">
      <c r="C8" s="215"/>
      <c r="D8" s="219" t="s">
        <v>279</v>
      </c>
      <c r="E8" s="231">
        <f>'תקציב החברה לפיתוח 2022'!U129</f>
        <v>191238256</v>
      </c>
      <c r="F8" s="221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</row>
    <row r="9" spans="1:17" ht="15.75">
      <c r="C9" s="215"/>
      <c r="D9" s="219" t="s">
        <v>280</v>
      </c>
      <c r="E9" s="231">
        <f>'תקציב החברה לפיתוח 2022'!U112</f>
        <v>156263213</v>
      </c>
      <c r="F9" s="221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</row>
    <row r="10" spans="1:17" ht="15.75">
      <c r="C10" s="215"/>
      <c r="D10" s="219" t="s">
        <v>281</v>
      </c>
      <c r="E10" s="231"/>
      <c r="F10" s="221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</row>
    <row r="11" spans="1:17" ht="15.75">
      <c r="C11" s="215"/>
      <c r="D11" s="219" t="s">
        <v>325</v>
      </c>
      <c r="E11" s="220">
        <f>'תקציב החברה לפיתוח 2022'!U40</f>
        <v>30000000</v>
      </c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</row>
    <row r="12" spans="1:17" ht="15.75">
      <c r="C12" s="215"/>
      <c r="D12" s="219" t="s">
        <v>110</v>
      </c>
      <c r="E12" s="367">
        <f>'תקציב החברה לפיתוח 2022'!U31</f>
        <v>13037327</v>
      </c>
      <c r="F12" s="221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</row>
    <row r="13" spans="1:17" ht="15.75">
      <c r="C13" s="215"/>
      <c r="D13" s="219" t="s">
        <v>799</v>
      </c>
      <c r="E13" s="367">
        <f>'תקציב החברה לפיתוח 2022'!U49</f>
        <v>10000000</v>
      </c>
      <c r="F13" s="221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</row>
    <row r="14" spans="1:17" ht="15.75">
      <c r="C14" s="215"/>
      <c r="D14" s="219" t="s">
        <v>798</v>
      </c>
      <c r="E14" s="367">
        <f>'תקציב החברה לפיתוח 2022'!U5</f>
        <v>10000000</v>
      </c>
      <c r="F14" s="221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</row>
    <row r="15" spans="1:17" ht="15.75">
      <c r="C15" s="215"/>
      <c r="D15" s="219" t="s">
        <v>333</v>
      </c>
      <c r="E15" s="367">
        <v>9250000</v>
      </c>
      <c r="F15" s="221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</row>
    <row r="16" spans="1:17" ht="15.6" customHeight="1">
      <c r="D16" s="219" t="s">
        <v>827</v>
      </c>
      <c r="E16" s="220">
        <f>'תקציב החברה לפיתוח 2022'!U78</f>
        <v>9000000</v>
      </c>
      <c r="H16" s="308"/>
    </row>
    <row r="17" spans="3:17" ht="16.149999999999999" customHeight="1">
      <c r="C17" s="215"/>
      <c r="D17" s="219" t="s">
        <v>873</v>
      </c>
      <c r="E17" s="220">
        <f>'תקציב החברה לפיתוח 2022'!U48</f>
        <v>8000000</v>
      </c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</row>
    <row r="18" spans="3:17" ht="15.75">
      <c r="D18" s="219" t="s">
        <v>630</v>
      </c>
      <c r="E18" s="220">
        <f>'תקציב החברה לפיתוח 2022'!U86</f>
        <v>8000000</v>
      </c>
    </row>
    <row r="19" spans="3:17" ht="15.75">
      <c r="C19" s="215"/>
      <c r="D19" s="219" t="s">
        <v>665</v>
      </c>
      <c r="E19" s="367">
        <f>'תקציב החברה לפיתוח 2022'!U101</f>
        <v>7100000</v>
      </c>
      <c r="F19" s="221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</row>
    <row r="20" spans="3:17" ht="15.6" customHeight="1">
      <c r="C20" s="215"/>
      <c r="D20" s="219" t="s">
        <v>635</v>
      </c>
      <c r="E20" s="220">
        <f>'תקציב החברה לפיתוח 2022'!U96</f>
        <v>7000000</v>
      </c>
      <c r="F20" s="221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</row>
    <row r="21" spans="3:17" ht="15.75">
      <c r="C21" s="215"/>
      <c r="D21" s="219" t="s">
        <v>2386</v>
      </c>
      <c r="E21" s="220">
        <f>'תקציב החברה לפיתוח 2022'!U80</f>
        <v>7000000</v>
      </c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</row>
    <row r="22" spans="3:17" ht="15.75">
      <c r="C22" s="215"/>
      <c r="D22" s="219" t="s">
        <v>2385</v>
      </c>
      <c r="E22" s="220">
        <f>'תקציב החברה לפיתוח 2022'!U50</f>
        <v>7000000</v>
      </c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</row>
    <row r="23" spans="3:17" ht="15.75" customHeight="1" thickBot="1">
      <c r="C23" s="215"/>
      <c r="D23" s="234" t="s">
        <v>627</v>
      </c>
      <c r="E23" s="235">
        <f>'תקציב החברה לפיתוח 2022'!U83</f>
        <v>5000000</v>
      </c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</row>
    <row r="25" spans="3:17" ht="15.75">
      <c r="D25" s="310" t="s">
        <v>2464</v>
      </c>
    </row>
    <row r="36" spans="4:4">
      <c r="D36" s="307"/>
    </row>
  </sheetData>
  <sortState ref="A11:Q22">
    <sortCondition descending="1" ref="E11:E22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C161"/>
  <sheetViews>
    <sheetView showZeros="0" rightToLeft="1" zoomScaleNormal="100" workbookViewId="0">
      <pane xSplit="3" ySplit="4" topLeftCell="D24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9.140625" defaultRowHeight="15"/>
  <cols>
    <col min="1" max="1" width="3.5703125" style="261" customWidth="1"/>
    <col min="2" max="2" width="5.7109375" style="262" customWidth="1"/>
    <col min="3" max="3" width="19.28515625" style="170" customWidth="1"/>
    <col min="4" max="5" width="11.7109375" style="155" customWidth="1"/>
    <col min="6" max="6" width="11.140625" style="155" customWidth="1"/>
    <col min="7" max="7" width="13.140625" style="155" hidden="1" customWidth="1"/>
    <col min="8" max="8" width="14.28515625" style="155" hidden="1" customWidth="1"/>
    <col min="9" max="11" width="10.7109375" style="155" hidden="1" customWidth="1"/>
    <col min="12" max="12" width="11.5703125" style="155" customWidth="1"/>
    <col min="13" max="13" width="10.85546875" style="155" customWidth="1"/>
    <col min="14" max="14" width="10.42578125" style="155" customWidth="1"/>
    <col min="15" max="15" width="11.7109375" style="155" customWidth="1"/>
    <col min="16" max="17" width="11.140625" style="155" hidden="1" customWidth="1"/>
    <col min="18" max="18" width="10.7109375" style="155" hidden="1" customWidth="1"/>
    <col min="19" max="19" width="13" style="155" hidden="1" customWidth="1"/>
    <col min="20" max="20" width="8.42578125" style="155" customWidth="1"/>
    <col min="21" max="21" width="10.5703125" style="154" bestFit="1" customWidth="1"/>
    <col min="22" max="22" width="10.140625" style="154" customWidth="1"/>
    <col min="23" max="23" width="8.42578125" style="154" customWidth="1"/>
    <col min="24" max="24" width="10.7109375" style="154" hidden="1" customWidth="1"/>
    <col min="25" max="26" width="8.28515625" style="154" customWidth="1"/>
    <col min="27" max="27" width="10.28515625" style="154" customWidth="1"/>
    <col min="28" max="28" width="23.7109375" style="288" hidden="1" customWidth="1"/>
    <col min="29" max="29" width="10.7109375" style="154" hidden="1" customWidth="1"/>
    <col min="30" max="30" width="14" style="154" customWidth="1"/>
    <col min="31" max="31" width="24" style="154" customWidth="1"/>
    <col min="32" max="32" width="7.28515625" style="154" customWidth="1"/>
    <col min="33" max="33" width="7.5703125" style="154" customWidth="1"/>
    <col min="34" max="34" width="7.7109375" style="154" customWidth="1"/>
    <col min="35" max="35" width="8.7109375" style="154" customWidth="1"/>
    <col min="36" max="36" width="8.42578125" style="154" customWidth="1"/>
    <col min="37" max="37" width="9.140625" style="154" customWidth="1"/>
    <col min="38" max="38" width="19.7109375" style="154" customWidth="1"/>
    <col min="39" max="39" width="26.28515625" style="154" customWidth="1"/>
    <col min="40" max="40" width="21.42578125" style="154" customWidth="1"/>
    <col min="41" max="41" width="20" style="154" customWidth="1"/>
    <col min="42" max="42" width="19.28515625" style="154" customWidth="1"/>
    <col min="43" max="43" width="20.28515625" style="154" customWidth="1"/>
    <col min="44" max="44" width="16.140625" style="154" customWidth="1"/>
    <col min="45" max="45" width="25.5703125" style="154" customWidth="1"/>
    <col min="46" max="46" width="25.28515625" style="154" customWidth="1"/>
    <col min="47" max="47" width="22.28515625" style="154" customWidth="1"/>
    <col min="48" max="48" width="23" style="154" customWidth="1"/>
    <col min="49" max="49" width="12.28515625" style="154" customWidth="1"/>
    <col min="50" max="50" width="11.28515625" style="154" customWidth="1"/>
    <col min="51" max="52" width="10.7109375" style="154" customWidth="1"/>
    <col min="53" max="53" width="23" style="154" customWidth="1"/>
    <col min="54" max="54" width="13.140625" style="154" customWidth="1"/>
    <col min="55" max="55" width="17.7109375" style="154" customWidth="1"/>
    <col min="56" max="16384" width="9.140625" style="154"/>
  </cols>
  <sheetData>
    <row r="1" spans="1:55" s="259" customFormat="1" ht="18.75">
      <c r="A1" s="257"/>
      <c r="B1" s="257"/>
      <c r="C1" s="290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60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</row>
    <row r="2" spans="1:55" ht="18.75">
      <c r="A2" s="257" t="s">
        <v>208</v>
      </c>
      <c r="B2" s="257"/>
      <c r="C2" s="290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170"/>
    </row>
    <row r="3" spans="1:55">
      <c r="U3" s="155"/>
    </row>
    <row r="4" spans="1:55" s="263" customFormat="1" ht="75">
      <c r="A4" s="517" t="s">
        <v>1496</v>
      </c>
      <c r="B4" s="157" t="s">
        <v>1</v>
      </c>
      <c r="C4" s="157" t="s">
        <v>2</v>
      </c>
      <c r="D4" s="157" t="s">
        <v>3</v>
      </c>
      <c r="E4" s="157" t="s">
        <v>4</v>
      </c>
      <c r="F4" s="157" t="s">
        <v>5</v>
      </c>
      <c r="G4" s="157" t="s">
        <v>6</v>
      </c>
      <c r="H4" s="157" t="s">
        <v>7</v>
      </c>
      <c r="I4" s="157" t="s">
        <v>9</v>
      </c>
      <c r="J4" s="157" t="s">
        <v>153</v>
      </c>
      <c r="K4" s="157" t="s">
        <v>10</v>
      </c>
      <c r="L4" s="403" t="s">
        <v>11</v>
      </c>
      <c r="M4" s="9" t="s">
        <v>891</v>
      </c>
      <c r="N4" s="9" t="s">
        <v>892</v>
      </c>
      <c r="O4" s="9" t="s">
        <v>893</v>
      </c>
      <c r="P4" s="9" t="s">
        <v>12</v>
      </c>
      <c r="Q4" s="9" t="s">
        <v>894</v>
      </c>
      <c r="R4" s="9" t="s">
        <v>895</v>
      </c>
      <c r="S4" s="9" t="s">
        <v>896</v>
      </c>
      <c r="T4" s="9" t="s">
        <v>897</v>
      </c>
      <c r="U4" s="9" t="s">
        <v>898</v>
      </c>
      <c r="V4" s="16" t="s">
        <v>13</v>
      </c>
      <c r="W4" s="16" t="s">
        <v>14</v>
      </c>
      <c r="X4" s="157" t="s">
        <v>15</v>
      </c>
      <c r="Y4" s="157" t="s">
        <v>265</v>
      </c>
      <c r="Z4" s="157" t="s">
        <v>749</v>
      </c>
      <c r="AA4" s="157" t="s">
        <v>84</v>
      </c>
      <c r="AB4" s="518" t="s">
        <v>304</v>
      </c>
      <c r="AC4" s="157" t="s">
        <v>16</v>
      </c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</row>
    <row r="5" spans="1:55" s="164" customFormat="1" ht="30" customHeight="1">
      <c r="A5" s="160">
        <v>1</v>
      </c>
      <c r="B5" s="160">
        <v>382</v>
      </c>
      <c r="C5" s="160" t="s">
        <v>482</v>
      </c>
      <c r="D5" s="161">
        <f>72881330+6500000+7000000+25000000</f>
        <v>111381330</v>
      </c>
      <c r="E5" s="161">
        <v>72881330</v>
      </c>
      <c r="F5" s="161">
        <f t="shared" ref="F5:F63" si="0">D5-E5</f>
        <v>38500000</v>
      </c>
      <c r="G5" s="161">
        <v>61381330</v>
      </c>
      <c r="H5" s="161">
        <v>56841407</v>
      </c>
      <c r="I5" s="161">
        <v>0</v>
      </c>
      <c r="J5" s="161">
        <v>1767404</v>
      </c>
      <c r="K5" s="161">
        <f>SUM(I5:J5)</f>
        <v>1767404</v>
      </c>
      <c r="L5" s="161">
        <f t="shared" ref="L5:L63" si="1">K5+H5</f>
        <v>58608811</v>
      </c>
      <c r="M5" s="161">
        <f>P5+S5</f>
        <v>2772519</v>
      </c>
      <c r="N5" s="161">
        <f>15500000-6500000+16000000-10000000-1000000-1000000-3000000</f>
        <v>10000000</v>
      </c>
      <c r="O5" s="161">
        <f>D5-L5-M5-N5</f>
        <v>40000000</v>
      </c>
      <c r="P5" s="161">
        <f t="shared" ref="P5:P15" si="2">G5-L5</f>
        <v>2772519</v>
      </c>
      <c r="Q5" s="161"/>
      <c r="R5" s="161"/>
      <c r="S5" s="161">
        <f>SUM(Q5:R5)</f>
        <v>0</v>
      </c>
      <c r="T5" s="161">
        <f>P5-M5+S5</f>
        <v>0</v>
      </c>
      <c r="U5" s="161">
        <f>N5-T5</f>
        <v>10000000</v>
      </c>
      <c r="V5" s="161">
        <f>U5-Z5-X5-AA5-W5</f>
        <v>10000000</v>
      </c>
      <c r="W5" s="161"/>
      <c r="X5" s="161"/>
      <c r="Y5" s="161"/>
      <c r="Z5" s="161"/>
      <c r="AA5" s="160"/>
      <c r="AB5" s="265" t="s">
        <v>1513</v>
      </c>
      <c r="AC5" s="160">
        <v>742000</v>
      </c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</row>
    <row r="6" spans="1:55" s="165" customFormat="1" ht="30" customHeight="1">
      <c r="A6" s="160">
        <f>A5+1</f>
        <v>2</v>
      </c>
      <c r="B6" s="160">
        <v>532</v>
      </c>
      <c r="C6" s="160" t="s">
        <v>75</v>
      </c>
      <c r="D6" s="161">
        <v>80090000</v>
      </c>
      <c r="E6" s="161">
        <v>80090000</v>
      </c>
      <c r="F6" s="161">
        <f t="shared" si="0"/>
        <v>0</v>
      </c>
      <c r="G6" s="161">
        <v>77090000</v>
      </c>
      <c r="H6" s="161">
        <v>75158968</v>
      </c>
      <c r="I6" s="161">
        <v>0</v>
      </c>
      <c r="J6" s="161">
        <v>93388</v>
      </c>
      <c r="K6" s="161">
        <f t="shared" ref="K6:K64" si="3">SUM(I6:J6)</f>
        <v>93388</v>
      </c>
      <c r="L6" s="161">
        <f t="shared" si="1"/>
        <v>75252356</v>
      </c>
      <c r="M6" s="161">
        <f t="shared" ref="M6:M63" si="4">P6+S6</f>
        <v>4837644</v>
      </c>
      <c r="N6" s="161"/>
      <c r="O6" s="161">
        <f t="shared" ref="O6:O64" si="5">D6-L6-M6-N6</f>
        <v>0</v>
      </c>
      <c r="P6" s="161">
        <f t="shared" si="2"/>
        <v>1837644</v>
      </c>
      <c r="Q6" s="161">
        <v>3000000</v>
      </c>
      <c r="R6" s="161"/>
      <c r="S6" s="161">
        <f t="shared" ref="S6:S11" si="6">SUM(Q6:R6)</f>
        <v>3000000</v>
      </c>
      <c r="T6" s="161">
        <f t="shared" ref="T6:T11" si="7">P6-M6+S6</f>
        <v>0</v>
      </c>
      <c r="U6" s="161">
        <f t="shared" ref="U6:U64" si="8">N6-T6</f>
        <v>0</v>
      </c>
      <c r="V6" s="161">
        <f t="shared" ref="V6:V64" si="9">U6-Z6-X6-AA6-W6</f>
        <v>0</v>
      </c>
      <c r="W6" s="161"/>
      <c r="X6" s="161"/>
      <c r="Y6" s="161"/>
      <c r="Z6" s="161"/>
      <c r="AA6" s="160"/>
      <c r="AB6" s="268" t="s">
        <v>694</v>
      </c>
      <c r="AC6" s="160">
        <v>742000</v>
      </c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</row>
    <row r="7" spans="1:55" s="165" customFormat="1" ht="30" customHeight="1">
      <c r="A7" s="160">
        <f t="shared" ref="A7:A69" si="10">A6+1</f>
        <v>3</v>
      </c>
      <c r="B7" s="160">
        <v>576</v>
      </c>
      <c r="C7" s="160" t="s">
        <v>76</v>
      </c>
      <c r="D7" s="161">
        <v>76913000</v>
      </c>
      <c r="E7" s="161">
        <v>76913000</v>
      </c>
      <c r="F7" s="161">
        <f t="shared" si="0"/>
        <v>0</v>
      </c>
      <c r="G7" s="161">
        <v>58113000</v>
      </c>
      <c r="H7" s="161">
        <v>54700908</v>
      </c>
      <c r="I7" s="161">
        <v>0</v>
      </c>
      <c r="J7" s="161">
        <v>3004295</v>
      </c>
      <c r="K7" s="161">
        <f t="shared" si="3"/>
        <v>3004295</v>
      </c>
      <c r="L7" s="161">
        <f t="shared" si="1"/>
        <v>57705203</v>
      </c>
      <c r="M7" s="161">
        <f t="shared" si="4"/>
        <v>407797</v>
      </c>
      <c r="N7" s="161"/>
      <c r="O7" s="161">
        <f t="shared" si="5"/>
        <v>18800000</v>
      </c>
      <c r="P7" s="161">
        <f t="shared" si="2"/>
        <v>407797</v>
      </c>
      <c r="Q7" s="161"/>
      <c r="R7" s="161"/>
      <c r="S7" s="161">
        <f t="shared" si="6"/>
        <v>0</v>
      </c>
      <c r="T7" s="161">
        <f t="shared" si="7"/>
        <v>0</v>
      </c>
      <c r="U7" s="161">
        <f t="shared" si="8"/>
        <v>0</v>
      </c>
      <c r="V7" s="161">
        <f t="shared" si="9"/>
        <v>0</v>
      </c>
      <c r="W7" s="161"/>
      <c r="X7" s="161"/>
      <c r="Y7" s="161"/>
      <c r="Z7" s="161"/>
      <c r="AA7" s="161"/>
      <c r="AB7" s="160" t="s">
        <v>2332</v>
      </c>
      <c r="AC7" s="160">
        <v>760000</v>
      </c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</row>
    <row r="8" spans="1:55" s="165" customFormat="1" ht="30" customHeight="1">
      <c r="A8" s="160">
        <f t="shared" si="10"/>
        <v>4</v>
      </c>
      <c r="B8" s="160">
        <v>634</v>
      </c>
      <c r="C8" s="160" t="s">
        <v>430</v>
      </c>
      <c r="D8" s="161">
        <f>56350000-700000</f>
        <v>55650000</v>
      </c>
      <c r="E8" s="161">
        <v>56350000</v>
      </c>
      <c r="F8" s="161">
        <f t="shared" si="0"/>
        <v>-700000</v>
      </c>
      <c r="G8" s="161">
        <v>55950000</v>
      </c>
      <c r="H8" s="161">
        <v>55561475</v>
      </c>
      <c r="I8" s="161">
        <v>0</v>
      </c>
      <c r="J8" s="161">
        <v>0</v>
      </c>
      <c r="K8" s="161">
        <f t="shared" si="3"/>
        <v>0</v>
      </c>
      <c r="L8" s="161">
        <f t="shared" si="1"/>
        <v>55561475</v>
      </c>
      <c r="M8" s="161">
        <f>P8+S8-300000</f>
        <v>88525</v>
      </c>
      <c r="N8" s="161"/>
      <c r="O8" s="161">
        <f t="shared" si="5"/>
        <v>0</v>
      </c>
      <c r="P8" s="161">
        <f t="shared" si="2"/>
        <v>388525</v>
      </c>
      <c r="Q8" s="161"/>
      <c r="R8" s="161"/>
      <c r="S8" s="161">
        <f t="shared" si="6"/>
        <v>0</v>
      </c>
      <c r="T8" s="161">
        <f t="shared" si="7"/>
        <v>300000</v>
      </c>
      <c r="U8" s="161">
        <f t="shared" si="8"/>
        <v>-300000</v>
      </c>
      <c r="V8" s="161">
        <f t="shared" si="9"/>
        <v>-300000</v>
      </c>
      <c r="W8" s="161"/>
      <c r="X8" s="161"/>
      <c r="Y8" s="161"/>
      <c r="Z8" s="161"/>
      <c r="AA8" s="160"/>
      <c r="AB8" s="160" t="s">
        <v>2319</v>
      </c>
      <c r="AC8" s="160">
        <v>732000</v>
      </c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</row>
    <row r="9" spans="1:55" s="164" customFormat="1" ht="30" customHeight="1">
      <c r="A9" s="160">
        <f t="shared" si="10"/>
        <v>5</v>
      </c>
      <c r="B9" s="160">
        <v>1067</v>
      </c>
      <c r="C9" s="160" t="s">
        <v>77</v>
      </c>
      <c r="D9" s="161">
        <f>4475000+500000-250000</f>
        <v>4725000</v>
      </c>
      <c r="E9" s="161">
        <v>4475000</v>
      </c>
      <c r="F9" s="161">
        <f t="shared" si="0"/>
        <v>250000</v>
      </c>
      <c r="G9" s="161">
        <v>3975000</v>
      </c>
      <c r="H9" s="161">
        <v>3381161</v>
      </c>
      <c r="I9" s="161">
        <v>0</v>
      </c>
      <c r="J9" s="161">
        <v>318521</v>
      </c>
      <c r="K9" s="161">
        <f t="shared" si="3"/>
        <v>318521</v>
      </c>
      <c r="L9" s="161">
        <f t="shared" si="1"/>
        <v>3699682</v>
      </c>
      <c r="M9" s="161">
        <f t="shared" si="4"/>
        <v>775318</v>
      </c>
      <c r="N9" s="161">
        <f>500000-250000</f>
        <v>250000</v>
      </c>
      <c r="O9" s="161">
        <f t="shared" si="5"/>
        <v>0</v>
      </c>
      <c r="P9" s="161">
        <f t="shared" si="2"/>
        <v>275318</v>
      </c>
      <c r="Q9" s="161">
        <v>500000</v>
      </c>
      <c r="R9" s="161"/>
      <c r="S9" s="161">
        <f t="shared" si="6"/>
        <v>500000</v>
      </c>
      <c r="T9" s="161">
        <f t="shared" si="7"/>
        <v>0</v>
      </c>
      <c r="U9" s="161">
        <f t="shared" si="8"/>
        <v>250000</v>
      </c>
      <c r="V9" s="161">
        <f t="shared" si="9"/>
        <v>250000</v>
      </c>
      <c r="W9" s="161"/>
      <c r="X9" s="161"/>
      <c r="Y9" s="161"/>
      <c r="Z9" s="161"/>
      <c r="AA9" s="160"/>
      <c r="AB9" s="268" t="s">
        <v>321</v>
      </c>
      <c r="AC9" s="160">
        <v>742000</v>
      </c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</row>
    <row r="10" spans="1:55" s="165" customFormat="1" ht="30" customHeight="1">
      <c r="A10" s="160">
        <f t="shared" si="10"/>
        <v>6</v>
      </c>
      <c r="B10" s="160">
        <v>1207</v>
      </c>
      <c r="C10" s="160" t="s">
        <v>78</v>
      </c>
      <c r="D10" s="161">
        <v>50650000</v>
      </c>
      <c r="E10" s="161">
        <v>50650000</v>
      </c>
      <c r="F10" s="161">
        <f t="shared" si="0"/>
        <v>0</v>
      </c>
      <c r="G10" s="161">
        <v>45650000</v>
      </c>
      <c r="H10" s="161">
        <v>39408214</v>
      </c>
      <c r="I10" s="161">
        <v>0</v>
      </c>
      <c r="J10" s="161">
        <v>3859618</v>
      </c>
      <c r="K10" s="161">
        <f t="shared" si="3"/>
        <v>3859618</v>
      </c>
      <c r="L10" s="161">
        <f t="shared" si="1"/>
        <v>43267832</v>
      </c>
      <c r="M10" s="161">
        <f t="shared" si="4"/>
        <v>2382168</v>
      </c>
      <c r="N10" s="161"/>
      <c r="O10" s="161">
        <f t="shared" si="5"/>
        <v>5000000</v>
      </c>
      <c r="P10" s="161">
        <f t="shared" si="2"/>
        <v>2382168</v>
      </c>
      <c r="Q10" s="161"/>
      <c r="R10" s="161"/>
      <c r="S10" s="161">
        <f t="shared" si="6"/>
        <v>0</v>
      </c>
      <c r="T10" s="161">
        <f t="shared" si="7"/>
        <v>0</v>
      </c>
      <c r="U10" s="161">
        <f t="shared" si="8"/>
        <v>0</v>
      </c>
      <c r="V10" s="161">
        <f t="shared" si="9"/>
        <v>0</v>
      </c>
      <c r="W10" s="161"/>
      <c r="X10" s="161"/>
      <c r="Y10" s="161"/>
      <c r="Z10" s="161"/>
      <c r="AA10" s="160"/>
      <c r="AB10" s="268" t="s">
        <v>576</v>
      </c>
      <c r="AC10" s="160">
        <v>742000</v>
      </c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</row>
    <row r="11" spans="1:55" s="165" customFormat="1" ht="30" customHeight="1">
      <c r="A11" s="160">
        <f t="shared" si="10"/>
        <v>7</v>
      </c>
      <c r="B11" s="160">
        <v>1238</v>
      </c>
      <c r="C11" s="272" t="s">
        <v>1527</v>
      </c>
      <c r="D11" s="161">
        <f>32940000+7560000</f>
        <v>40500000</v>
      </c>
      <c r="E11" s="161">
        <v>32940000</v>
      </c>
      <c r="F11" s="161">
        <f t="shared" si="0"/>
        <v>7560000</v>
      </c>
      <c r="G11" s="161">
        <v>25500000</v>
      </c>
      <c r="H11" s="161">
        <v>25492352</v>
      </c>
      <c r="I11" s="161">
        <v>0</v>
      </c>
      <c r="J11" s="161">
        <v>0</v>
      </c>
      <c r="K11" s="161">
        <f t="shared" si="3"/>
        <v>0</v>
      </c>
      <c r="L11" s="161">
        <f t="shared" si="1"/>
        <v>25492352</v>
      </c>
      <c r="M11" s="161">
        <f t="shared" si="4"/>
        <v>7648</v>
      </c>
      <c r="N11" s="161">
        <f>15000000-5000000-5000000-1000000-2000000</f>
        <v>2000000</v>
      </c>
      <c r="O11" s="161">
        <f t="shared" si="5"/>
        <v>13000000</v>
      </c>
      <c r="P11" s="161">
        <f t="shared" si="2"/>
        <v>7648</v>
      </c>
      <c r="Q11" s="161"/>
      <c r="R11" s="161"/>
      <c r="S11" s="161">
        <f t="shared" si="6"/>
        <v>0</v>
      </c>
      <c r="T11" s="161">
        <f t="shared" si="7"/>
        <v>0</v>
      </c>
      <c r="U11" s="161">
        <f t="shared" si="8"/>
        <v>2000000</v>
      </c>
      <c r="V11" s="161">
        <f t="shared" si="9"/>
        <v>0</v>
      </c>
      <c r="W11" s="161"/>
      <c r="X11" s="161"/>
      <c r="Y11" s="161"/>
      <c r="Z11" s="161"/>
      <c r="AA11" s="161">
        <v>2000000</v>
      </c>
      <c r="AB11" s="289" t="s">
        <v>2339</v>
      </c>
      <c r="AC11" s="160">
        <v>742000</v>
      </c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</row>
    <row r="12" spans="1:55" s="165" customFormat="1" ht="30" customHeight="1">
      <c r="A12" s="160">
        <f t="shared" si="10"/>
        <v>8</v>
      </c>
      <c r="B12" s="160">
        <v>1298</v>
      </c>
      <c r="C12" s="160" t="s">
        <v>33</v>
      </c>
      <c r="D12" s="161">
        <f>5100000+500000</f>
        <v>5600000</v>
      </c>
      <c r="E12" s="161">
        <v>5100000</v>
      </c>
      <c r="F12" s="161">
        <f t="shared" si="0"/>
        <v>500000</v>
      </c>
      <c r="G12" s="161">
        <f>4700000+100000</f>
        <v>4800000</v>
      </c>
      <c r="H12" s="161">
        <v>4585345</v>
      </c>
      <c r="I12" s="161">
        <v>0</v>
      </c>
      <c r="J12" s="161">
        <v>9813</v>
      </c>
      <c r="K12" s="161">
        <f t="shared" si="3"/>
        <v>9813</v>
      </c>
      <c r="L12" s="161">
        <f t="shared" si="1"/>
        <v>4595158</v>
      </c>
      <c r="M12" s="161">
        <f t="shared" si="4"/>
        <v>504842</v>
      </c>
      <c r="N12" s="161">
        <v>500000</v>
      </c>
      <c r="O12" s="161">
        <f t="shared" si="5"/>
        <v>0</v>
      </c>
      <c r="P12" s="161">
        <f t="shared" si="2"/>
        <v>204842</v>
      </c>
      <c r="Q12" s="161">
        <f>400000-100000</f>
        <v>300000</v>
      </c>
      <c r="R12" s="161"/>
      <c r="S12" s="161">
        <f>SUM(Q12:R12)</f>
        <v>300000</v>
      </c>
      <c r="T12" s="161">
        <f>P12-M12+S12</f>
        <v>0</v>
      </c>
      <c r="U12" s="161">
        <f t="shared" si="8"/>
        <v>500000</v>
      </c>
      <c r="V12" s="161">
        <f t="shared" si="9"/>
        <v>500000</v>
      </c>
      <c r="W12" s="161"/>
      <c r="X12" s="161"/>
      <c r="Y12" s="161"/>
      <c r="Z12" s="161"/>
      <c r="AA12" s="160"/>
      <c r="AB12" s="268" t="s">
        <v>322</v>
      </c>
      <c r="AC12" s="160">
        <v>742000</v>
      </c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</row>
    <row r="13" spans="1:55" s="164" customFormat="1" ht="30" customHeight="1">
      <c r="A13" s="160">
        <f t="shared" si="10"/>
        <v>9</v>
      </c>
      <c r="B13" s="160">
        <v>1312</v>
      </c>
      <c r="C13" s="160" t="s">
        <v>34</v>
      </c>
      <c r="D13" s="161">
        <f>107231000-2000000</f>
        <v>105231000</v>
      </c>
      <c r="E13" s="161">
        <v>107231000</v>
      </c>
      <c r="F13" s="161">
        <f t="shared" si="0"/>
        <v>-2000000</v>
      </c>
      <c r="G13" s="161">
        <v>107231000</v>
      </c>
      <c r="H13" s="161">
        <v>104424653</v>
      </c>
      <c r="I13" s="161">
        <v>0</v>
      </c>
      <c r="J13" s="161">
        <v>191551</v>
      </c>
      <c r="K13" s="161">
        <f t="shared" si="3"/>
        <v>191551</v>
      </c>
      <c r="L13" s="161">
        <f t="shared" si="1"/>
        <v>104616204</v>
      </c>
      <c r="M13" s="161">
        <f>P13+S13-2000000</f>
        <v>614796</v>
      </c>
      <c r="N13" s="161"/>
      <c r="O13" s="161">
        <f t="shared" si="5"/>
        <v>0</v>
      </c>
      <c r="P13" s="161">
        <f t="shared" si="2"/>
        <v>2614796</v>
      </c>
      <c r="Q13" s="161"/>
      <c r="R13" s="161"/>
      <c r="S13" s="161">
        <f t="shared" ref="S13:S23" si="11">SUM(Q13:R13)</f>
        <v>0</v>
      </c>
      <c r="T13" s="161">
        <f t="shared" ref="T13:T70" si="12">P13-M13+S13</f>
        <v>2000000</v>
      </c>
      <c r="U13" s="161">
        <f t="shared" si="8"/>
        <v>-2000000</v>
      </c>
      <c r="V13" s="161">
        <f t="shared" si="9"/>
        <v>-2000000</v>
      </c>
      <c r="W13" s="161"/>
      <c r="X13" s="161"/>
      <c r="Y13" s="161"/>
      <c r="Z13" s="161"/>
      <c r="AA13" s="160"/>
      <c r="AB13" s="160" t="s">
        <v>1534</v>
      </c>
      <c r="AC13" s="160">
        <v>930000</v>
      </c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</row>
    <row r="14" spans="1:55" s="5" customFormat="1" ht="30" customHeight="1">
      <c r="A14" s="160">
        <f t="shared" si="10"/>
        <v>10</v>
      </c>
      <c r="B14" s="3">
        <v>1314</v>
      </c>
      <c r="C14" s="3" t="s">
        <v>45</v>
      </c>
      <c r="D14" s="4">
        <f>5300000-2100000</f>
        <v>3200000</v>
      </c>
      <c r="E14" s="4">
        <v>3200000</v>
      </c>
      <c r="F14" s="161">
        <f t="shared" si="0"/>
        <v>0</v>
      </c>
      <c r="G14" s="4">
        <v>660000</v>
      </c>
      <c r="H14" s="4">
        <v>539291</v>
      </c>
      <c r="I14" s="4">
        <v>0</v>
      </c>
      <c r="J14" s="4">
        <v>105607</v>
      </c>
      <c r="K14" s="161">
        <f t="shared" si="3"/>
        <v>105607</v>
      </c>
      <c r="L14" s="161">
        <f t="shared" si="1"/>
        <v>644898</v>
      </c>
      <c r="M14" s="161">
        <f t="shared" si="4"/>
        <v>15102</v>
      </c>
      <c r="N14" s="161">
        <f>4640000-1000000-1640000-500000-500000</f>
        <v>1000000</v>
      </c>
      <c r="O14" s="161">
        <f t="shared" si="5"/>
        <v>1540000</v>
      </c>
      <c r="P14" s="161">
        <f t="shared" si="2"/>
        <v>15102</v>
      </c>
      <c r="Q14" s="161"/>
      <c r="R14" s="161"/>
      <c r="S14" s="161">
        <f t="shared" si="11"/>
        <v>0</v>
      </c>
      <c r="T14" s="161">
        <f t="shared" si="12"/>
        <v>0</v>
      </c>
      <c r="U14" s="161">
        <f t="shared" si="8"/>
        <v>1000000</v>
      </c>
      <c r="V14" s="161">
        <f t="shared" si="9"/>
        <v>1000000</v>
      </c>
      <c r="W14" s="161"/>
      <c r="X14" s="161"/>
      <c r="Y14" s="161"/>
      <c r="Z14" s="161"/>
      <c r="AA14" s="160"/>
      <c r="AB14" s="3" t="s">
        <v>582</v>
      </c>
      <c r="AC14" s="3">
        <v>742000</v>
      </c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</row>
    <row r="15" spans="1:55" s="5" customFormat="1" ht="30" customHeight="1">
      <c r="A15" s="160">
        <f t="shared" si="10"/>
        <v>11</v>
      </c>
      <c r="B15" s="3">
        <v>1322</v>
      </c>
      <c r="C15" s="3" t="s">
        <v>35</v>
      </c>
      <c r="D15" s="4">
        <v>18500000</v>
      </c>
      <c r="E15" s="4">
        <v>18500000</v>
      </c>
      <c r="F15" s="161">
        <f t="shared" si="0"/>
        <v>0</v>
      </c>
      <c r="G15" s="4">
        <v>10850000</v>
      </c>
      <c r="H15" s="4">
        <v>9799391</v>
      </c>
      <c r="I15" s="4">
        <v>0</v>
      </c>
      <c r="J15" s="4">
        <v>12508</v>
      </c>
      <c r="K15" s="161">
        <f t="shared" si="3"/>
        <v>12508</v>
      </c>
      <c r="L15" s="161">
        <f t="shared" si="1"/>
        <v>9811899</v>
      </c>
      <c r="M15" s="161">
        <f t="shared" si="4"/>
        <v>1038101</v>
      </c>
      <c r="N15" s="161">
        <f>7650000-3825000-1325000-750000-250000-300000</f>
        <v>1200000</v>
      </c>
      <c r="O15" s="161">
        <f t="shared" si="5"/>
        <v>6450000</v>
      </c>
      <c r="P15" s="161">
        <f t="shared" si="2"/>
        <v>1038101</v>
      </c>
      <c r="Q15" s="161"/>
      <c r="R15" s="161"/>
      <c r="S15" s="161">
        <f t="shared" si="11"/>
        <v>0</v>
      </c>
      <c r="T15" s="161">
        <f t="shared" si="12"/>
        <v>0</v>
      </c>
      <c r="U15" s="161">
        <f t="shared" si="8"/>
        <v>1200000</v>
      </c>
      <c r="V15" s="161">
        <f t="shared" si="9"/>
        <v>1200000</v>
      </c>
      <c r="W15" s="161"/>
      <c r="X15" s="161"/>
      <c r="Y15" s="161"/>
      <c r="Z15" s="161"/>
      <c r="AA15" s="160"/>
      <c r="AB15" s="3" t="s">
        <v>767</v>
      </c>
      <c r="AC15" s="3">
        <v>742000</v>
      </c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</row>
    <row r="16" spans="1:55" s="5" customFormat="1" ht="30" customHeight="1">
      <c r="A16" s="160">
        <f t="shared" si="10"/>
        <v>12</v>
      </c>
      <c r="B16" s="3">
        <v>1357</v>
      </c>
      <c r="C16" s="3" t="s">
        <v>46</v>
      </c>
      <c r="D16" s="4">
        <v>25000000</v>
      </c>
      <c r="E16" s="4">
        <v>25000000</v>
      </c>
      <c r="F16" s="161">
        <f t="shared" si="0"/>
        <v>0</v>
      </c>
      <c r="G16" s="4">
        <v>18062000</v>
      </c>
      <c r="H16" s="4">
        <v>16695866</v>
      </c>
      <c r="I16" s="4">
        <v>0</v>
      </c>
      <c r="J16" s="4">
        <v>1054598</v>
      </c>
      <c r="K16" s="161">
        <f t="shared" si="3"/>
        <v>1054598</v>
      </c>
      <c r="L16" s="161">
        <f t="shared" si="1"/>
        <v>17750464</v>
      </c>
      <c r="M16" s="161">
        <f t="shared" si="4"/>
        <v>361536</v>
      </c>
      <c r="N16" s="161">
        <v>700000</v>
      </c>
      <c r="O16" s="161">
        <f t="shared" si="5"/>
        <v>6188000</v>
      </c>
      <c r="P16" s="161">
        <f t="shared" ref="P16:P64" si="13">G16-L16</f>
        <v>311536</v>
      </c>
      <c r="Q16" s="161">
        <v>50000</v>
      </c>
      <c r="R16" s="161"/>
      <c r="S16" s="161">
        <f t="shared" si="11"/>
        <v>50000</v>
      </c>
      <c r="T16" s="161">
        <f t="shared" si="12"/>
        <v>0</v>
      </c>
      <c r="U16" s="161">
        <f t="shared" si="8"/>
        <v>700000</v>
      </c>
      <c r="V16" s="161">
        <f t="shared" si="9"/>
        <v>700000</v>
      </c>
      <c r="W16" s="161"/>
      <c r="X16" s="161"/>
      <c r="Y16" s="161"/>
      <c r="Z16" s="161"/>
      <c r="AA16" s="160"/>
      <c r="AB16" s="3" t="s">
        <v>1541</v>
      </c>
      <c r="AC16" s="3">
        <v>829000</v>
      </c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</row>
    <row r="17" spans="1:55" s="164" customFormat="1" ht="30" customHeight="1">
      <c r="A17" s="160">
        <f t="shared" si="10"/>
        <v>13</v>
      </c>
      <c r="B17" s="160">
        <v>1375</v>
      </c>
      <c r="C17" s="160" t="s">
        <v>431</v>
      </c>
      <c r="D17" s="161">
        <v>40150000</v>
      </c>
      <c r="E17" s="161">
        <v>40150000</v>
      </c>
      <c r="F17" s="161">
        <f t="shared" si="0"/>
        <v>0</v>
      </c>
      <c r="G17" s="161">
        <v>30150000</v>
      </c>
      <c r="H17" s="161">
        <v>29602392</v>
      </c>
      <c r="I17" s="161">
        <v>0</v>
      </c>
      <c r="J17" s="161">
        <v>110367</v>
      </c>
      <c r="K17" s="161">
        <f t="shared" si="3"/>
        <v>110367</v>
      </c>
      <c r="L17" s="161">
        <f t="shared" si="1"/>
        <v>29712759</v>
      </c>
      <c r="M17" s="161">
        <f t="shared" si="4"/>
        <v>437241</v>
      </c>
      <c r="N17" s="161"/>
      <c r="O17" s="161">
        <f t="shared" si="5"/>
        <v>10000000</v>
      </c>
      <c r="P17" s="161">
        <f t="shared" si="13"/>
        <v>437241</v>
      </c>
      <c r="Q17" s="161"/>
      <c r="R17" s="161"/>
      <c r="S17" s="161">
        <f t="shared" si="11"/>
        <v>0</v>
      </c>
      <c r="T17" s="161">
        <f t="shared" si="12"/>
        <v>0</v>
      </c>
      <c r="U17" s="161">
        <f t="shared" si="8"/>
        <v>0</v>
      </c>
      <c r="V17" s="161">
        <f t="shared" si="9"/>
        <v>0</v>
      </c>
      <c r="W17" s="161"/>
      <c r="X17" s="161"/>
      <c r="Y17" s="161"/>
      <c r="Z17" s="161"/>
      <c r="AA17" s="160"/>
      <c r="AB17" s="160" t="s">
        <v>695</v>
      </c>
      <c r="AC17" s="160">
        <v>747000</v>
      </c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</row>
    <row r="18" spans="1:55" s="164" customFormat="1" ht="30" customHeight="1">
      <c r="A18" s="160">
        <f t="shared" si="10"/>
        <v>14</v>
      </c>
      <c r="B18" s="160">
        <v>1443</v>
      </c>
      <c r="C18" s="160" t="s">
        <v>80</v>
      </c>
      <c r="D18" s="161">
        <v>78500000</v>
      </c>
      <c r="E18" s="161">
        <v>78500000</v>
      </c>
      <c r="F18" s="161">
        <f t="shared" si="0"/>
        <v>0</v>
      </c>
      <c r="G18" s="161">
        <v>53840000</v>
      </c>
      <c r="H18" s="161">
        <v>53697797</v>
      </c>
      <c r="I18" s="161">
        <v>0</v>
      </c>
      <c r="J18" s="161">
        <v>0</v>
      </c>
      <c r="K18" s="161">
        <f t="shared" si="3"/>
        <v>0</v>
      </c>
      <c r="L18" s="161">
        <f t="shared" si="1"/>
        <v>53697797</v>
      </c>
      <c r="M18" s="161">
        <f t="shared" si="4"/>
        <v>13004005</v>
      </c>
      <c r="N18" s="161"/>
      <c r="O18" s="161">
        <f t="shared" si="5"/>
        <v>11798198</v>
      </c>
      <c r="P18" s="161">
        <f t="shared" si="13"/>
        <v>142203</v>
      </c>
      <c r="Q18" s="161"/>
      <c r="R18" s="161">
        <v>12861802</v>
      </c>
      <c r="S18" s="161">
        <f t="shared" si="11"/>
        <v>12861802</v>
      </c>
      <c r="T18" s="161">
        <f t="shared" si="12"/>
        <v>0</v>
      </c>
      <c r="U18" s="161">
        <f t="shared" si="8"/>
        <v>0</v>
      </c>
      <c r="V18" s="161">
        <f t="shared" si="9"/>
        <v>0</v>
      </c>
      <c r="W18" s="161"/>
      <c r="X18" s="161"/>
      <c r="Y18" s="161"/>
      <c r="Z18" s="161"/>
      <c r="AA18" s="160"/>
      <c r="AB18" s="160"/>
      <c r="AC18" s="160">
        <v>749000</v>
      </c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</row>
    <row r="19" spans="1:55" s="164" customFormat="1" ht="30" customHeight="1">
      <c r="A19" s="160">
        <f t="shared" si="10"/>
        <v>15</v>
      </c>
      <c r="B19" s="160">
        <v>1446</v>
      </c>
      <c r="C19" s="160" t="s">
        <v>154</v>
      </c>
      <c r="D19" s="161">
        <f>14250000-3000000</f>
        <v>11250000</v>
      </c>
      <c r="E19" s="161">
        <v>14250000</v>
      </c>
      <c r="F19" s="161">
        <f t="shared" si="0"/>
        <v>-3000000</v>
      </c>
      <c r="G19" s="161">
        <v>14250000</v>
      </c>
      <c r="H19" s="161">
        <v>9566469</v>
      </c>
      <c r="I19" s="161">
        <v>0</v>
      </c>
      <c r="J19" s="161">
        <v>377656</v>
      </c>
      <c r="K19" s="161">
        <f t="shared" si="3"/>
        <v>377656</v>
      </c>
      <c r="L19" s="161">
        <f t="shared" si="1"/>
        <v>9944125</v>
      </c>
      <c r="M19" s="161">
        <f>P19+S19-3000000</f>
        <v>1305875</v>
      </c>
      <c r="N19" s="161"/>
      <c r="O19" s="161">
        <f t="shared" si="5"/>
        <v>0</v>
      </c>
      <c r="P19" s="161">
        <f t="shared" si="13"/>
        <v>4305875</v>
      </c>
      <c r="Q19" s="161"/>
      <c r="R19" s="161"/>
      <c r="S19" s="161">
        <f t="shared" si="11"/>
        <v>0</v>
      </c>
      <c r="T19" s="161">
        <f t="shared" si="12"/>
        <v>3000000</v>
      </c>
      <c r="U19" s="161">
        <f t="shared" si="8"/>
        <v>-3000000</v>
      </c>
      <c r="V19" s="161">
        <f t="shared" si="9"/>
        <v>-3000000</v>
      </c>
      <c r="W19" s="161"/>
      <c r="X19" s="161"/>
      <c r="Y19" s="161"/>
      <c r="Z19" s="161"/>
      <c r="AA19" s="160"/>
      <c r="AB19" s="268" t="s">
        <v>2318</v>
      </c>
      <c r="AC19" s="160">
        <v>742000</v>
      </c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</row>
    <row r="20" spans="1:55" s="164" customFormat="1" ht="30" customHeight="1">
      <c r="A20" s="160">
        <f t="shared" si="10"/>
        <v>16</v>
      </c>
      <c r="B20" s="160">
        <v>1539</v>
      </c>
      <c r="C20" s="160" t="s">
        <v>39</v>
      </c>
      <c r="D20" s="161">
        <f>16300000-1150000</f>
        <v>15150000</v>
      </c>
      <c r="E20" s="161">
        <v>16300000</v>
      </c>
      <c r="F20" s="161">
        <f t="shared" si="0"/>
        <v>-1150000</v>
      </c>
      <c r="G20" s="161">
        <v>15300000</v>
      </c>
      <c r="H20" s="161">
        <v>14749061</v>
      </c>
      <c r="I20" s="161">
        <v>54264</v>
      </c>
      <c r="J20" s="161">
        <v>92533</v>
      </c>
      <c r="K20" s="161">
        <f t="shared" si="3"/>
        <v>146797</v>
      </c>
      <c r="L20" s="161">
        <f t="shared" si="1"/>
        <v>14895858</v>
      </c>
      <c r="M20" s="161">
        <f>P20+S20-150000</f>
        <v>254142</v>
      </c>
      <c r="N20" s="161"/>
      <c r="O20" s="161">
        <f t="shared" si="5"/>
        <v>0</v>
      </c>
      <c r="P20" s="161">
        <f t="shared" si="13"/>
        <v>404142</v>
      </c>
      <c r="Q20" s="161"/>
      <c r="R20" s="161"/>
      <c r="S20" s="161">
        <f t="shared" si="11"/>
        <v>0</v>
      </c>
      <c r="T20" s="161">
        <f t="shared" si="12"/>
        <v>150000</v>
      </c>
      <c r="U20" s="161">
        <f t="shared" si="8"/>
        <v>-150000</v>
      </c>
      <c r="V20" s="161">
        <f t="shared" si="9"/>
        <v>-150000</v>
      </c>
      <c r="W20" s="161"/>
      <c r="X20" s="161"/>
      <c r="Y20" s="161"/>
      <c r="Z20" s="161"/>
      <c r="AA20" s="160"/>
      <c r="AB20" s="160" t="s">
        <v>2317</v>
      </c>
      <c r="AC20" s="160">
        <v>742000</v>
      </c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</row>
    <row r="21" spans="1:55" s="164" customFormat="1" ht="30" customHeight="1">
      <c r="A21" s="160">
        <f t="shared" si="10"/>
        <v>17</v>
      </c>
      <c r="B21" s="160">
        <v>1588</v>
      </c>
      <c r="C21" s="160" t="s">
        <v>25</v>
      </c>
      <c r="D21" s="161">
        <f>50500000+22000000-22000000</f>
        <v>50500000</v>
      </c>
      <c r="E21" s="161">
        <v>50500000</v>
      </c>
      <c r="F21" s="161">
        <f t="shared" si="0"/>
        <v>0</v>
      </c>
      <c r="G21" s="161">
        <v>45500000</v>
      </c>
      <c r="H21" s="161">
        <v>35984164</v>
      </c>
      <c r="I21" s="161">
        <v>0</v>
      </c>
      <c r="J21" s="161">
        <v>959113</v>
      </c>
      <c r="K21" s="161">
        <f t="shared" si="3"/>
        <v>959113</v>
      </c>
      <c r="L21" s="161">
        <f t="shared" si="1"/>
        <v>36943277</v>
      </c>
      <c r="M21" s="161">
        <f t="shared" si="4"/>
        <v>8556723</v>
      </c>
      <c r="N21" s="161">
        <f>14000000-4000000-2000000-2000000-1000000-1000000</f>
        <v>4000000</v>
      </c>
      <c r="O21" s="161">
        <f t="shared" si="5"/>
        <v>1000000</v>
      </c>
      <c r="P21" s="161">
        <f t="shared" si="13"/>
        <v>8556723</v>
      </c>
      <c r="Q21" s="161"/>
      <c r="R21" s="161"/>
      <c r="S21" s="161">
        <f t="shared" si="11"/>
        <v>0</v>
      </c>
      <c r="T21" s="161">
        <f t="shared" si="12"/>
        <v>0</v>
      </c>
      <c r="U21" s="161">
        <f t="shared" si="8"/>
        <v>4000000</v>
      </c>
      <c r="V21" s="161">
        <f t="shared" si="9"/>
        <v>4000000</v>
      </c>
      <c r="W21" s="161"/>
      <c r="X21" s="161"/>
      <c r="Y21" s="161"/>
      <c r="Z21" s="161"/>
      <c r="AA21" s="160"/>
      <c r="AB21" s="160" t="s">
        <v>1553</v>
      </c>
      <c r="AC21" s="160">
        <v>742000</v>
      </c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</row>
    <row r="22" spans="1:55" s="164" customFormat="1" ht="30" customHeight="1">
      <c r="A22" s="160">
        <f t="shared" si="10"/>
        <v>18</v>
      </c>
      <c r="B22" s="160">
        <v>1614</v>
      </c>
      <c r="C22" s="160" t="s">
        <v>323</v>
      </c>
      <c r="D22" s="161">
        <v>7200000</v>
      </c>
      <c r="E22" s="161">
        <v>7200000</v>
      </c>
      <c r="F22" s="161">
        <f t="shared" si="0"/>
        <v>0</v>
      </c>
      <c r="G22" s="161">
        <v>5680000</v>
      </c>
      <c r="H22" s="161">
        <v>4993741</v>
      </c>
      <c r="I22" s="161">
        <v>0</v>
      </c>
      <c r="J22" s="161">
        <v>61352</v>
      </c>
      <c r="K22" s="161">
        <f t="shared" si="3"/>
        <v>61352</v>
      </c>
      <c r="L22" s="161">
        <f t="shared" si="1"/>
        <v>5055093</v>
      </c>
      <c r="M22" s="161">
        <f t="shared" si="4"/>
        <v>624907</v>
      </c>
      <c r="N22" s="161">
        <f>1520000-500000-1020000</f>
        <v>0</v>
      </c>
      <c r="O22" s="161">
        <f t="shared" si="5"/>
        <v>1520000</v>
      </c>
      <c r="P22" s="161">
        <f t="shared" si="13"/>
        <v>624907</v>
      </c>
      <c r="Q22" s="161"/>
      <c r="R22" s="161"/>
      <c r="S22" s="161">
        <f t="shared" si="11"/>
        <v>0</v>
      </c>
      <c r="T22" s="161">
        <f t="shared" si="12"/>
        <v>0</v>
      </c>
      <c r="U22" s="161">
        <f t="shared" si="8"/>
        <v>0</v>
      </c>
      <c r="V22" s="161">
        <f t="shared" si="9"/>
        <v>0</v>
      </c>
      <c r="W22" s="161"/>
      <c r="X22" s="161"/>
      <c r="Y22" s="161"/>
      <c r="Z22" s="161"/>
      <c r="AA22" s="160"/>
      <c r="AB22" s="160" t="s">
        <v>696</v>
      </c>
      <c r="AC22" s="160">
        <v>742000</v>
      </c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</row>
    <row r="23" spans="1:55" s="164" customFormat="1" ht="30" customHeight="1">
      <c r="A23" s="160">
        <f t="shared" si="10"/>
        <v>19</v>
      </c>
      <c r="B23" s="160">
        <v>1615</v>
      </c>
      <c r="C23" s="160" t="s">
        <v>114</v>
      </c>
      <c r="D23" s="161">
        <v>27700000</v>
      </c>
      <c r="E23" s="161">
        <v>27700000</v>
      </c>
      <c r="F23" s="161">
        <f t="shared" si="0"/>
        <v>0</v>
      </c>
      <c r="G23" s="161">
        <v>21700000</v>
      </c>
      <c r="H23" s="161">
        <v>20717959</v>
      </c>
      <c r="I23" s="161">
        <v>0</v>
      </c>
      <c r="J23" s="161">
        <v>933879</v>
      </c>
      <c r="K23" s="161">
        <f t="shared" si="3"/>
        <v>933879</v>
      </c>
      <c r="L23" s="161">
        <f t="shared" si="1"/>
        <v>21651838</v>
      </c>
      <c r="M23" s="161">
        <f t="shared" si="4"/>
        <v>2048162</v>
      </c>
      <c r="N23" s="161">
        <v>300000</v>
      </c>
      <c r="O23" s="161">
        <f t="shared" si="5"/>
        <v>3700000</v>
      </c>
      <c r="P23" s="161">
        <f t="shared" si="13"/>
        <v>48162</v>
      </c>
      <c r="Q23" s="161">
        <v>2000000</v>
      </c>
      <c r="R23" s="161"/>
      <c r="S23" s="161">
        <f t="shared" si="11"/>
        <v>2000000</v>
      </c>
      <c r="T23" s="161">
        <f t="shared" si="12"/>
        <v>0</v>
      </c>
      <c r="U23" s="161">
        <f t="shared" si="8"/>
        <v>300000</v>
      </c>
      <c r="V23" s="161">
        <f t="shared" si="9"/>
        <v>300000</v>
      </c>
      <c r="W23" s="161"/>
      <c r="X23" s="161"/>
      <c r="Y23" s="161"/>
      <c r="Z23" s="161"/>
      <c r="AA23" s="160"/>
      <c r="AB23" s="160" t="s">
        <v>2181</v>
      </c>
      <c r="AC23" s="160">
        <v>742000</v>
      </c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</row>
    <row r="24" spans="1:55" s="164" customFormat="1" ht="30" customHeight="1">
      <c r="A24" s="160">
        <f t="shared" si="10"/>
        <v>20</v>
      </c>
      <c r="B24" s="160">
        <v>1657</v>
      </c>
      <c r="C24" s="160" t="s">
        <v>27</v>
      </c>
      <c r="D24" s="161">
        <v>60000000</v>
      </c>
      <c r="E24" s="161">
        <v>60000000</v>
      </c>
      <c r="F24" s="161">
        <f t="shared" si="0"/>
        <v>0</v>
      </c>
      <c r="G24" s="161">
        <v>21200000</v>
      </c>
      <c r="H24" s="161">
        <v>18382673</v>
      </c>
      <c r="I24" s="161">
        <v>0</v>
      </c>
      <c r="J24" s="161">
        <v>676653</v>
      </c>
      <c r="K24" s="161">
        <f t="shared" si="3"/>
        <v>676653</v>
      </c>
      <c r="L24" s="161">
        <f t="shared" si="1"/>
        <v>19059326</v>
      </c>
      <c r="M24" s="161">
        <f t="shared" si="4"/>
        <v>17140674</v>
      </c>
      <c r="N24" s="161">
        <f>23800000-8800000-5000000-1000000-1000000-6000000</f>
        <v>2000000</v>
      </c>
      <c r="O24" s="161">
        <f t="shared" si="5"/>
        <v>21800000</v>
      </c>
      <c r="P24" s="161">
        <f t="shared" si="13"/>
        <v>2140674</v>
      </c>
      <c r="Q24" s="161">
        <v>15000000</v>
      </c>
      <c r="R24" s="161"/>
      <c r="S24" s="161">
        <f t="shared" ref="S24:S54" si="14">SUM(Q24:R24)</f>
        <v>15000000</v>
      </c>
      <c r="T24" s="161">
        <f t="shared" si="12"/>
        <v>0</v>
      </c>
      <c r="U24" s="161">
        <f t="shared" si="8"/>
        <v>2000000</v>
      </c>
      <c r="V24" s="161">
        <f t="shared" si="9"/>
        <v>2000000</v>
      </c>
      <c r="W24" s="161"/>
      <c r="X24" s="161"/>
      <c r="Y24" s="161"/>
      <c r="Z24" s="161"/>
      <c r="AA24" s="160"/>
      <c r="AB24" s="3" t="s">
        <v>1555</v>
      </c>
      <c r="AC24" s="160">
        <v>742000</v>
      </c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</row>
    <row r="25" spans="1:55" s="5" customFormat="1" ht="30" customHeight="1">
      <c r="A25" s="160">
        <f t="shared" si="10"/>
        <v>21</v>
      </c>
      <c r="B25" s="3">
        <v>1670</v>
      </c>
      <c r="C25" s="3" t="s">
        <v>101</v>
      </c>
      <c r="D25" s="4">
        <v>17800000</v>
      </c>
      <c r="E25" s="4">
        <v>17800000</v>
      </c>
      <c r="F25" s="4">
        <f t="shared" si="0"/>
        <v>0</v>
      </c>
      <c r="G25" s="4">
        <v>1550000</v>
      </c>
      <c r="H25" s="4">
        <v>211785</v>
      </c>
      <c r="I25" s="4">
        <v>590150</v>
      </c>
      <c r="J25" s="4">
        <v>145182</v>
      </c>
      <c r="K25" s="4">
        <f>SUM(I25:J25)</f>
        <v>735332</v>
      </c>
      <c r="L25" s="4">
        <f>H25+K25</f>
        <v>947117</v>
      </c>
      <c r="M25" s="161">
        <f t="shared" si="4"/>
        <v>602883</v>
      </c>
      <c r="N25" s="161">
        <f>16250000-6250000-4000000-1000000-1500000-500000-1000000-1000000</f>
        <v>1000000</v>
      </c>
      <c r="O25" s="4">
        <f t="shared" si="5"/>
        <v>15250000</v>
      </c>
      <c r="P25" s="4">
        <f t="shared" si="13"/>
        <v>602883</v>
      </c>
      <c r="Q25" s="4"/>
      <c r="R25" s="4"/>
      <c r="S25" s="4">
        <f>SUM(Q25:R25)</f>
        <v>0</v>
      </c>
      <c r="T25" s="4">
        <f t="shared" si="12"/>
        <v>0</v>
      </c>
      <c r="U25" s="4">
        <f t="shared" si="8"/>
        <v>1000000</v>
      </c>
      <c r="V25" s="4">
        <f>U25-AA25-W25-Z25</f>
        <v>1000000</v>
      </c>
      <c r="W25" s="4"/>
      <c r="X25" s="4"/>
      <c r="Y25" s="4"/>
      <c r="Z25" s="4"/>
      <c r="AA25" s="3"/>
      <c r="AB25" s="3" t="s">
        <v>724</v>
      </c>
      <c r="AC25" s="3">
        <v>742000</v>
      </c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</row>
    <row r="26" spans="1:55" s="5" customFormat="1" ht="30" customHeight="1">
      <c r="A26" s="160">
        <f t="shared" si="10"/>
        <v>22</v>
      </c>
      <c r="B26" s="3">
        <v>1693</v>
      </c>
      <c r="C26" s="3" t="s">
        <v>116</v>
      </c>
      <c r="D26" s="4">
        <v>4500000</v>
      </c>
      <c r="E26" s="4">
        <v>4500000</v>
      </c>
      <c r="F26" s="4">
        <f t="shared" si="0"/>
        <v>0</v>
      </c>
      <c r="G26" s="4">
        <v>2235481</v>
      </c>
      <c r="H26" s="4">
        <v>312539</v>
      </c>
      <c r="I26" s="4">
        <v>567525</v>
      </c>
      <c r="J26" s="4">
        <v>321876</v>
      </c>
      <c r="K26" s="4">
        <f>SUM(I26:J26)</f>
        <v>889401</v>
      </c>
      <c r="L26" s="4">
        <f>H26+K26</f>
        <v>1201940</v>
      </c>
      <c r="M26" s="4">
        <f t="shared" si="4"/>
        <v>1033541</v>
      </c>
      <c r="N26" s="4">
        <v>181222</v>
      </c>
      <c r="O26" s="4">
        <f t="shared" si="5"/>
        <v>2083297</v>
      </c>
      <c r="P26" s="4">
        <f t="shared" si="13"/>
        <v>1033541</v>
      </c>
      <c r="Q26" s="4"/>
      <c r="R26" s="4"/>
      <c r="S26" s="4">
        <f>SUM(Q26:R26)</f>
        <v>0</v>
      </c>
      <c r="T26" s="4">
        <f t="shared" si="12"/>
        <v>0</v>
      </c>
      <c r="U26" s="4">
        <f t="shared" si="8"/>
        <v>181222</v>
      </c>
      <c r="V26" s="4">
        <f>U26-AA26-W26-Z26</f>
        <v>0</v>
      </c>
      <c r="W26" s="4"/>
      <c r="X26" s="4"/>
      <c r="Y26" s="4"/>
      <c r="Z26" s="4"/>
      <c r="AA26" s="4">
        <v>181222</v>
      </c>
      <c r="AB26" s="3" t="s">
        <v>2316</v>
      </c>
      <c r="AC26" s="3">
        <v>732000</v>
      </c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</row>
    <row r="27" spans="1:55" s="164" customFormat="1" ht="30" customHeight="1">
      <c r="A27" s="160">
        <f t="shared" si="10"/>
        <v>23</v>
      </c>
      <c r="B27" s="160">
        <v>1723</v>
      </c>
      <c r="C27" s="160" t="s">
        <v>28</v>
      </c>
      <c r="D27" s="161">
        <f>2442857-64336</f>
        <v>2378521</v>
      </c>
      <c r="E27" s="161">
        <v>2442857</v>
      </c>
      <c r="F27" s="161">
        <f t="shared" si="0"/>
        <v>-64336</v>
      </c>
      <c r="G27" s="161">
        <v>2442857</v>
      </c>
      <c r="H27" s="161">
        <v>1578260</v>
      </c>
      <c r="I27" s="161">
        <v>0</v>
      </c>
      <c r="J27" s="161">
        <v>94054</v>
      </c>
      <c r="K27" s="161">
        <f t="shared" si="3"/>
        <v>94054</v>
      </c>
      <c r="L27" s="161">
        <f t="shared" si="1"/>
        <v>1672314</v>
      </c>
      <c r="M27" s="161">
        <f>P27+S27-64336</f>
        <v>706207</v>
      </c>
      <c r="N27" s="161"/>
      <c r="O27" s="161">
        <f t="shared" si="5"/>
        <v>0</v>
      </c>
      <c r="P27" s="161">
        <f t="shared" si="13"/>
        <v>770543</v>
      </c>
      <c r="Q27" s="161"/>
      <c r="R27" s="161"/>
      <c r="S27" s="161">
        <f t="shared" si="14"/>
        <v>0</v>
      </c>
      <c r="T27" s="161">
        <f t="shared" si="12"/>
        <v>64336</v>
      </c>
      <c r="U27" s="161">
        <f t="shared" si="8"/>
        <v>-64336</v>
      </c>
      <c r="V27" s="161">
        <f t="shared" si="9"/>
        <v>0</v>
      </c>
      <c r="W27" s="161"/>
      <c r="X27" s="161"/>
      <c r="Y27" s="161"/>
      <c r="Z27" s="161"/>
      <c r="AA27" s="4">
        <v>-64336</v>
      </c>
      <c r="AB27" s="160" t="s">
        <v>2315</v>
      </c>
      <c r="AC27" s="160">
        <v>732000</v>
      </c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</row>
    <row r="28" spans="1:55" s="5" customFormat="1" ht="30" customHeight="1">
      <c r="A28" s="160">
        <f t="shared" si="10"/>
        <v>24</v>
      </c>
      <c r="B28" s="3">
        <v>1773</v>
      </c>
      <c r="C28" s="3" t="s">
        <v>102</v>
      </c>
      <c r="D28" s="4">
        <v>1500000</v>
      </c>
      <c r="E28" s="4">
        <v>1500000</v>
      </c>
      <c r="F28" s="4">
        <f t="shared" si="0"/>
        <v>0</v>
      </c>
      <c r="G28" s="4">
        <v>1500000</v>
      </c>
      <c r="H28" s="4">
        <v>212004</v>
      </c>
      <c r="I28" s="4">
        <v>17401</v>
      </c>
      <c r="J28" s="4">
        <v>0</v>
      </c>
      <c r="K28" s="4">
        <f>SUM(I28:J28)</f>
        <v>17401</v>
      </c>
      <c r="L28" s="4">
        <f t="shared" si="1"/>
        <v>229405</v>
      </c>
      <c r="M28" s="161">
        <f t="shared" si="4"/>
        <v>1270595</v>
      </c>
      <c r="N28" s="161"/>
      <c r="O28" s="4">
        <f t="shared" si="5"/>
        <v>0</v>
      </c>
      <c r="P28" s="4">
        <f t="shared" si="13"/>
        <v>1270595</v>
      </c>
      <c r="Q28" s="4"/>
      <c r="R28" s="4"/>
      <c r="S28" s="4">
        <f>SUM(Q28:R28)</f>
        <v>0</v>
      </c>
      <c r="T28" s="4">
        <f t="shared" si="12"/>
        <v>0</v>
      </c>
      <c r="U28" s="4">
        <f t="shared" si="8"/>
        <v>0</v>
      </c>
      <c r="V28" s="4"/>
      <c r="W28" s="4">
        <f>U28-V28-AA28</f>
        <v>0</v>
      </c>
      <c r="X28" s="4"/>
      <c r="Y28" s="4"/>
      <c r="Z28" s="4"/>
      <c r="AA28" s="3"/>
      <c r="AB28" s="3" t="s">
        <v>343</v>
      </c>
      <c r="AC28" s="3">
        <v>746000</v>
      </c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</row>
    <row r="29" spans="1:55" ht="30" customHeight="1">
      <c r="A29" s="160">
        <f t="shared" si="10"/>
        <v>25</v>
      </c>
      <c r="B29" s="267">
        <v>1819</v>
      </c>
      <c r="C29" s="160" t="s">
        <v>481</v>
      </c>
      <c r="D29" s="161">
        <v>18000000</v>
      </c>
      <c r="E29" s="161">
        <v>18000000</v>
      </c>
      <c r="F29" s="161">
        <f t="shared" si="0"/>
        <v>0</v>
      </c>
      <c r="G29" s="161">
        <v>16000000</v>
      </c>
      <c r="H29" s="161">
        <v>7600833</v>
      </c>
      <c r="I29" s="161">
        <v>0</v>
      </c>
      <c r="J29" s="161">
        <v>950121</v>
      </c>
      <c r="K29" s="161">
        <f t="shared" si="3"/>
        <v>950121</v>
      </c>
      <c r="L29" s="161">
        <f t="shared" si="1"/>
        <v>8550954</v>
      </c>
      <c r="M29" s="161">
        <f t="shared" si="4"/>
        <v>9449046</v>
      </c>
      <c r="N29" s="161"/>
      <c r="O29" s="161">
        <f t="shared" si="5"/>
        <v>0</v>
      </c>
      <c r="P29" s="161">
        <f t="shared" si="13"/>
        <v>7449046</v>
      </c>
      <c r="Q29" s="161">
        <v>2000000</v>
      </c>
      <c r="R29" s="161"/>
      <c r="S29" s="161">
        <f t="shared" si="14"/>
        <v>2000000</v>
      </c>
      <c r="T29" s="161">
        <f t="shared" si="12"/>
        <v>0</v>
      </c>
      <c r="U29" s="161">
        <f t="shared" si="8"/>
        <v>0</v>
      </c>
      <c r="V29" s="161">
        <f t="shared" si="9"/>
        <v>0</v>
      </c>
      <c r="W29" s="161"/>
      <c r="X29" s="161"/>
      <c r="Y29" s="161"/>
      <c r="Z29" s="161"/>
      <c r="AA29" s="160"/>
      <c r="AB29" s="160" t="s">
        <v>697</v>
      </c>
      <c r="AC29" s="160">
        <v>742000</v>
      </c>
    </row>
    <row r="30" spans="1:55" ht="30" customHeight="1">
      <c r="A30" s="160">
        <f t="shared" si="10"/>
        <v>26</v>
      </c>
      <c r="B30" s="267">
        <v>1833</v>
      </c>
      <c r="C30" s="160" t="s">
        <v>118</v>
      </c>
      <c r="D30" s="161">
        <v>29000000</v>
      </c>
      <c r="E30" s="161">
        <v>29000000</v>
      </c>
      <c r="F30" s="161">
        <f t="shared" si="0"/>
        <v>0</v>
      </c>
      <c r="G30" s="161">
        <f>23500000+3000000</f>
        <v>26500000</v>
      </c>
      <c r="H30" s="161">
        <v>21214144</v>
      </c>
      <c r="I30" s="161">
        <v>0</v>
      </c>
      <c r="J30" s="161">
        <v>52508</v>
      </c>
      <c r="K30" s="161">
        <f t="shared" si="3"/>
        <v>52508</v>
      </c>
      <c r="L30" s="161">
        <f t="shared" si="1"/>
        <v>21266652</v>
      </c>
      <c r="M30" s="161">
        <f t="shared" si="4"/>
        <v>7733348</v>
      </c>
      <c r="N30" s="161"/>
      <c r="O30" s="161">
        <f t="shared" si="5"/>
        <v>0</v>
      </c>
      <c r="P30" s="161">
        <f t="shared" si="13"/>
        <v>5233348</v>
      </c>
      <c r="Q30" s="161">
        <f>5500000-3000000</f>
        <v>2500000</v>
      </c>
      <c r="R30" s="161"/>
      <c r="S30" s="161">
        <f t="shared" si="14"/>
        <v>2500000</v>
      </c>
      <c r="T30" s="161">
        <f t="shared" si="12"/>
        <v>0</v>
      </c>
      <c r="U30" s="161">
        <f t="shared" si="8"/>
        <v>0</v>
      </c>
      <c r="V30" s="161">
        <f t="shared" si="9"/>
        <v>0</v>
      </c>
      <c r="W30" s="161"/>
      <c r="X30" s="161"/>
      <c r="Y30" s="161"/>
      <c r="Z30" s="161"/>
      <c r="AA30" s="161">
        <f>3231160-3231160</f>
        <v>0</v>
      </c>
      <c r="AB30" s="160" t="s">
        <v>829</v>
      </c>
      <c r="AC30" s="160">
        <v>829000</v>
      </c>
    </row>
    <row r="31" spans="1:55" s="164" customFormat="1" ht="30" customHeight="1">
      <c r="A31" s="160">
        <f t="shared" si="10"/>
        <v>27</v>
      </c>
      <c r="B31" s="160">
        <v>1834</v>
      </c>
      <c r="C31" s="160" t="s">
        <v>110</v>
      </c>
      <c r="D31" s="161">
        <v>60000000</v>
      </c>
      <c r="E31" s="161">
        <v>60000000</v>
      </c>
      <c r="F31" s="161">
        <f t="shared" si="0"/>
        <v>0</v>
      </c>
      <c r="G31" s="161">
        <v>19462673</v>
      </c>
      <c r="H31" s="161">
        <v>12564840</v>
      </c>
      <c r="I31" s="161">
        <v>0</v>
      </c>
      <c r="J31" s="161">
        <v>2402402</v>
      </c>
      <c r="K31" s="161">
        <f t="shared" si="3"/>
        <v>2402402</v>
      </c>
      <c r="L31" s="161">
        <f t="shared" si="1"/>
        <v>14967242</v>
      </c>
      <c r="M31" s="161">
        <f t="shared" si="4"/>
        <v>29495431</v>
      </c>
      <c r="N31" s="161">
        <f>15537327-2500000</f>
        <v>13037327</v>
      </c>
      <c r="O31" s="161">
        <f t="shared" si="5"/>
        <v>2500000</v>
      </c>
      <c r="P31" s="161">
        <f t="shared" si="13"/>
        <v>4495431</v>
      </c>
      <c r="Q31" s="161">
        <v>25000000</v>
      </c>
      <c r="R31" s="161"/>
      <c r="S31" s="161">
        <f t="shared" si="14"/>
        <v>25000000</v>
      </c>
      <c r="T31" s="161">
        <f t="shared" si="12"/>
        <v>0</v>
      </c>
      <c r="U31" s="161">
        <f t="shared" si="8"/>
        <v>13037327</v>
      </c>
      <c r="V31" s="161">
        <f t="shared" si="9"/>
        <v>13037327</v>
      </c>
      <c r="W31" s="161"/>
      <c r="X31" s="161"/>
      <c r="Y31" s="161"/>
      <c r="Z31" s="161"/>
      <c r="AA31" s="160"/>
      <c r="AB31" s="30" t="s">
        <v>698</v>
      </c>
      <c r="AC31" s="160">
        <v>824000</v>
      </c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</row>
    <row r="32" spans="1:55" s="164" customFormat="1" ht="30" customHeight="1">
      <c r="A32" s="160">
        <f t="shared" si="10"/>
        <v>28</v>
      </c>
      <c r="B32" s="160">
        <v>1835</v>
      </c>
      <c r="C32" s="160" t="s">
        <v>432</v>
      </c>
      <c r="D32" s="161">
        <f>70000000-18500000</f>
        <v>51500000</v>
      </c>
      <c r="E32" s="161">
        <v>70000000</v>
      </c>
      <c r="F32" s="161">
        <f t="shared" si="0"/>
        <v>-18500000</v>
      </c>
      <c r="G32" s="161">
        <v>20900000</v>
      </c>
      <c r="H32" s="161">
        <v>13162880</v>
      </c>
      <c r="I32" s="161">
        <v>0</v>
      </c>
      <c r="J32" s="161">
        <v>3301140</v>
      </c>
      <c r="K32" s="161">
        <f t="shared" si="3"/>
        <v>3301140</v>
      </c>
      <c r="L32" s="161">
        <f t="shared" si="1"/>
        <v>16464020</v>
      </c>
      <c r="M32" s="161">
        <f t="shared" si="4"/>
        <v>5435980</v>
      </c>
      <c r="N32" s="161">
        <f>48100000-34100000-13000000-500000</f>
        <v>500000</v>
      </c>
      <c r="O32" s="161">
        <f t="shared" si="5"/>
        <v>29100000</v>
      </c>
      <c r="P32" s="161">
        <f t="shared" si="13"/>
        <v>4435980</v>
      </c>
      <c r="Q32" s="161">
        <v>1000000</v>
      </c>
      <c r="R32" s="161"/>
      <c r="S32" s="161">
        <f t="shared" si="14"/>
        <v>1000000</v>
      </c>
      <c r="T32" s="161">
        <f t="shared" si="12"/>
        <v>0</v>
      </c>
      <c r="U32" s="161">
        <f t="shared" si="8"/>
        <v>500000</v>
      </c>
      <c r="V32" s="161">
        <f t="shared" si="9"/>
        <v>500000</v>
      </c>
      <c r="W32" s="161"/>
      <c r="X32" s="161"/>
      <c r="Y32" s="161"/>
      <c r="Z32" s="161"/>
      <c r="AA32" s="160"/>
      <c r="AB32" s="3" t="s">
        <v>2334</v>
      </c>
      <c r="AC32" s="160">
        <v>824000</v>
      </c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</row>
    <row r="33" spans="1:55" ht="30" customHeight="1">
      <c r="A33" s="160">
        <f t="shared" si="10"/>
        <v>29</v>
      </c>
      <c r="B33" s="267">
        <v>1845</v>
      </c>
      <c r="C33" s="160" t="s">
        <v>119</v>
      </c>
      <c r="D33" s="161">
        <v>6000000</v>
      </c>
      <c r="E33" s="161">
        <v>6000000</v>
      </c>
      <c r="F33" s="161">
        <f t="shared" si="0"/>
        <v>0</v>
      </c>
      <c r="G33" s="161">
        <v>1240000</v>
      </c>
      <c r="H33" s="161">
        <v>792387</v>
      </c>
      <c r="I33" s="161">
        <v>0</v>
      </c>
      <c r="J33" s="161">
        <v>251192</v>
      </c>
      <c r="K33" s="161">
        <f t="shared" si="3"/>
        <v>251192</v>
      </c>
      <c r="L33" s="161">
        <f t="shared" si="1"/>
        <v>1043579</v>
      </c>
      <c r="M33" s="161">
        <f t="shared" si="4"/>
        <v>696421</v>
      </c>
      <c r="N33" s="161">
        <f>2000000-1000000-300000</f>
        <v>700000</v>
      </c>
      <c r="O33" s="161">
        <f t="shared" si="5"/>
        <v>3560000</v>
      </c>
      <c r="P33" s="161">
        <f t="shared" si="13"/>
        <v>196421</v>
      </c>
      <c r="Q33" s="161">
        <v>500000</v>
      </c>
      <c r="R33" s="161"/>
      <c r="S33" s="161">
        <f t="shared" si="14"/>
        <v>500000</v>
      </c>
      <c r="T33" s="161">
        <f t="shared" si="12"/>
        <v>0</v>
      </c>
      <c r="U33" s="161">
        <f t="shared" si="8"/>
        <v>700000</v>
      </c>
      <c r="V33" s="161">
        <f t="shared" si="9"/>
        <v>700000</v>
      </c>
      <c r="W33" s="161"/>
      <c r="X33" s="161"/>
      <c r="Y33" s="161"/>
      <c r="Z33" s="161"/>
      <c r="AA33" s="160"/>
      <c r="AB33" s="160" t="s">
        <v>830</v>
      </c>
      <c r="AC33" s="160">
        <v>742000</v>
      </c>
    </row>
    <row r="34" spans="1:55" s="5" customFormat="1" ht="30" customHeight="1">
      <c r="A34" s="160">
        <f t="shared" si="10"/>
        <v>30</v>
      </c>
      <c r="B34" s="30">
        <v>1882</v>
      </c>
      <c r="C34" s="30" t="s">
        <v>112</v>
      </c>
      <c r="D34" s="4">
        <v>14300000</v>
      </c>
      <c r="E34" s="332">
        <v>14300000</v>
      </c>
      <c r="F34" s="4">
        <f t="shared" si="0"/>
        <v>0</v>
      </c>
      <c r="G34" s="332">
        <v>200000</v>
      </c>
      <c r="H34" s="332">
        <v>0</v>
      </c>
      <c r="I34" s="332">
        <v>0</v>
      </c>
      <c r="J34" s="332">
        <v>0</v>
      </c>
      <c r="K34" s="4">
        <f>SUM(I34:J34)</f>
        <v>0</v>
      </c>
      <c r="L34" s="4">
        <f>H34+K34</f>
        <v>0</v>
      </c>
      <c r="M34" s="161">
        <f t="shared" si="4"/>
        <v>200000</v>
      </c>
      <c r="N34" s="161">
        <f>500000-500000</f>
        <v>0</v>
      </c>
      <c r="O34" s="4">
        <f t="shared" si="5"/>
        <v>14100000</v>
      </c>
      <c r="P34" s="4">
        <f t="shared" si="13"/>
        <v>200000</v>
      </c>
      <c r="Q34" s="4"/>
      <c r="R34" s="4"/>
      <c r="S34" s="4">
        <f>SUM(Q34:R34)</f>
        <v>0</v>
      </c>
      <c r="T34" s="4">
        <f t="shared" si="12"/>
        <v>0</v>
      </c>
      <c r="U34" s="4">
        <f t="shared" si="8"/>
        <v>0</v>
      </c>
      <c r="V34" s="4">
        <f>U34-AA34-W34-Z34</f>
        <v>0</v>
      </c>
      <c r="W34" s="332"/>
      <c r="X34" s="332"/>
      <c r="Y34" s="332"/>
      <c r="Z34" s="332"/>
      <c r="AA34" s="30"/>
      <c r="AB34" s="30" t="s">
        <v>726</v>
      </c>
      <c r="AC34" s="30">
        <v>742000</v>
      </c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</row>
    <row r="35" spans="1:55" ht="30" customHeight="1">
      <c r="A35" s="160">
        <f t="shared" si="10"/>
        <v>31</v>
      </c>
      <c r="B35" s="267">
        <v>1896</v>
      </c>
      <c r="C35" s="160" t="s">
        <v>433</v>
      </c>
      <c r="D35" s="161">
        <f>18560000-10760000</f>
        <v>7800000</v>
      </c>
      <c r="E35" s="161">
        <v>18560000</v>
      </c>
      <c r="F35" s="161">
        <f t="shared" si="0"/>
        <v>-10760000</v>
      </c>
      <c r="G35" s="161">
        <v>7800000</v>
      </c>
      <c r="H35" s="161">
        <v>1264688</v>
      </c>
      <c r="I35" s="161">
        <v>1828643</v>
      </c>
      <c r="J35" s="161">
        <v>133740</v>
      </c>
      <c r="K35" s="161">
        <f t="shared" si="3"/>
        <v>1962383</v>
      </c>
      <c r="L35" s="161">
        <f t="shared" si="1"/>
        <v>3227071</v>
      </c>
      <c r="M35" s="161">
        <f t="shared" si="4"/>
        <v>4572929</v>
      </c>
      <c r="N35" s="161"/>
      <c r="O35" s="161">
        <f t="shared" si="5"/>
        <v>0</v>
      </c>
      <c r="P35" s="161">
        <f t="shared" si="13"/>
        <v>4572929</v>
      </c>
      <c r="Q35" s="161"/>
      <c r="R35" s="161"/>
      <c r="S35" s="161">
        <f t="shared" si="14"/>
        <v>0</v>
      </c>
      <c r="T35" s="161">
        <f t="shared" si="12"/>
        <v>0</v>
      </c>
      <c r="U35" s="161">
        <f t="shared" si="8"/>
        <v>0</v>
      </c>
      <c r="V35" s="161">
        <f t="shared" si="9"/>
        <v>0</v>
      </c>
      <c r="W35" s="161"/>
      <c r="X35" s="161"/>
      <c r="Y35" s="161"/>
      <c r="Z35" s="161"/>
      <c r="AA35" s="160"/>
      <c r="AB35" s="160" t="s">
        <v>2335</v>
      </c>
      <c r="AC35" s="160">
        <v>829000</v>
      </c>
    </row>
    <row r="36" spans="1:55" s="164" customFormat="1" ht="30" customHeight="1">
      <c r="A36" s="160">
        <f t="shared" si="10"/>
        <v>32</v>
      </c>
      <c r="B36" s="160">
        <v>1904</v>
      </c>
      <c r="C36" s="160" t="s">
        <v>113</v>
      </c>
      <c r="D36" s="161">
        <f>5700000-900000-300000</f>
        <v>4500000</v>
      </c>
      <c r="E36" s="161">
        <v>5700000</v>
      </c>
      <c r="F36" s="161">
        <f t="shared" si="0"/>
        <v>-1200000</v>
      </c>
      <c r="G36" s="161">
        <v>4800000</v>
      </c>
      <c r="H36" s="161">
        <v>4325712</v>
      </c>
      <c r="I36" s="161">
        <v>0</v>
      </c>
      <c r="J36" s="161">
        <v>88853</v>
      </c>
      <c r="K36" s="161">
        <f t="shared" si="3"/>
        <v>88853</v>
      </c>
      <c r="L36" s="161">
        <f t="shared" si="1"/>
        <v>4414565</v>
      </c>
      <c r="M36" s="161">
        <f>P36+S36-300000</f>
        <v>85435</v>
      </c>
      <c r="N36" s="161"/>
      <c r="O36" s="161">
        <f t="shared" si="5"/>
        <v>0</v>
      </c>
      <c r="P36" s="161">
        <f t="shared" si="13"/>
        <v>385435</v>
      </c>
      <c r="Q36" s="161"/>
      <c r="R36" s="161"/>
      <c r="S36" s="161">
        <f t="shared" si="14"/>
        <v>0</v>
      </c>
      <c r="T36" s="161">
        <f t="shared" si="12"/>
        <v>300000</v>
      </c>
      <c r="U36" s="161">
        <f t="shared" si="8"/>
        <v>-300000</v>
      </c>
      <c r="V36" s="161">
        <f t="shared" si="9"/>
        <v>-300000</v>
      </c>
      <c r="W36" s="161"/>
      <c r="X36" s="161"/>
      <c r="Y36" s="161"/>
      <c r="Z36" s="161"/>
      <c r="AA36" s="160"/>
      <c r="AB36" s="160" t="s">
        <v>2314</v>
      </c>
      <c r="AC36" s="160">
        <v>742000</v>
      </c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</row>
    <row r="37" spans="1:55" ht="30" customHeight="1">
      <c r="A37" s="160">
        <f t="shared" si="10"/>
        <v>33</v>
      </c>
      <c r="B37" s="267">
        <v>1921</v>
      </c>
      <c r="C37" s="160" t="s">
        <v>121</v>
      </c>
      <c r="D37" s="161">
        <v>9716000</v>
      </c>
      <c r="E37" s="161">
        <v>9716000</v>
      </c>
      <c r="F37" s="161">
        <f t="shared" si="0"/>
        <v>0</v>
      </c>
      <c r="G37" s="161">
        <v>9716000</v>
      </c>
      <c r="H37" s="161">
        <v>8784692</v>
      </c>
      <c r="I37" s="161">
        <v>0</v>
      </c>
      <c r="J37" s="161">
        <v>530373</v>
      </c>
      <c r="K37" s="161">
        <f t="shared" si="3"/>
        <v>530373</v>
      </c>
      <c r="L37" s="161">
        <f t="shared" si="1"/>
        <v>9315065</v>
      </c>
      <c r="M37" s="161">
        <f t="shared" si="4"/>
        <v>400935</v>
      </c>
      <c r="N37" s="161"/>
      <c r="O37" s="161">
        <f t="shared" si="5"/>
        <v>0</v>
      </c>
      <c r="P37" s="161">
        <f t="shared" si="13"/>
        <v>400935</v>
      </c>
      <c r="Q37" s="161"/>
      <c r="R37" s="161"/>
      <c r="S37" s="161">
        <f t="shared" si="14"/>
        <v>0</v>
      </c>
      <c r="T37" s="161">
        <f t="shared" si="12"/>
        <v>0</v>
      </c>
      <c r="U37" s="161">
        <f t="shared" si="8"/>
        <v>0</v>
      </c>
      <c r="V37" s="161">
        <f t="shared" si="9"/>
        <v>0</v>
      </c>
      <c r="W37" s="161"/>
      <c r="X37" s="161"/>
      <c r="Y37" s="161"/>
      <c r="Z37" s="161"/>
      <c r="AA37" s="160"/>
      <c r="AB37" s="160" t="s">
        <v>768</v>
      </c>
      <c r="AC37" s="160">
        <v>829000</v>
      </c>
    </row>
    <row r="38" spans="1:55" ht="30" customHeight="1">
      <c r="A38" s="160">
        <f t="shared" si="10"/>
        <v>34</v>
      </c>
      <c r="B38" s="267">
        <v>1953</v>
      </c>
      <c r="C38" s="160" t="s">
        <v>434</v>
      </c>
      <c r="D38" s="161">
        <f>5300000+5000000-5000000</f>
        <v>5300000</v>
      </c>
      <c r="E38" s="161">
        <v>5300000</v>
      </c>
      <c r="F38" s="161">
        <f t="shared" si="0"/>
        <v>0</v>
      </c>
      <c r="G38" s="161">
        <v>5300000</v>
      </c>
      <c r="H38" s="161">
        <v>4859191</v>
      </c>
      <c r="I38" s="161">
        <v>0</v>
      </c>
      <c r="J38" s="161">
        <v>106604</v>
      </c>
      <c r="K38" s="161">
        <f t="shared" si="3"/>
        <v>106604</v>
      </c>
      <c r="L38" s="161">
        <f t="shared" si="1"/>
        <v>4965795</v>
      </c>
      <c r="M38" s="161">
        <f t="shared" si="4"/>
        <v>334205</v>
      </c>
      <c r="N38" s="161">
        <f>5000000-5000000</f>
        <v>0</v>
      </c>
      <c r="O38" s="161">
        <f t="shared" si="5"/>
        <v>0</v>
      </c>
      <c r="P38" s="161">
        <f t="shared" si="13"/>
        <v>334205</v>
      </c>
      <c r="Q38" s="161"/>
      <c r="R38" s="161"/>
      <c r="S38" s="161">
        <f t="shared" si="14"/>
        <v>0</v>
      </c>
      <c r="T38" s="161">
        <f t="shared" si="12"/>
        <v>0</v>
      </c>
      <c r="U38" s="161">
        <f t="shared" si="8"/>
        <v>0</v>
      </c>
      <c r="V38" s="161">
        <f t="shared" si="9"/>
        <v>0</v>
      </c>
      <c r="W38" s="161"/>
      <c r="X38" s="161"/>
      <c r="Y38" s="161"/>
      <c r="Z38" s="161"/>
      <c r="AA38" s="160"/>
      <c r="AB38" s="289" t="s">
        <v>471</v>
      </c>
      <c r="AC38" s="160">
        <v>742000</v>
      </c>
    </row>
    <row r="39" spans="1:55" s="164" customFormat="1" ht="30" customHeight="1">
      <c r="A39" s="160">
        <f t="shared" si="10"/>
        <v>35</v>
      </c>
      <c r="B39" s="160">
        <v>1954</v>
      </c>
      <c r="C39" s="160" t="s">
        <v>137</v>
      </c>
      <c r="D39" s="161">
        <f>2000000+500000-500000</f>
        <v>2000000</v>
      </c>
      <c r="E39" s="161">
        <v>2000000</v>
      </c>
      <c r="F39" s="161">
        <f t="shared" si="0"/>
        <v>0</v>
      </c>
      <c r="G39" s="161">
        <v>2000000</v>
      </c>
      <c r="H39" s="161">
        <v>1675077</v>
      </c>
      <c r="I39" s="161">
        <v>0</v>
      </c>
      <c r="J39" s="161">
        <v>193587</v>
      </c>
      <c r="K39" s="161">
        <f t="shared" si="3"/>
        <v>193587</v>
      </c>
      <c r="L39" s="161">
        <f t="shared" si="1"/>
        <v>1868664</v>
      </c>
      <c r="M39" s="161">
        <f t="shared" si="4"/>
        <v>131336</v>
      </c>
      <c r="N39" s="161">
        <f>500000-500000</f>
        <v>0</v>
      </c>
      <c r="O39" s="161">
        <f t="shared" si="5"/>
        <v>0</v>
      </c>
      <c r="P39" s="161">
        <f t="shared" si="13"/>
        <v>131336</v>
      </c>
      <c r="Q39" s="161"/>
      <c r="R39" s="161"/>
      <c r="S39" s="161">
        <f t="shared" si="14"/>
        <v>0</v>
      </c>
      <c r="T39" s="161">
        <f t="shared" si="12"/>
        <v>0</v>
      </c>
      <c r="U39" s="161">
        <f t="shared" si="8"/>
        <v>0</v>
      </c>
      <c r="V39" s="161">
        <f t="shared" si="9"/>
        <v>0</v>
      </c>
      <c r="W39" s="161"/>
      <c r="X39" s="161"/>
      <c r="Y39" s="161"/>
      <c r="Z39" s="161"/>
      <c r="AA39" s="160"/>
      <c r="AB39" s="268" t="s">
        <v>523</v>
      </c>
      <c r="AC39" s="160">
        <v>742000</v>
      </c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</row>
    <row r="40" spans="1:55" ht="30" customHeight="1">
      <c r="A40" s="160">
        <f t="shared" si="10"/>
        <v>36</v>
      </c>
      <c r="B40" s="267">
        <v>1957</v>
      </c>
      <c r="C40" s="160" t="s">
        <v>325</v>
      </c>
      <c r="D40" s="161">
        <v>60000000</v>
      </c>
      <c r="E40" s="161">
        <v>60000000</v>
      </c>
      <c r="F40" s="161">
        <f t="shared" si="0"/>
        <v>0</v>
      </c>
      <c r="G40" s="161">
        <v>4420000</v>
      </c>
      <c r="H40" s="161">
        <v>3654334</v>
      </c>
      <c r="I40" s="161">
        <v>0</v>
      </c>
      <c r="J40" s="161">
        <v>370583</v>
      </c>
      <c r="K40" s="161">
        <f t="shared" si="3"/>
        <v>370583</v>
      </c>
      <c r="L40" s="161">
        <f t="shared" si="1"/>
        <v>4024917</v>
      </c>
      <c r="M40" s="161">
        <f t="shared" si="4"/>
        <v>1395083</v>
      </c>
      <c r="N40" s="161">
        <f>54580000-20080000-2500000-2000000</f>
        <v>30000000</v>
      </c>
      <c r="O40" s="161">
        <f t="shared" si="5"/>
        <v>24580000</v>
      </c>
      <c r="P40" s="161">
        <f t="shared" si="13"/>
        <v>395083</v>
      </c>
      <c r="Q40" s="161">
        <v>1000000</v>
      </c>
      <c r="R40" s="161"/>
      <c r="S40" s="161">
        <f t="shared" si="14"/>
        <v>1000000</v>
      </c>
      <c r="T40" s="161">
        <f t="shared" si="12"/>
        <v>0</v>
      </c>
      <c r="U40" s="161">
        <f t="shared" si="8"/>
        <v>30000000</v>
      </c>
      <c r="V40" s="161">
        <f t="shared" si="9"/>
        <v>0</v>
      </c>
      <c r="W40" s="161"/>
      <c r="X40" s="161"/>
      <c r="Y40" s="161"/>
      <c r="Z40" s="161"/>
      <c r="AA40" s="161">
        <v>30000000</v>
      </c>
      <c r="AB40" s="160" t="s">
        <v>2338</v>
      </c>
      <c r="AC40" s="160">
        <v>810000</v>
      </c>
    </row>
    <row r="41" spans="1:55" ht="30" customHeight="1">
      <c r="A41" s="160">
        <f t="shared" si="10"/>
        <v>37</v>
      </c>
      <c r="B41" s="267">
        <v>1961</v>
      </c>
      <c r="C41" s="160" t="s">
        <v>147</v>
      </c>
      <c r="D41" s="161">
        <v>128000000</v>
      </c>
      <c r="E41" s="161">
        <v>128000000</v>
      </c>
      <c r="F41" s="161">
        <f t="shared" si="0"/>
        <v>0</v>
      </c>
      <c r="G41" s="161">
        <v>500000</v>
      </c>
      <c r="H41" s="161">
        <v>0</v>
      </c>
      <c r="I41" s="161">
        <v>0</v>
      </c>
      <c r="J41" s="161">
        <v>0</v>
      </c>
      <c r="K41" s="161">
        <f t="shared" si="3"/>
        <v>0</v>
      </c>
      <c r="L41" s="161">
        <f t="shared" si="1"/>
        <v>0</v>
      </c>
      <c r="M41" s="161">
        <f t="shared" si="4"/>
        <v>500000</v>
      </c>
      <c r="N41" s="161">
        <v>500000</v>
      </c>
      <c r="O41" s="161">
        <f t="shared" si="5"/>
        <v>127000000</v>
      </c>
      <c r="P41" s="161">
        <f t="shared" si="13"/>
        <v>500000</v>
      </c>
      <c r="Q41" s="161"/>
      <c r="R41" s="161"/>
      <c r="S41" s="161">
        <f t="shared" si="14"/>
        <v>0</v>
      </c>
      <c r="T41" s="161">
        <f t="shared" si="12"/>
        <v>0</v>
      </c>
      <c r="U41" s="161">
        <f t="shared" si="8"/>
        <v>500000</v>
      </c>
      <c r="V41" s="161">
        <f t="shared" si="9"/>
        <v>500000</v>
      </c>
      <c r="W41" s="161"/>
      <c r="X41" s="161"/>
      <c r="Y41" s="161"/>
      <c r="Z41" s="161"/>
      <c r="AA41" s="160"/>
      <c r="AB41" s="306" t="s">
        <v>2185</v>
      </c>
      <c r="AC41" s="160">
        <v>742000</v>
      </c>
    </row>
    <row r="42" spans="1:55" ht="30" customHeight="1">
      <c r="A42" s="160">
        <f t="shared" si="10"/>
        <v>38</v>
      </c>
      <c r="B42" s="267">
        <v>1972</v>
      </c>
      <c r="C42" s="160" t="s">
        <v>326</v>
      </c>
      <c r="D42" s="161">
        <f>4470000-50000</f>
        <v>4420000</v>
      </c>
      <c r="E42" s="161">
        <v>4470000</v>
      </c>
      <c r="F42" s="161">
        <f t="shared" si="0"/>
        <v>-50000</v>
      </c>
      <c r="G42" s="161">
        <v>4470000</v>
      </c>
      <c r="H42" s="161">
        <v>4073430</v>
      </c>
      <c r="I42" s="161">
        <v>0</v>
      </c>
      <c r="J42" s="161">
        <v>256833</v>
      </c>
      <c r="K42" s="161">
        <f t="shared" si="3"/>
        <v>256833</v>
      </c>
      <c r="L42" s="161">
        <f t="shared" si="1"/>
        <v>4330263</v>
      </c>
      <c r="M42" s="161">
        <f>P42+S42-50000</f>
        <v>89737</v>
      </c>
      <c r="N42" s="161"/>
      <c r="O42" s="161">
        <f t="shared" si="5"/>
        <v>0</v>
      </c>
      <c r="P42" s="161">
        <f t="shared" si="13"/>
        <v>139737</v>
      </c>
      <c r="Q42" s="161"/>
      <c r="R42" s="161"/>
      <c r="S42" s="161">
        <f t="shared" si="14"/>
        <v>0</v>
      </c>
      <c r="T42" s="161">
        <f t="shared" si="12"/>
        <v>50000</v>
      </c>
      <c r="U42" s="161">
        <f t="shared" si="8"/>
        <v>-50000</v>
      </c>
      <c r="V42" s="161">
        <f t="shared" si="9"/>
        <v>-50000</v>
      </c>
      <c r="W42" s="161"/>
      <c r="X42" s="161"/>
      <c r="Y42" s="161"/>
      <c r="Z42" s="161"/>
      <c r="AA42" s="160"/>
      <c r="AB42" s="160" t="s">
        <v>2313</v>
      </c>
      <c r="AC42" s="160">
        <v>746000</v>
      </c>
    </row>
    <row r="43" spans="1:55" s="170" customFormat="1" ht="30" customHeight="1">
      <c r="A43" s="160">
        <f t="shared" si="10"/>
        <v>39</v>
      </c>
      <c r="B43" s="160">
        <v>1998</v>
      </c>
      <c r="C43" s="160" t="s">
        <v>262</v>
      </c>
      <c r="D43" s="161">
        <v>4630000</v>
      </c>
      <c r="E43" s="161">
        <v>4630000</v>
      </c>
      <c r="F43" s="161">
        <f t="shared" si="0"/>
        <v>0</v>
      </c>
      <c r="G43" s="161">
        <v>150000</v>
      </c>
      <c r="H43" s="161">
        <v>12799</v>
      </c>
      <c r="I43" s="161">
        <v>0</v>
      </c>
      <c r="J43" s="161">
        <v>0</v>
      </c>
      <c r="K43" s="161">
        <f t="shared" si="3"/>
        <v>0</v>
      </c>
      <c r="L43" s="161">
        <f t="shared" si="1"/>
        <v>12799</v>
      </c>
      <c r="M43" s="161">
        <f t="shared" si="4"/>
        <v>337201</v>
      </c>
      <c r="N43" s="161">
        <f>1300000-300000</f>
        <v>1000000</v>
      </c>
      <c r="O43" s="161">
        <f t="shared" si="5"/>
        <v>3280000</v>
      </c>
      <c r="P43" s="161">
        <f t="shared" si="13"/>
        <v>137201</v>
      </c>
      <c r="Q43" s="161">
        <f>2500000-1000000-1300000</f>
        <v>200000</v>
      </c>
      <c r="R43" s="161"/>
      <c r="S43" s="161">
        <f t="shared" si="14"/>
        <v>200000</v>
      </c>
      <c r="T43" s="161">
        <f t="shared" si="12"/>
        <v>0</v>
      </c>
      <c r="U43" s="161">
        <f t="shared" si="8"/>
        <v>1000000</v>
      </c>
      <c r="V43" s="161">
        <f t="shared" si="9"/>
        <v>1000000</v>
      </c>
      <c r="W43" s="161"/>
      <c r="X43" s="161"/>
      <c r="Y43" s="161"/>
      <c r="Z43" s="161"/>
      <c r="AA43" s="161"/>
      <c r="AB43" s="160" t="s">
        <v>832</v>
      </c>
      <c r="AC43" s="833">
        <v>870000</v>
      </c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</row>
    <row r="44" spans="1:55" s="170" customFormat="1" ht="30" customHeight="1">
      <c r="A44" s="160">
        <f t="shared" si="10"/>
        <v>40</v>
      </c>
      <c r="B44" s="160">
        <v>2002</v>
      </c>
      <c r="C44" s="160" t="s">
        <v>167</v>
      </c>
      <c r="D44" s="161">
        <v>1500000</v>
      </c>
      <c r="E44" s="161">
        <v>1500000</v>
      </c>
      <c r="F44" s="161">
        <f t="shared" si="0"/>
        <v>0</v>
      </c>
      <c r="G44" s="161">
        <f>700000-300000</f>
        <v>400000</v>
      </c>
      <c r="H44" s="161">
        <v>133342</v>
      </c>
      <c r="I44" s="161">
        <v>0</v>
      </c>
      <c r="J44" s="161">
        <v>0</v>
      </c>
      <c r="K44" s="161">
        <f t="shared" si="3"/>
        <v>0</v>
      </c>
      <c r="L44" s="161">
        <f t="shared" si="1"/>
        <v>133342</v>
      </c>
      <c r="M44" s="161">
        <f t="shared" si="4"/>
        <v>266658</v>
      </c>
      <c r="N44" s="161">
        <v>1100000</v>
      </c>
      <c r="O44" s="161">
        <f t="shared" si="5"/>
        <v>0</v>
      </c>
      <c r="P44" s="161">
        <f t="shared" si="13"/>
        <v>266658</v>
      </c>
      <c r="Q44" s="161"/>
      <c r="R44" s="161">
        <f>-300000+300000</f>
        <v>0</v>
      </c>
      <c r="S44" s="161">
        <f t="shared" si="14"/>
        <v>0</v>
      </c>
      <c r="T44" s="161">
        <f t="shared" si="12"/>
        <v>0</v>
      </c>
      <c r="U44" s="161">
        <f t="shared" si="8"/>
        <v>1100000</v>
      </c>
      <c r="V44" s="161">
        <f t="shared" si="9"/>
        <v>1100000</v>
      </c>
      <c r="W44" s="161"/>
      <c r="X44" s="161"/>
      <c r="Y44" s="161"/>
      <c r="Z44" s="161"/>
      <c r="AA44" s="160"/>
      <c r="AB44" s="160" t="s">
        <v>524</v>
      </c>
      <c r="AC44" s="833">
        <v>742000</v>
      </c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</row>
    <row r="45" spans="1:55" s="170" customFormat="1" ht="30" customHeight="1">
      <c r="A45" s="160">
        <f t="shared" si="10"/>
        <v>41</v>
      </c>
      <c r="B45" s="160">
        <v>2008</v>
      </c>
      <c r="C45" s="160" t="s">
        <v>309</v>
      </c>
      <c r="D45" s="161">
        <v>2500000</v>
      </c>
      <c r="E45" s="161">
        <v>2500000</v>
      </c>
      <c r="F45" s="161">
        <f t="shared" si="0"/>
        <v>0</v>
      </c>
      <c r="G45" s="161">
        <v>250000</v>
      </c>
      <c r="H45" s="161">
        <v>0</v>
      </c>
      <c r="I45" s="161">
        <v>0</v>
      </c>
      <c r="J45" s="161">
        <v>0</v>
      </c>
      <c r="K45" s="161">
        <f t="shared" si="3"/>
        <v>0</v>
      </c>
      <c r="L45" s="161">
        <f t="shared" si="1"/>
        <v>0</v>
      </c>
      <c r="M45" s="161">
        <f t="shared" si="4"/>
        <v>250000</v>
      </c>
      <c r="N45" s="161">
        <f>2250000-1250000</f>
        <v>1000000</v>
      </c>
      <c r="O45" s="161">
        <f t="shared" si="5"/>
        <v>1250000</v>
      </c>
      <c r="P45" s="161">
        <f t="shared" si="13"/>
        <v>250000</v>
      </c>
      <c r="Q45" s="161"/>
      <c r="R45" s="161">
        <f>250000-250000</f>
        <v>0</v>
      </c>
      <c r="S45" s="161">
        <f t="shared" si="14"/>
        <v>0</v>
      </c>
      <c r="T45" s="161">
        <f t="shared" si="12"/>
        <v>0</v>
      </c>
      <c r="U45" s="161">
        <f t="shared" si="8"/>
        <v>1000000</v>
      </c>
      <c r="V45" s="161">
        <f t="shared" si="9"/>
        <v>1000000</v>
      </c>
      <c r="W45" s="161"/>
      <c r="X45" s="161"/>
      <c r="Y45" s="161"/>
      <c r="Z45" s="161"/>
      <c r="AA45" s="160"/>
      <c r="AB45" s="393" t="s">
        <v>701</v>
      </c>
      <c r="AC45" s="160">
        <v>742000</v>
      </c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</row>
    <row r="46" spans="1:55" s="5" customFormat="1" ht="30" customHeight="1">
      <c r="A46" s="160">
        <f t="shared" si="10"/>
        <v>42</v>
      </c>
      <c r="B46" s="3">
        <v>2009</v>
      </c>
      <c r="C46" s="3" t="s">
        <v>267</v>
      </c>
      <c r="D46" s="4">
        <v>13700000</v>
      </c>
      <c r="E46" s="4">
        <v>13700000</v>
      </c>
      <c r="F46" s="4">
        <f t="shared" si="0"/>
        <v>0</v>
      </c>
      <c r="G46" s="4">
        <v>2200000</v>
      </c>
      <c r="H46" s="4">
        <v>20187</v>
      </c>
      <c r="I46" s="4">
        <v>258309</v>
      </c>
      <c r="J46" s="4">
        <v>44954</v>
      </c>
      <c r="K46" s="4">
        <f>SUM(I46:J46)</f>
        <v>303263</v>
      </c>
      <c r="L46" s="4">
        <f>H46+K46</f>
        <v>323450</v>
      </c>
      <c r="M46" s="161">
        <f t="shared" si="4"/>
        <v>1876550</v>
      </c>
      <c r="N46" s="161">
        <f>11500000-4500000-2000000-1000000-3000000</f>
        <v>1000000</v>
      </c>
      <c r="O46" s="4">
        <f t="shared" si="5"/>
        <v>10500000</v>
      </c>
      <c r="P46" s="4">
        <f t="shared" si="13"/>
        <v>1876550</v>
      </c>
      <c r="Q46" s="4"/>
      <c r="R46" s="4"/>
      <c r="S46" s="4">
        <f>SUM(Q46:R46)</f>
        <v>0</v>
      </c>
      <c r="T46" s="4">
        <f t="shared" si="12"/>
        <v>0</v>
      </c>
      <c r="U46" s="4">
        <f t="shared" si="8"/>
        <v>1000000</v>
      </c>
      <c r="V46" s="4">
        <f>U46-AA46-W46-Z46</f>
        <v>1000000</v>
      </c>
      <c r="W46" s="4"/>
      <c r="X46" s="4"/>
      <c r="Y46" s="4"/>
      <c r="Z46" s="4"/>
      <c r="AA46" s="3"/>
      <c r="AB46" s="3" t="s">
        <v>722</v>
      </c>
      <c r="AC46" s="3">
        <v>742000</v>
      </c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</row>
    <row r="47" spans="1:55" s="5" customFormat="1" ht="30" customHeight="1">
      <c r="A47" s="160">
        <f t="shared" si="10"/>
        <v>43</v>
      </c>
      <c r="B47" s="3">
        <v>2010</v>
      </c>
      <c r="C47" s="3" t="s">
        <v>310</v>
      </c>
      <c r="D47" s="4">
        <v>8000000</v>
      </c>
      <c r="E47" s="4">
        <v>8000000</v>
      </c>
      <c r="F47" s="161">
        <f t="shared" si="0"/>
        <v>0</v>
      </c>
      <c r="G47" s="4">
        <v>0</v>
      </c>
      <c r="H47" s="4">
        <v>0</v>
      </c>
      <c r="I47" s="4">
        <v>0</v>
      </c>
      <c r="J47" s="4">
        <v>0</v>
      </c>
      <c r="K47" s="161">
        <f t="shared" si="3"/>
        <v>0</v>
      </c>
      <c r="L47" s="161">
        <f t="shared" si="1"/>
        <v>0</v>
      </c>
      <c r="M47" s="161">
        <f t="shared" si="4"/>
        <v>0</v>
      </c>
      <c r="N47" s="161">
        <f>8000000-3000000-1500000-1000000-2500000</f>
        <v>0</v>
      </c>
      <c r="O47" s="161">
        <f t="shared" si="5"/>
        <v>8000000</v>
      </c>
      <c r="P47" s="161">
        <f t="shared" si="13"/>
        <v>0</v>
      </c>
      <c r="Q47" s="161"/>
      <c r="R47" s="161"/>
      <c r="S47" s="161">
        <f t="shared" si="14"/>
        <v>0</v>
      </c>
      <c r="T47" s="161">
        <f t="shared" si="12"/>
        <v>0</v>
      </c>
      <c r="U47" s="161">
        <f t="shared" si="8"/>
        <v>0</v>
      </c>
      <c r="V47" s="161">
        <f t="shared" si="9"/>
        <v>0</v>
      </c>
      <c r="W47" s="161"/>
      <c r="X47" s="161"/>
      <c r="Y47" s="161"/>
      <c r="Z47" s="161"/>
      <c r="AA47" s="160"/>
      <c r="AB47" s="3" t="s">
        <v>583</v>
      </c>
      <c r="AC47" s="3">
        <v>742000</v>
      </c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</row>
    <row r="48" spans="1:55" s="5" customFormat="1" ht="30" customHeight="1">
      <c r="A48" s="160">
        <f t="shared" si="10"/>
        <v>44</v>
      </c>
      <c r="B48" s="3">
        <v>2011</v>
      </c>
      <c r="C48" s="30" t="s">
        <v>902</v>
      </c>
      <c r="D48" s="4">
        <v>80000000</v>
      </c>
      <c r="E48" s="4">
        <v>80000000</v>
      </c>
      <c r="F48" s="161">
        <f t="shared" si="0"/>
        <v>0</v>
      </c>
      <c r="G48" s="4">
        <f>2562673+2000000</f>
        <v>4562673</v>
      </c>
      <c r="H48" s="4">
        <v>2168048</v>
      </c>
      <c r="I48" s="4">
        <v>0</v>
      </c>
      <c r="J48" s="4">
        <v>325399</v>
      </c>
      <c r="K48" s="161">
        <f t="shared" si="3"/>
        <v>325399</v>
      </c>
      <c r="L48" s="161">
        <f t="shared" si="1"/>
        <v>2493447</v>
      </c>
      <c r="M48" s="161">
        <f t="shared" si="4"/>
        <v>20069226</v>
      </c>
      <c r="N48" s="161">
        <f>37000000-15000000-4000000-2000000-6000000-2000000</f>
        <v>8000000</v>
      </c>
      <c r="O48" s="161">
        <f t="shared" si="5"/>
        <v>49437327</v>
      </c>
      <c r="P48" s="161">
        <f t="shared" si="13"/>
        <v>2069226</v>
      </c>
      <c r="Q48" s="161">
        <f>20000000-2000000</f>
        <v>18000000</v>
      </c>
      <c r="R48" s="161"/>
      <c r="S48" s="161">
        <f t="shared" si="14"/>
        <v>18000000</v>
      </c>
      <c r="T48" s="161">
        <f t="shared" si="12"/>
        <v>0</v>
      </c>
      <c r="U48" s="161">
        <f t="shared" si="8"/>
        <v>8000000</v>
      </c>
      <c r="V48" s="161">
        <f t="shared" si="9"/>
        <v>8000000</v>
      </c>
      <c r="W48" s="161"/>
      <c r="X48" s="161"/>
      <c r="Y48" s="161"/>
      <c r="Z48" s="161"/>
      <c r="AA48" s="160"/>
      <c r="AB48" s="3" t="s">
        <v>833</v>
      </c>
      <c r="AC48" s="3">
        <v>742000</v>
      </c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</row>
    <row r="49" spans="1:55" s="170" customFormat="1" ht="30" customHeight="1">
      <c r="A49" s="160">
        <f t="shared" si="10"/>
        <v>45</v>
      </c>
      <c r="B49" s="160">
        <v>2015</v>
      </c>
      <c r="C49" s="289" t="s">
        <v>903</v>
      </c>
      <c r="D49" s="161">
        <v>54000000</v>
      </c>
      <c r="E49" s="161">
        <v>54000000</v>
      </c>
      <c r="F49" s="161">
        <f t="shared" si="0"/>
        <v>0</v>
      </c>
      <c r="G49" s="161">
        <v>10500000</v>
      </c>
      <c r="H49" s="161">
        <v>1365644</v>
      </c>
      <c r="I49" s="161">
        <v>0</v>
      </c>
      <c r="J49" s="161">
        <v>134447</v>
      </c>
      <c r="K49" s="161">
        <f t="shared" si="3"/>
        <v>134447</v>
      </c>
      <c r="L49" s="161">
        <f t="shared" si="1"/>
        <v>1500091</v>
      </c>
      <c r="M49" s="161">
        <f t="shared" si="4"/>
        <v>28999909</v>
      </c>
      <c r="N49" s="161">
        <f>23500000-13500000</f>
        <v>10000000</v>
      </c>
      <c r="O49" s="161">
        <f t="shared" si="5"/>
        <v>13500000</v>
      </c>
      <c r="P49" s="161">
        <f t="shared" si="13"/>
        <v>8999909</v>
      </c>
      <c r="Q49" s="161">
        <v>20000000</v>
      </c>
      <c r="R49" s="161"/>
      <c r="S49" s="161">
        <f t="shared" si="14"/>
        <v>20000000</v>
      </c>
      <c r="T49" s="161">
        <f t="shared" si="12"/>
        <v>0</v>
      </c>
      <c r="U49" s="161">
        <f t="shared" si="8"/>
        <v>10000000</v>
      </c>
      <c r="V49" s="161">
        <f t="shared" si="9"/>
        <v>4234031</v>
      </c>
      <c r="W49" s="161"/>
      <c r="X49" s="161"/>
      <c r="Y49" s="161"/>
      <c r="Z49" s="161"/>
      <c r="AA49" s="161">
        <v>5765969</v>
      </c>
      <c r="AB49" s="160" t="s">
        <v>2337</v>
      </c>
      <c r="AC49" s="160">
        <v>810000</v>
      </c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</row>
    <row r="50" spans="1:55" ht="30" customHeight="1">
      <c r="A50" s="160">
        <f t="shared" si="10"/>
        <v>46</v>
      </c>
      <c r="B50" s="160">
        <v>2017</v>
      </c>
      <c r="C50" s="272" t="s">
        <v>904</v>
      </c>
      <c r="D50" s="161">
        <f>30000000+7100000</f>
        <v>37100000</v>
      </c>
      <c r="E50" s="161">
        <v>30000000</v>
      </c>
      <c r="F50" s="161">
        <f t="shared" si="0"/>
        <v>7100000</v>
      </c>
      <c r="G50" s="161">
        <v>2250000</v>
      </c>
      <c r="H50" s="161">
        <v>1850358</v>
      </c>
      <c r="I50" s="161">
        <v>0</v>
      </c>
      <c r="J50" s="161">
        <v>40333</v>
      </c>
      <c r="K50" s="161">
        <f t="shared" si="3"/>
        <v>40333</v>
      </c>
      <c r="L50" s="161">
        <f t="shared" si="1"/>
        <v>1890691</v>
      </c>
      <c r="M50" s="161">
        <f t="shared" si="4"/>
        <v>1109309</v>
      </c>
      <c r="N50" s="161">
        <f>32000000-12000000-4000000-3000000-3000000-3000000</f>
        <v>7000000</v>
      </c>
      <c r="O50" s="161">
        <f t="shared" si="5"/>
        <v>27100000</v>
      </c>
      <c r="P50" s="161">
        <f t="shared" si="13"/>
        <v>359309</v>
      </c>
      <c r="Q50" s="161">
        <v>750000</v>
      </c>
      <c r="R50" s="161"/>
      <c r="S50" s="161">
        <f t="shared" si="14"/>
        <v>750000</v>
      </c>
      <c r="T50" s="161">
        <f t="shared" si="12"/>
        <v>0</v>
      </c>
      <c r="U50" s="161">
        <f t="shared" si="8"/>
        <v>7000000</v>
      </c>
      <c r="V50" s="161">
        <f t="shared" si="9"/>
        <v>7000000</v>
      </c>
      <c r="W50" s="161"/>
      <c r="X50" s="161"/>
      <c r="Y50" s="161"/>
      <c r="Z50" s="161"/>
      <c r="AA50" s="160"/>
      <c r="AB50" s="160" t="s">
        <v>702</v>
      </c>
      <c r="AC50" s="160">
        <v>824000</v>
      </c>
    </row>
    <row r="51" spans="1:55" ht="30" customHeight="1">
      <c r="A51" s="160">
        <f t="shared" si="10"/>
        <v>47</v>
      </c>
      <c r="B51" s="160">
        <v>2018</v>
      </c>
      <c r="C51" s="160" t="s">
        <v>327</v>
      </c>
      <c r="D51" s="161">
        <v>6600000</v>
      </c>
      <c r="E51" s="161">
        <v>6600000</v>
      </c>
      <c r="F51" s="161">
        <f t="shared" si="0"/>
        <v>0</v>
      </c>
      <c r="G51" s="161">
        <v>6600000</v>
      </c>
      <c r="H51" s="161">
        <v>2716605</v>
      </c>
      <c r="I51" s="161">
        <v>0</v>
      </c>
      <c r="J51" s="161">
        <v>151387</v>
      </c>
      <c r="K51" s="161">
        <f t="shared" si="3"/>
        <v>151387</v>
      </c>
      <c r="L51" s="161">
        <f t="shared" si="1"/>
        <v>2867992</v>
      </c>
      <c r="M51" s="161">
        <f t="shared" si="4"/>
        <v>3732008</v>
      </c>
      <c r="N51" s="161"/>
      <c r="O51" s="161">
        <f t="shared" si="5"/>
        <v>0</v>
      </c>
      <c r="P51" s="161">
        <f t="shared" si="13"/>
        <v>3732008</v>
      </c>
      <c r="Q51" s="161"/>
      <c r="R51" s="161"/>
      <c r="S51" s="161">
        <f t="shared" si="14"/>
        <v>0</v>
      </c>
      <c r="T51" s="161">
        <f t="shared" si="12"/>
        <v>0</v>
      </c>
      <c r="U51" s="161">
        <f t="shared" si="8"/>
        <v>0</v>
      </c>
      <c r="V51" s="161">
        <f t="shared" si="9"/>
        <v>0</v>
      </c>
      <c r="W51" s="161"/>
      <c r="X51" s="161"/>
      <c r="Y51" s="161"/>
      <c r="Z51" s="161"/>
      <c r="AA51" s="160"/>
      <c r="AB51" s="272" t="s">
        <v>584</v>
      </c>
      <c r="AC51" s="160">
        <v>742000</v>
      </c>
    </row>
    <row r="52" spans="1:55" s="164" customFormat="1" ht="30" customHeight="1">
      <c r="A52" s="160">
        <f t="shared" si="10"/>
        <v>48</v>
      </c>
      <c r="B52" s="160">
        <v>2021</v>
      </c>
      <c r="C52" s="160" t="s">
        <v>268</v>
      </c>
      <c r="D52" s="161">
        <v>8200000</v>
      </c>
      <c r="E52" s="161">
        <v>8200000</v>
      </c>
      <c r="F52" s="161">
        <f t="shared" si="0"/>
        <v>0</v>
      </c>
      <c r="G52" s="161">
        <v>150000</v>
      </c>
      <c r="H52" s="161">
        <v>40865</v>
      </c>
      <c r="I52" s="161">
        <v>0</v>
      </c>
      <c r="J52" s="161">
        <v>0</v>
      </c>
      <c r="K52" s="161">
        <f t="shared" si="3"/>
        <v>0</v>
      </c>
      <c r="L52" s="161">
        <f t="shared" si="1"/>
        <v>40865</v>
      </c>
      <c r="M52" s="161">
        <f t="shared" si="4"/>
        <v>109135</v>
      </c>
      <c r="N52" s="161"/>
      <c r="O52" s="161">
        <f t="shared" si="5"/>
        <v>8050000</v>
      </c>
      <c r="P52" s="161">
        <f t="shared" si="13"/>
        <v>109135</v>
      </c>
      <c r="Q52" s="161"/>
      <c r="R52" s="161"/>
      <c r="S52" s="161">
        <f t="shared" si="14"/>
        <v>0</v>
      </c>
      <c r="T52" s="161">
        <f t="shared" si="12"/>
        <v>0</v>
      </c>
      <c r="U52" s="161">
        <f t="shared" si="8"/>
        <v>0</v>
      </c>
      <c r="V52" s="161">
        <f t="shared" si="9"/>
        <v>0</v>
      </c>
      <c r="W52" s="161"/>
      <c r="X52" s="161"/>
      <c r="Y52" s="161"/>
      <c r="Z52" s="161"/>
      <c r="AA52" s="160"/>
      <c r="AB52" s="160" t="s">
        <v>596</v>
      </c>
      <c r="AC52" s="160">
        <v>850000</v>
      </c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</row>
    <row r="53" spans="1:55" s="164" customFormat="1" ht="30" customHeight="1">
      <c r="A53" s="160">
        <f t="shared" si="10"/>
        <v>49</v>
      </c>
      <c r="B53" s="160">
        <v>2022</v>
      </c>
      <c r="C53" s="160" t="s">
        <v>905</v>
      </c>
      <c r="D53" s="161">
        <v>14000000</v>
      </c>
      <c r="E53" s="161">
        <v>14000000</v>
      </c>
      <c r="F53" s="161">
        <f t="shared" si="0"/>
        <v>0</v>
      </c>
      <c r="G53" s="161">
        <v>12100000</v>
      </c>
      <c r="H53" s="161">
        <v>4292387</v>
      </c>
      <c r="I53" s="161">
        <v>0</v>
      </c>
      <c r="J53" s="161">
        <v>730999</v>
      </c>
      <c r="K53" s="161">
        <f t="shared" si="3"/>
        <v>730999</v>
      </c>
      <c r="L53" s="161">
        <f t="shared" si="1"/>
        <v>5023386</v>
      </c>
      <c r="M53" s="161">
        <f t="shared" si="4"/>
        <v>8976614</v>
      </c>
      <c r="N53" s="161"/>
      <c r="O53" s="161">
        <f t="shared" si="5"/>
        <v>0</v>
      </c>
      <c r="P53" s="161">
        <f t="shared" si="13"/>
        <v>7076614</v>
      </c>
      <c r="Q53" s="161">
        <v>1900000</v>
      </c>
      <c r="R53" s="161"/>
      <c r="S53" s="161">
        <f t="shared" si="14"/>
        <v>1900000</v>
      </c>
      <c r="T53" s="161">
        <f t="shared" si="12"/>
        <v>0</v>
      </c>
      <c r="U53" s="161">
        <f t="shared" si="8"/>
        <v>0</v>
      </c>
      <c r="V53" s="161">
        <f t="shared" si="9"/>
        <v>0</v>
      </c>
      <c r="W53" s="161"/>
      <c r="X53" s="161"/>
      <c r="Y53" s="161"/>
      <c r="Z53" s="161"/>
      <c r="AA53" s="160"/>
      <c r="AB53" s="160" t="s">
        <v>703</v>
      </c>
      <c r="AC53" s="160">
        <v>829000</v>
      </c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</row>
    <row r="54" spans="1:55" s="164" customFormat="1" ht="30" customHeight="1">
      <c r="A54" s="160">
        <f t="shared" si="10"/>
        <v>50</v>
      </c>
      <c r="B54" s="160">
        <v>2023</v>
      </c>
      <c r="C54" s="160" t="s">
        <v>1629</v>
      </c>
      <c r="D54" s="161">
        <v>7340000</v>
      </c>
      <c r="E54" s="161">
        <v>7340000</v>
      </c>
      <c r="F54" s="161">
        <f t="shared" si="0"/>
        <v>0</v>
      </c>
      <c r="G54" s="161">
        <v>230000</v>
      </c>
      <c r="H54" s="161">
        <v>227341</v>
      </c>
      <c r="I54" s="161">
        <v>0</v>
      </c>
      <c r="J54" s="161">
        <v>2657</v>
      </c>
      <c r="K54" s="161">
        <f t="shared" si="3"/>
        <v>2657</v>
      </c>
      <c r="L54" s="161">
        <f t="shared" si="1"/>
        <v>229998</v>
      </c>
      <c r="M54" s="161">
        <f t="shared" si="4"/>
        <v>2</v>
      </c>
      <c r="N54" s="161">
        <f>7110000-7110000</f>
        <v>0</v>
      </c>
      <c r="O54" s="161">
        <f t="shared" si="5"/>
        <v>7110000</v>
      </c>
      <c r="P54" s="161">
        <f t="shared" si="13"/>
        <v>2</v>
      </c>
      <c r="Q54" s="161"/>
      <c r="R54" s="161"/>
      <c r="S54" s="161">
        <f t="shared" si="14"/>
        <v>0</v>
      </c>
      <c r="T54" s="161">
        <f t="shared" si="12"/>
        <v>0</v>
      </c>
      <c r="U54" s="161">
        <f t="shared" si="8"/>
        <v>0</v>
      </c>
      <c r="V54" s="161">
        <f t="shared" si="9"/>
        <v>0</v>
      </c>
      <c r="W54" s="161"/>
      <c r="X54" s="161"/>
      <c r="Y54" s="161"/>
      <c r="Z54" s="161"/>
      <c r="AA54" s="161">
        <f>2288415-2288415</f>
        <v>0</v>
      </c>
      <c r="AB54" s="160" t="s">
        <v>1630</v>
      </c>
      <c r="AC54" s="160">
        <v>810000</v>
      </c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</row>
    <row r="55" spans="1:55" s="164" customFormat="1" ht="30" customHeight="1">
      <c r="A55" s="160">
        <f t="shared" si="10"/>
        <v>51</v>
      </c>
      <c r="B55" s="160">
        <v>2024</v>
      </c>
      <c r="C55" s="160" t="s">
        <v>329</v>
      </c>
      <c r="D55" s="161">
        <v>16300000</v>
      </c>
      <c r="E55" s="161">
        <v>16300000</v>
      </c>
      <c r="F55" s="161">
        <f t="shared" si="0"/>
        <v>0</v>
      </c>
      <c r="G55" s="161">
        <v>10040000</v>
      </c>
      <c r="H55" s="161">
        <v>4362205</v>
      </c>
      <c r="I55" s="161">
        <v>0</v>
      </c>
      <c r="J55" s="161">
        <v>1773811</v>
      </c>
      <c r="K55" s="161">
        <f t="shared" si="3"/>
        <v>1773811</v>
      </c>
      <c r="L55" s="161">
        <f t="shared" si="1"/>
        <v>6136016</v>
      </c>
      <c r="M55" s="161">
        <f t="shared" si="4"/>
        <v>10163984</v>
      </c>
      <c r="N55" s="161"/>
      <c r="O55" s="161">
        <f t="shared" si="5"/>
        <v>0</v>
      </c>
      <c r="P55" s="161">
        <f t="shared" si="13"/>
        <v>3903984</v>
      </c>
      <c r="Q55" s="161">
        <v>6260000</v>
      </c>
      <c r="R55" s="161"/>
      <c r="S55" s="161">
        <f t="shared" ref="S55:S86" si="15">SUM(Q55:R55)</f>
        <v>6260000</v>
      </c>
      <c r="T55" s="161">
        <f t="shared" si="12"/>
        <v>0</v>
      </c>
      <c r="U55" s="161">
        <f t="shared" si="8"/>
        <v>0</v>
      </c>
      <c r="V55" s="161">
        <f t="shared" si="9"/>
        <v>-2288415</v>
      </c>
      <c r="W55" s="161"/>
      <c r="X55" s="161"/>
      <c r="Y55" s="161"/>
      <c r="Z55" s="161"/>
      <c r="AA55" s="161">
        <v>2288415</v>
      </c>
      <c r="AB55" s="160" t="s">
        <v>2336</v>
      </c>
      <c r="AC55" s="160">
        <v>810000</v>
      </c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</row>
    <row r="56" spans="1:55" ht="30" customHeight="1">
      <c r="A56" s="160">
        <f t="shared" si="10"/>
        <v>52</v>
      </c>
      <c r="B56" s="267">
        <v>2064</v>
      </c>
      <c r="C56" s="160" t="s">
        <v>264</v>
      </c>
      <c r="D56" s="161">
        <v>6281000</v>
      </c>
      <c r="E56" s="161">
        <v>6281000</v>
      </c>
      <c r="F56" s="161">
        <f t="shared" si="0"/>
        <v>0</v>
      </c>
      <c r="G56" s="161">
        <v>864000</v>
      </c>
      <c r="H56" s="161">
        <v>833705</v>
      </c>
      <c r="I56" s="161">
        <v>0</v>
      </c>
      <c r="J56" s="161">
        <v>0</v>
      </c>
      <c r="K56" s="161">
        <f t="shared" si="3"/>
        <v>0</v>
      </c>
      <c r="L56" s="161">
        <f t="shared" si="1"/>
        <v>833705</v>
      </c>
      <c r="M56" s="161">
        <f t="shared" si="4"/>
        <v>30295</v>
      </c>
      <c r="N56" s="161">
        <f>5417000-5417000</f>
        <v>0</v>
      </c>
      <c r="O56" s="161">
        <f t="shared" si="5"/>
        <v>5417000</v>
      </c>
      <c r="P56" s="161">
        <f t="shared" si="13"/>
        <v>30295</v>
      </c>
      <c r="Q56" s="161"/>
      <c r="R56" s="161"/>
      <c r="S56" s="161">
        <f t="shared" si="15"/>
        <v>0</v>
      </c>
      <c r="T56" s="161">
        <f t="shared" si="12"/>
        <v>0</v>
      </c>
      <c r="U56" s="161">
        <f t="shared" si="8"/>
        <v>0</v>
      </c>
      <c r="V56" s="161">
        <f t="shared" si="9"/>
        <v>0</v>
      </c>
      <c r="W56" s="161"/>
      <c r="X56" s="161"/>
      <c r="Y56" s="161"/>
      <c r="Z56" s="161"/>
      <c r="AA56" s="160"/>
      <c r="AB56" s="160" t="s">
        <v>428</v>
      </c>
      <c r="AC56" s="160">
        <v>829000</v>
      </c>
    </row>
    <row r="57" spans="1:55" ht="30" customHeight="1">
      <c r="A57" s="160">
        <f t="shared" si="10"/>
        <v>53</v>
      </c>
      <c r="B57" s="267">
        <v>2073</v>
      </c>
      <c r="C57" s="272" t="s">
        <v>906</v>
      </c>
      <c r="D57" s="161">
        <v>11350000</v>
      </c>
      <c r="E57" s="161">
        <v>11350000</v>
      </c>
      <c r="F57" s="161">
        <f t="shared" si="0"/>
        <v>0</v>
      </c>
      <c r="G57" s="161">
        <v>850000</v>
      </c>
      <c r="H57" s="161">
        <v>31005</v>
      </c>
      <c r="I57" s="161">
        <v>0</v>
      </c>
      <c r="J57" s="161">
        <v>85995</v>
      </c>
      <c r="K57" s="161">
        <f t="shared" si="3"/>
        <v>85995</v>
      </c>
      <c r="L57" s="161">
        <f t="shared" si="1"/>
        <v>117000</v>
      </c>
      <c r="M57" s="161">
        <f t="shared" si="4"/>
        <v>1483000</v>
      </c>
      <c r="N57" s="161"/>
      <c r="O57" s="161">
        <f t="shared" si="5"/>
        <v>9750000</v>
      </c>
      <c r="P57" s="161">
        <f t="shared" si="13"/>
        <v>733000</v>
      </c>
      <c r="Q57" s="161">
        <v>750000</v>
      </c>
      <c r="R57" s="161"/>
      <c r="S57" s="161">
        <f t="shared" si="15"/>
        <v>750000</v>
      </c>
      <c r="T57" s="161">
        <f t="shared" si="12"/>
        <v>0</v>
      </c>
      <c r="U57" s="161">
        <f t="shared" si="8"/>
        <v>0</v>
      </c>
      <c r="V57" s="161">
        <f t="shared" si="9"/>
        <v>0</v>
      </c>
      <c r="W57" s="161"/>
      <c r="X57" s="161"/>
      <c r="Y57" s="161"/>
      <c r="Z57" s="161"/>
      <c r="AA57" s="160"/>
      <c r="AB57" s="160" t="s">
        <v>1649</v>
      </c>
      <c r="AC57" s="160">
        <v>829000</v>
      </c>
    </row>
    <row r="58" spans="1:55" ht="30" customHeight="1">
      <c r="A58" s="160">
        <f t="shared" si="10"/>
        <v>54</v>
      </c>
      <c r="B58" s="267">
        <v>2076</v>
      </c>
      <c r="C58" s="160" t="s">
        <v>330</v>
      </c>
      <c r="D58" s="161">
        <v>2350000</v>
      </c>
      <c r="E58" s="161">
        <v>2350000</v>
      </c>
      <c r="F58" s="161">
        <f t="shared" si="0"/>
        <v>0</v>
      </c>
      <c r="G58" s="161">
        <v>1450000</v>
      </c>
      <c r="H58" s="161">
        <v>35648</v>
      </c>
      <c r="I58" s="161">
        <v>0</v>
      </c>
      <c r="J58" s="161">
        <v>0</v>
      </c>
      <c r="K58" s="161">
        <f t="shared" si="3"/>
        <v>0</v>
      </c>
      <c r="L58" s="161">
        <f t="shared" si="1"/>
        <v>35648</v>
      </c>
      <c r="M58" s="161">
        <f t="shared" si="4"/>
        <v>1414352</v>
      </c>
      <c r="N58" s="161"/>
      <c r="O58" s="161">
        <f t="shared" si="5"/>
        <v>900000</v>
      </c>
      <c r="P58" s="161">
        <f t="shared" si="13"/>
        <v>1414352</v>
      </c>
      <c r="Q58" s="161"/>
      <c r="R58" s="161"/>
      <c r="S58" s="161">
        <f t="shared" si="15"/>
        <v>0</v>
      </c>
      <c r="T58" s="161">
        <f t="shared" si="12"/>
        <v>0</v>
      </c>
      <c r="U58" s="161">
        <f t="shared" si="8"/>
        <v>0</v>
      </c>
      <c r="V58" s="161">
        <f t="shared" si="9"/>
        <v>0</v>
      </c>
      <c r="W58" s="161"/>
      <c r="X58" s="161"/>
      <c r="Y58" s="161"/>
      <c r="Z58" s="161"/>
      <c r="AA58" s="160"/>
      <c r="AB58" s="160" t="s">
        <v>386</v>
      </c>
      <c r="AC58" s="160">
        <v>850000</v>
      </c>
    </row>
    <row r="59" spans="1:55" s="5" customFormat="1" ht="30" customHeight="1">
      <c r="A59" s="160">
        <f t="shared" si="10"/>
        <v>55</v>
      </c>
      <c r="B59" s="3">
        <v>2078</v>
      </c>
      <c r="C59" s="3" t="s">
        <v>311</v>
      </c>
      <c r="D59" s="4">
        <v>4200000</v>
      </c>
      <c r="E59" s="4">
        <v>4200000</v>
      </c>
      <c r="F59" s="161">
        <f t="shared" si="0"/>
        <v>0</v>
      </c>
      <c r="G59" s="4">
        <v>1960000</v>
      </c>
      <c r="H59" s="4">
        <v>157316</v>
      </c>
      <c r="I59" s="4">
        <v>0</v>
      </c>
      <c r="J59" s="4">
        <v>0</v>
      </c>
      <c r="K59" s="161">
        <f t="shared" si="3"/>
        <v>0</v>
      </c>
      <c r="L59" s="161">
        <f t="shared" si="1"/>
        <v>157316</v>
      </c>
      <c r="M59" s="161">
        <f t="shared" si="4"/>
        <v>1802684</v>
      </c>
      <c r="N59" s="161"/>
      <c r="O59" s="161">
        <f t="shared" si="5"/>
        <v>2240000</v>
      </c>
      <c r="P59" s="161">
        <f t="shared" si="13"/>
        <v>1802684</v>
      </c>
      <c r="Q59" s="161"/>
      <c r="R59" s="161"/>
      <c r="S59" s="161">
        <f t="shared" si="15"/>
        <v>0</v>
      </c>
      <c r="T59" s="161">
        <f t="shared" si="12"/>
        <v>0</v>
      </c>
      <c r="U59" s="161">
        <f t="shared" si="8"/>
        <v>0</v>
      </c>
      <c r="V59" s="161">
        <f t="shared" si="9"/>
        <v>0</v>
      </c>
      <c r="W59" s="161"/>
      <c r="X59" s="161"/>
      <c r="Y59" s="161"/>
      <c r="Z59" s="161"/>
      <c r="AA59" s="160"/>
      <c r="AB59" s="3" t="s">
        <v>425</v>
      </c>
      <c r="AC59" s="3">
        <v>742000</v>
      </c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</row>
    <row r="60" spans="1:55" ht="30" customHeight="1">
      <c r="A60" s="160">
        <f t="shared" si="10"/>
        <v>56</v>
      </c>
      <c r="B60" s="30">
        <v>2079</v>
      </c>
      <c r="C60" s="160" t="s">
        <v>331</v>
      </c>
      <c r="D60" s="161">
        <v>3100000</v>
      </c>
      <c r="E60" s="161">
        <v>3100000</v>
      </c>
      <c r="F60" s="161">
        <f t="shared" si="0"/>
        <v>0</v>
      </c>
      <c r="G60" s="161">
        <f>1300000+400000</f>
        <v>1700000</v>
      </c>
      <c r="H60" s="161">
        <v>762647</v>
      </c>
      <c r="I60" s="161">
        <v>0</v>
      </c>
      <c r="J60" s="161">
        <v>64605</v>
      </c>
      <c r="K60" s="161">
        <f t="shared" si="3"/>
        <v>64605</v>
      </c>
      <c r="L60" s="161">
        <f t="shared" si="1"/>
        <v>827252</v>
      </c>
      <c r="M60" s="161">
        <f t="shared" si="4"/>
        <v>2272748</v>
      </c>
      <c r="N60" s="161"/>
      <c r="O60" s="161">
        <f t="shared" si="5"/>
        <v>0</v>
      </c>
      <c r="P60" s="161">
        <f t="shared" si="13"/>
        <v>872748</v>
      </c>
      <c r="Q60" s="161">
        <f>1800000-400000</f>
        <v>1400000</v>
      </c>
      <c r="R60" s="161"/>
      <c r="S60" s="161">
        <f t="shared" si="15"/>
        <v>1400000</v>
      </c>
      <c r="T60" s="161">
        <f t="shared" si="12"/>
        <v>0</v>
      </c>
      <c r="U60" s="161">
        <f t="shared" si="8"/>
        <v>0</v>
      </c>
      <c r="V60" s="161">
        <f t="shared" si="9"/>
        <v>0</v>
      </c>
      <c r="W60" s="161"/>
      <c r="X60" s="161"/>
      <c r="Y60" s="161"/>
      <c r="Z60" s="161"/>
      <c r="AA60" s="160"/>
      <c r="AB60" s="268" t="s">
        <v>874</v>
      </c>
      <c r="AC60" s="160">
        <v>840000</v>
      </c>
    </row>
    <row r="61" spans="1:55" ht="30" customHeight="1">
      <c r="A61" s="160">
        <f t="shared" si="10"/>
        <v>57</v>
      </c>
      <c r="B61" s="30">
        <v>2097</v>
      </c>
      <c r="C61" s="160" t="s">
        <v>332</v>
      </c>
      <c r="D61" s="161">
        <v>79000000</v>
      </c>
      <c r="E61" s="161">
        <v>79000000</v>
      </c>
      <c r="F61" s="161">
        <f t="shared" si="0"/>
        <v>0</v>
      </c>
      <c r="G61" s="161">
        <v>6000000</v>
      </c>
      <c r="H61" s="161">
        <v>2255166</v>
      </c>
      <c r="I61" s="161">
        <v>0</v>
      </c>
      <c r="J61" s="161">
        <v>2267861</v>
      </c>
      <c r="K61" s="161">
        <f t="shared" si="3"/>
        <v>2267861</v>
      </c>
      <c r="L61" s="161">
        <f t="shared" si="1"/>
        <v>4523027</v>
      </c>
      <c r="M61" s="161">
        <f t="shared" si="4"/>
        <v>1476973</v>
      </c>
      <c r="N61" s="161">
        <f>40000000-40000000</f>
        <v>0</v>
      </c>
      <c r="O61" s="161">
        <f t="shared" si="5"/>
        <v>73000000</v>
      </c>
      <c r="P61" s="161">
        <f t="shared" si="13"/>
        <v>1476973</v>
      </c>
      <c r="Q61" s="161"/>
      <c r="R61" s="161"/>
      <c r="S61" s="161">
        <f t="shared" si="15"/>
        <v>0</v>
      </c>
      <c r="T61" s="161">
        <f t="shared" si="12"/>
        <v>0</v>
      </c>
      <c r="U61" s="161">
        <f t="shared" si="8"/>
        <v>0</v>
      </c>
      <c r="V61" s="161">
        <f t="shared" si="9"/>
        <v>0</v>
      </c>
      <c r="W61" s="161"/>
      <c r="X61" s="161"/>
      <c r="Y61" s="161"/>
      <c r="Z61" s="161"/>
      <c r="AA61" s="161">
        <f>17149108-17149108</f>
        <v>0</v>
      </c>
      <c r="AB61" s="272" t="s">
        <v>2441</v>
      </c>
      <c r="AC61" s="160">
        <v>810000</v>
      </c>
    </row>
    <row r="62" spans="1:55" ht="30" customHeight="1">
      <c r="A62" s="160">
        <f t="shared" si="10"/>
        <v>58</v>
      </c>
      <c r="B62" s="30">
        <v>2099</v>
      </c>
      <c r="C62" s="160" t="s">
        <v>333</v>
      </c>
      <c r="D62" s="161">
        <v>12000000</v>
      </c>
      <c r="E62" s="161">
        <v>12000000</v>
      </c>
      <c r="F62" s="161">
        <f t="shared" si="0"/>
        <v>0</v>
      </c>
      <c r="G62" s="161">
        <v>750000</v>
      </c>
      <c r="H62" s="161">
        <v>415222</v>
      </c>
      <c r="I62" s="161">
        <v>0</v>
      </c>
      <c r="J62" s="161">
        <v>228705</v>
      </c>
      <c r="K62" s="161">
        <f t="shared" si="3"/>
        <v>228705</v>
      </c>
      <c r="L62" s="161">
        <f t="shared" si="1"/>
        <v>643927</v>
      </c>
      <c r="M62" s="161">
        <f t="shared" si="4"/>
        <v>1106073</v>
      </c>
      <c r="N62" s="161">
        <f>8250000+2000000-1000000</f>
        <v>9250000</v>
      </c>
      <c r="O62" s="161">
        <f t="shared" si="5"/>
        <v>1000000</v>
      </c>
      <c r="P62" s="161">
        <f t="shared" si="13"/>
        <v>106073</v>
      </c>
      <c r="Q62" s="161">
        <f>3000000-2000000</f>
        <v>1000000</v>
      </c>
      <c r="R62" s="161"/>
      <c r="S62" s="161">
        <f t="shared" si="15"/>
        <v>1000000</v>
      </c>
      <c r="T62" s="161">
        <f t="shared" si="12"/>
        <v>0</v>
      </c>
      <c r="U62" s="161">
        <f t="shared" si="8"/>
        <v>9250000</v>
      </c>
      <c r="V62" s="161">
        <f t="shared" si="9"/>
        <v>7250000</v>
      </c>
      <c r="W62" s="161"/>
      <c r="X62" s="161"/>
      <c r="Y62" s="161"/>
      <c r="Z62" s="161"/>
      <c r="AA62" s="161">
        <v>2000000</v>
      </c>
      <c r="AB62" s="289" t="s">
        <v>875</v>
      </c>
      <c r="AC62" s="160">
        <v>826000</v>
      </c>
    </row>
    <row r="63" spans="1:55" ht="30" customHeight="1">
      <c r="A63" s="160">
        <f t="shared" si="10"/>
        <v>59</v>
      </c>
      <c r="B63" s="30">
        <v>2101</v>
      </c>
      <c r="C63" s="160" t="s">
        <v>643</v>
      </c>
      <c r="D63" s="161">
        <v>24200000</v>
      </c>
      <c r="E63" s="161">
        <v>24200000</v>
      </c>
      <c r="F63" s="161">
        <f t="shared" si="0"/>
        <v>0</v>
      </c>
      <c r="G63" s="161">
        <v>1500000</v>
      </c>
      <c r="H63" s="161">
        <v>14882</v>
      </c>
      <c r="I63" s="161">
        <v>0</v>
      </c>
      <c r="J63" s="161">
        <v>202773</v>
      </c>
      <c r="K63" s="161">
        <f t="shared" si="3"/>
        <v>202773</v>
      </c>
      <c r="L63" s="161">
        <f t="shared" si="1"/>
        <v>217655</v>
      </c>
      <c r="M63" s="161">
        <f t="shared" si="4"/>
        <v>1282345</v>
      </c>
      <c r="N63" s="161"/>
      <c r="O63" s="161">
        <f t="shared" si="5"/>
        <v>22700000</v>
      </c>
      <c r="P63" s="161">
        <f t="shared" si="13"/>
        <v>1282345</v>
      </c>
      <c r="Q63" s="161"/>
      <c r="R63" s="161"/>
      <c r="S63" s="161">
        <f t="shared" si="15"/>
        <v>0</v>
      </c>
      <c r="T63" s="161">
        <f t="shared" si="12"/>
        <v>0</v>
      </c>
      <c r="U63" s="161">
        <f t="shared" si="8"/>
        <v>0</v>
      </c>
      <c r="V63" s="161">
        <f t="shared" si="9"/>
        <v>0</v>
      </c>
      <c r="W63" s="161"/>
      <c r="X63" s="161"/>
      <c r="Y63" s="161"/>
      <c r="Z63" s="161"/>
      <c r="AA63" s="160"/>
      <c r="AB63" s="289" t="s">
        <v>600</v>
      </c>
      <c r="AC63" s="160">
        <v>840000</v>
      </c>
    </row>
    <row r="64" spans="1:55" ht="30" customHeight="1">
      <c r="A64" s="160">
        <f t="shared" si="10"/>
        <v>60</v>
      </c>
      <c r="B64" s="30">
        <v>2102</v>
      </c>
      <c r="C64" s="160" t="s">
        <v>334</v>
      </c>
      <c r="D64" s="161">
        <v>1750000</v>
      </c>
      <c r="E64" s="161">
        <v>1750000</v>
      </c>
      <c r="F64" s="161">
        <f t="shared" ref="F64:F111" si="16">D64-E64</f>
        <v>0</v>
      </c>
      <c r="G64" s="161">
        <v>150000</v>
      </c>
      <c r="H64" s="161">
        <v>122473</v>
      </c>
      <c r="I64" s="161">
        <v>0</v>
      </c>
      <c r="J64" s="161">
        <v>0</v>
      </c>
      <c r="K64" s="161">
        <f t="shared" si="3"/>
        <v>0</v>
      </c>
      <c r="L64" s="161">
        <f t="shared" ref="L64:L101" si="17">K64+H64</f>
        <v>122473</v>
      </c>
      <c r="M64" s="161">
        <f t="shared" ref="M64:M111" si="18">P64+S64</f>
        <v>27527</v>
      </c>
      <c r="N64" s="161">
        <f>1600000-1600000</f>
        <v>0</v>
      </c>
      <c r="O64" s="161">
        <f t="shared" si="5"/>
        <v>1600000</v>
      </c>
      <c r="P64" s="161">
        <f t="shared" si="13"/>
        <v>27527</v>
      </c>
      <c r="Q64" s="161"/>
      <c r="R64" s="161"/>
      <c r="S64" s="161">
        <f t="shared" si="15"/>
        <v>0</v>
      </c>
      <c r="T64" s="161">
        <f t="shared" si="12"/>
        <v>0</v>
      </c>
      <c r="U64" s="161">
        <f t="shared" si="8"/>
        <v>0</v>
      </c>
      <c r="V64" s="161">
        <f t="shared" si="9"/>
        <v>0</v>
      </c>
      <c r="W64" s="161"/>
      <c r="X64" s="161"/>
      <c r="Y64" s="161"/>
      <c r="Z64" s="161"/>
      <c r="AA64" s="160"/>
      <c r="AB64" s="272" t="s">
        <v>785</v>
      </c>
      <c r="AC64" s="160">
        <v>820000</v>
      </c>
    </row>
    <row r="65" spans="1:55" ht="30" customHeight="1">
      <c r="A65" s="160">
        <f t="shared" si="10"/>
        <v>61</v>
      </c>
      <c r="B65" s="30">
        <v>2103</v>
      </c>
      <c r="C65" s="160" t="s">
        <v>382</v>
      </c>
      <c r="D65" s="161">
        <f>2500000+1700000</f>
        <v>4200000</v>
      </c>
      <c r="E65" s="161">
        <v>2500000</v>
      </c>
      <c r="F65" s="161">
        <f t="shared" si="16"/>
        <v>1700000</v>
      </c>
      <c r="G65" s="161">
        <v>1000000</v>
      </c>
      <c r="H65" s="161">
        <v>317595</v>
      </c>
      <c r="I65" s="161">
        <v>0</v>
      </c>
      <c r="J65" s="161">
        <v>532970</v>
      </c>
      <c r="K65" s="161">
        <f t="shared" ref="K65:K86" si="19">SUM(I65:J65)</f>
        <v>532970</v>
      </c>
      <c r="L65" s="161">
        <f t="shared" si="17"/>
        <v>850565</v>
      </c>
      <c r="M65" s="161">
        <f t="shared" si="18"/>
        <v>149435</v>
      </c>
      <c r="N65" s="161">
        <f>3200000-1700000</f>
        <v>1500000</v>
      </c>
      <c r="O65" s="161">
        <f t="shared" ref="O65:O111" si="20">D65-L65-M65-N65</f>
        <v>1700000</v>
      </c>
      <c r="P65" s="161">
        <f t="shared" ref="P65:P128" si="21">G65-L65</f>
        <v>149435</v>
      </c>
      <c r="Q65" s="161"/>
      <c r="R65" s="161"/>
      <c r="S65" s="161">
        <f t="shared" si="15"/>
        <v>0</v>
      </c>
      <c r="T65" s="161">
        <f t="shared" si="12"/>
        <v>0</v>
      </c>
      <c r="U65" s="161">
        <f t="shared" ref="U65:U91" si="22">N65-T65</f>
        <v>1500000</v>
      </c>
      <c r="V65" s="161">
        <f t="shared" ref="V65:V86" si="23">U65-Z65-X65-AA65-W65</f>
        <v>0</v>
      </c>
      <c r="W65" s="161">
        <v>1500000</v>
      </c>
      <c r="X65" s="161"/>
      <c r="Y65" s="161"/>
      <c r="Z65" s="161"/>
      <c r="AA65" s="160"/>
      <c r="AB65" s="272" t="s">
        <v>1665</v>
      </c>
      <c r="AC65" s="160">
        <v>848000</v>
      </c>
    </row>
    <row r="66" spans="1:55" s="6" customFormat="1" ht="30" customHeight="1">
      <c r="A66" s="160">
        <f t="shared" si="10"/>
        <v>62</v>
      </c>
      <c r="B66" s="30">
        <v>2106</v>
      </c>
      <c r="C66" s="3" t="s">
        <v>476</v>
      </c>
      <c r="D66" s="4">
        <v>15000000</v>
      </c>
      <c r="E66" s="4">
        <v>15000000</v>
      </c>
      <c r="F66" s="161">
        <f t="shared" si="16"/>
        <v>0</v>
      </c>
      <c r="G66" s="4">
        <v>4000000</v>
      </c>
      <c r="H66" s="4">
        <v>241447</v>
      </c>
      <c r="I66" s="4">
        <v>0</v>
      </c>
      <c r="J66" s="4">
        <v>528653</v>
      </c>
      <c r="K66" s="161">
        <f t="shared" si="19"/>
        <v>528653</v>
      </c>
      <c r="L66" s="161">
        <f t="shared" si="17"/>
        <v>770100</v>
      </c>
      <c r="M66" s="161">
        <f t="shared" si="18"/>
        <v>3229900</v>
      </c>
      <c r="N66" s="161"/>
      <c r="O66" s="161">
        <f t="shared" si="20"/>
        <v>11000000</v>
      </c>
      <c r="P66" s="161">
        <f t="shared" si="21"/>
        <v>3229900</v>
      </c>
      <c r="Q66" s="161"/>
      <c r="R66" s="161"/>
      <c r="S66" s="161">
        <f t="shared" si="15"/>
        <v>0</v>
      </c>
      <c r="T66" s="161">
        <f t="shared" si="12"/>
        <v>0</v>
      </c>
      <c r="U66" s="161">
        <f t="shared" si="22"/>
        <v>0</v>
      </c>
      <c r="V66" s="161">
        <f t="shared" si="23"/>
        <v>0</v>
      </c>
      <c r="W66" s="161"/>
      <c r="X66" s="161"/>
      <c r="Y66" s="161"/>
      <c r="Z66" s="161"/>
      <c r="AA66" s="160"/>
      <c r="AB66" s="272" t="s">
        <v>786</v>
      </c>
      <c r="AC66" s="3">
        <v>742000</v>
      </c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</row>
    <row r="67" spans="1:55" s="5" customFormat="1" ht="30" customHeight="1">
      <c r="A67" s="160">
        <f t="shared" si="10"/>
        <v>63</v>
      </c>
      <c r="B67" s="30">
        <v>2109</v>
      </c>
      <c r="C67" s="3" t="s">
        <v>313</v>
      </c>
      <c r="D67" s="4">
        <v>2000000</v>
      </c>
      <c r="E67" s="4">
        <v>2000000</v>
      </c>
      <c r="F67" s="161">
        <f t="shared" si="16"/>
        <v>0</v>
      </c>
      <c r="G67" s="4">
        <v>150000</v>
      </c>
      <c r="H67" s="4">
        <v>18976</v>
      </c>
      <c r="I67" s="4">
        <v>0</v>
      </c>
      <c r="J67" s="4">
        <v>103781</v>
      </c>
      <c r="K67" s="161">
        <f t="shared" si="19"/>
        <v>103781</v>
      </c>
      <c r="L67" s="161">
        <f t="shared" si="17"/>
        <v>122757</v>
      </c>
      <c r="M67" s="161">
        <f t="shared" si="18"/>
        <v>377243</v>
      </c>
      <c r="N67" s="161">
        <f>1500000-600000-200000</f>
        <v>700000</v>
      </c>
      <c r="O67" s="161">
        <f t="shared" si="20"/>
        <v>800000</v>
      </c>
      <c r="P67" s="161">
        <f t="shared" si="21"/>
        <v>27243</v>
      </c>
      <c r="Q67" s="161">
        <v>350000</v>
      </c>
      <c r="R67" s="161"/>
      <c r="S67" s="161">
        <f t="shared" si="15"/>
        <v>350000</v>
      </c>
      <c r="T67" s="161">
        <f t="shared" si="12"/>
        <v>0</v>
      </c>
      <c r="U67" s="161">
        <f t="shared" si="22"/>
        <v>700000</v>
      </c>
      <c r="V67" s="161">
        <f t="shared" si="23"/>
        <v>700000</v>
      </c>
      <c r="W67" s="161"/>
      <c r="X67" s="161"/>
      <c r="Y67" s="161"/>
      <c r="Z67" s="161"/>
      <c r="AA67" s="160"/>
      <c r="AB67" s="3" t="s">
        <v>837</v>
      </c>
      <c r="AC67" s="3">
        <v>742000</v>
      </c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</row>
    <row r="68" spans="1:55" s="5" customFormat="1" ht="30" customHeight="1">
      <c r="A68" s="160">
        <f t="shared" si="10"/>
        <v>64</v>
      </c>
      <c r="B68" s="30">
        <v>2110</v>
      </c>
      <c r="C68" s="3" t="s">
        <v>314</v>
      </c>
      <c r="D68" s="4">
        <v>16000000</v>
      </c>
      <c r="E68" s="4">
        <v>16000000</v>
      </c>
      <c r="F68" s="161">
        <f t="shared" si="16"/>
        <v>0</v>
      </c>
      <c r="G68" s="4">
        <v>100000</v>
      </c>
      <c r="H68" s="4">
        <v>0</v>
      </c>
      <c r="I68" s="4">
        <v>0</v>
      </c>
      <c r="J68" s="4">
        <v>0</v>
      </c>
      <c r="K68" s="161">
        <f t="shared" si="19"/>
        <v>0</v>
      </c>
      <c r="L68" s="161">
        <f t="shared" si="17"/>
        <v>0</v>
      </c>
      <c r="M68" s="161">
        <f t="shared" si="18"/>
        <v>200000</v>
      </c>
      <c r="N68" s="161"/>
      <c r="O68" s="161">
        <f t="shared" si="20"/>
        <v>15800000</v>
      </c>
      <c r="P68" s="161">
        <f t="shared" si="21"/>
        <v>100000</v>
      </c>
      <c r="Q68" s="161">
        <v>100000</v>
      </c>
      <c r="R68" s="161"/>
      <c r="S68" s="161">
        <f t="shared" si="15"/>
        <v>100000</v>
      </c>
      <c r="T68" s="161">
        <f t="shared" si="12"/>
        <v>0</v>
      </c>
      <c r="U68" s="161">
        <f t="shared" si="22"/>
        <v>0</v>
      </c>
      <c r="V68" s="161">
        <f t="shared" si="23"/>
        <v>0</v>
      </c>
      <c r="W68" s="161"/>
      <c r="X68" s="161"/>
      <c r="Y68" s="161"/>
      <c r="Z68" s="161"/>
      <c r="AA68" s="160"/>
      <c r="AB68" s="3" t="s">
        <v>876</v>
      </c>
      <c r="AC68" s="3">
        <v>742000</v>
      </c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</row>
    <row r="69" spans="1:55" s="5" customFormat="1" ht="30" customHeight="1">
      <c r="A69" s="160">
        <f t="shared" si="10"/>
        <v>65</v>
      </c>
      <c r="B69" s="30">
        <v>2111</v>
      </c>
      <c r="C69" s="3" t="s">
        <v>315</v>
      </c>
      <c r="D69" s="4">
        <f>10240000+4960000</f>
        <v>15200000</v>
      </c>
      <c r="E69" s="4">
        <v>10240000</v>
      </c>
      <c r="F69" s="161">
        <f t="shared" si="16"/>
        <v>4960000</v>
      </c>
      <c r="G69" s="4">
        <v>100000</v>
      </c>
      <c r="H69" s="4">
        <v>0</v>
      </c>
      <c r="I69" s="4">
        <v>0</v>
      </c>
      <c r="J69" s="4">
        <v>0</v>
      </c>
      <c r="K69" s="161">
        <f t="shared" si="19"/>
        <v>0</v>
      </c>
      <c r="L69" s="161">
        <f t="shared" si="17"/>
        <v>0</v>
      </c>
      <c r="M69" s="161">
        <f t="shared" si="18"/>
        <v>200000</v>
      </c>
      <c r="N69" s="161">
        <f>10040000-2540000-7200000</f>
        <v>300000</v>
      </c>
      <c r="O69" s="161">
        <f t="shared" si="20"/>
        <v>14700000</v>
      </c>
      <c r="P69" s="161">
        <f t="shared" si="21"/>
        <v>100000</v>
      </c>
      <c r="Q69" s="161">
        <v>100000</v>
      </c>
      <c r="R69" s="161"/>
      <c r="S69" s="161">
        <f t="shared" si="15"/>
        <v>100000</v>
      </c>
      <c r="T69" s="161">
        <f t="shared" si="12"/>
        <v>0</v>
      </c>
      <c r="U69" s="161">
        <f t="shared" si="22"/>
        <v>300000</v>
      </c>
      <c r="V69" s="161">
        <f t="shared" si="23"/>
        <v>300000</v>
      </c>
      <c r="W69" s="161"/>
      <c r="X69" s="161"/>
      <c r="Y69" s="161"/>
      <c r="Z69" s="161"/>
      <c r="AA69" s="160"/>
      <c r="AB69" s="255" t="s">
        <v>787</v>
      </c>
      <c r="AC69" s="3">
        <v>742000</v>
      </c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</row>
    <row r="70" spans="1:55" s="6" customFormat="1" ht="30" customHeight="1">
      <c r="A70" s="160">
        <f t="shared" ref="A70:A111" si="24">A69+1</f>
        <v>66</v>
      </c>
      <c r="B70" s="30">
        <v>2115</v>
      </c>
      <c r="C70" s="3" t="s">
        <v>317</v>
      </c>
      <c r="D70" s="4">
        <v>3100000</v>
      </c>
      <c r="E70" s="4">
        <v>3100000</v>
      </c>
      <c r="F70" s="161">
        <f t="shared" si="16"/>
        <v>0</v>
      </c>
      <c r="G70" s="4">
        <v>2000000</v>
      </c>
      <c r="H70" s="4">
        <v>1139002</v>
      </c>
      <c r="I70" s="4">
        <v>0</v>
      </c>
      <c r="J70" s="4">
        <v>102262</v>
      </c>
      <c r="K70" s="161">
        <f t="shared" si="19"/>
        <v>102262</v>
      </c>
      <c r="L70" s="161">
        <f t="shared" si="17"/>
        <v>1241264</v>
      </c>
      <c r="M70" s="161">
        <f t="shared" si="18"/>
        <v>1858736</v>
      </c>
      <c r="N70" s="161"/>
      <c r="O70" s="161">
        <f t="shared" si="20"/>
        <v>0</v>
      </c>
      <c r="P70" s="161">
        <f t="shared" si="21"/>
        <v>758736</v>
      </c>
      <c r="Q70" s="161">
        <v>1100000</v>
      </c>
      <c r="R70" s="161"/>
      <c r="S70" s="161">
        <f t="shared" si="15"/>
        <v>1100000</v>
      </c>
      <c r="T70" s="161">
        <f t="shared" si="12"/>
        <v>0</v>
      </c>
      <c r="U70" s="161">
        <f t="shared" si="22"/>
        <v>0</v>
      </c>
      <c r="V70" s="161">
        <f t="shared" si="23"/>
        <v>0</v>
      </c>
      <c r="W70" s="161"/>
      <c r="X70" s="161"/>
      <c r="Y70" s="161"/>
      <c r="Z70" s="161"/>
      <c r="AA70" s="160"/>
      <c r="AB70" s="3" t="s">
        <v>1676</v>
      </c>
      <c r="AC70" s="3">
        <v>732000</v>
      </c>
      <c r="AD70" s="154"/>
      <c r="AE70" s="154"/>
      <c r="AF70" s="154"/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54"/>
      <c r="BA70" s="154"/>
      <c r="BB70" s="154"/>
      <c r="BC70" s="154"/>
    </row>
    <row r="71" spans="1:55" s="6" customFormat="1" ht="45">
      <c r="A71" s="160">
        <f t="shared" si="24"/>
        <v>67</v>
      </c>
      <c r="B71" s="30">
        <v>2118</v>
      </c>
      <c r="C71" s="3" t="s">
        <v>318</v>
      </c>
      <c r="D71" s="4">
        <v>2600000</v>
      </c>
      <c r="E71" s="4">
        <v>2600000</v>
      </c>
      <c r="F71" s="161">
        <f t="shared" si="16"/>
        <v>0</v>
      </c>
      <c r="G71" s="4">
        <v>2600000</v>
      </c>
      <c r="H71" s="4">
        <v>2020883</v>
      </c>
      <c r="I71" s="4">
        <v>0</v>
      </c>
      <c r="J71" s="4">
        <v>214849</v>
      </c>
      <c r="K71" s="161">
        <f t="shared" si="19"/>
        <v>214849</v>
      </c>
      <c r="L71" s="161">
        <f t="shared" si="17"/>
        <v>2235732</v>
      </c>
      <c r="M71" s="161">
        <f t="shared" si="18"/>
        <v>364268</v>
      </c>
      <c r="N71" s="161"/>
      <c r="O71" s="161">
        <f t="shared" si="20"/>
        <v>0</v>
      </c>
      <c r="P71" s="161">
        <f t="shared" si="21"/>
        <v>364268</v>
      </c>
      <c r="Q71" s="161"/>
      <c r="R71" s="161"/>
      <c r="S71" s="161">
        <f t="shared" si="15"/>
        <v>0</v>
      </c>
      <c r="T71" s="161">
        <f t="shared" ref="T71:T91" si="25">P71-M71+S71</f>
        <v>0</v>
      </c>
      <c r="U71" s="161">
        <f t="shared" si="22"/>
        <v>0</v>
      </c>
      <c r="V71" s="161">
        <f t="shared" si="23"/>
        <v>0</v>
      </c>
      <c r="W71" s="161"/>
      <c r="X71" s="161"/>
      <c r="Y71" s="161"/>
      <c r="Z71" s="161"/>
      <c r="AA71" s="160"/>
      <c r="AB71" s="256" t="s">
        <v>705</v>
      </c>
      <c r="AC71" s="3">
        <v>746000</v>
      </c>
      <c r="AD71" s="154"/>
      <c r="AE71" s="154"/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</row>
    <row r="72" spans="1:55" s="5" customFormat="1" ht="30" customHeight="1">
      <c r="A72" s="160">
        <f t="shared" si="24"/>
        <v>68</v>
      </c>
      <c r="B72" s="30">
        <v>2119</v>
      </c>
      <c r="C72" s="3" t="s">
        <v>319</v>
      </c>
      <c r="D72" s="4">
        <v>2500000</v>
      </c>
      <c r="E72" s="4">
        <v>2500000</v>
      </c>
      <c r="F72" s="161">
        <f t="shared" si="16"/>
        <v>0</v>
      </c>
      <c r="G72" s="4">
        <v>1100000</v>
      </c>
      <c r="H72" s="4">
        <v>110870</v>
      </c>
      <c r="I72" s="4">
        <v>0</v>
      </c>
      <c r="J72" s="4">
        <v>0</v>
      </c>
      <c r="K72" s="161">
        <f t="shared" si="19"/>
        <v>0</v>
      </c>
      <c r="L72" s="161">
        <f t="shared" si="17"/>
        <v>110870</v>
      </c>
      <c r="M72" s="161">
        <f t="shared" si="18"/>
        <v>989130</v>
      </c>
      <c r="N72" s="161">
        <f>1400000-1400000</f>
        <v>0</v>
      </c>
      <c r="O72" s="161">
        <f t="shared" si="20"/>
        <v>1400000</v>
      </c>
      <c r="P72" s="161">
        <f t="shared" si="21"/>
        <v>989130</v>
      </c>
      <c r="Q72" s="161"/>
      <c r="R72" s="161"/>
      <c r="S72" s="161">
        <f t="shared" si="15"/>
        <v>0</v>
      </c>
      <c r="T72" s="161">
        <f t="shared" si="25"/>
        <v>0</v>
      </c>
      <c r="U72" s="161">
        <f t="shared" si="22"/>
        <v>0</v>
      </c>
      <c r="V72" s="161">
        <f t="shared" si="23"/>
        <v>0</v>
      </c>
      <c r="W72" s="161"/>
      <c r="X72" s="161"/>
      <c r="Y72" s="161"/>
      <c r="Z72" s="161"/>
      <c r="AA72" s="160"/>
      <c r="AB72" s="3" t="s">
        <v>320</v>
      </c>
      <c r="AC72" s="3">
        <v>742000</v>
      </c>
      <c r="AD72" s="154"/>
      <c r="AE72" s="154"/>
      <c r="AF72" s="154"/>
      <c r="AG72" s="154"/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4"/>
      <c r="BB72" s="154"/>
      <c r="BC72" s="154"/>
    </row>
    <row r="73" spans="1:55" s="5" customFormat="1" ht="30" customHeight="1">
      <c r="A73" s="160">
        <f t="shared" si="24"/>
        <v>69</v>
      </c>
      <c r="B73" s="30">
        <v>2126</v>
      </c>
      <c r="C73" s="3" t="s">
        <v>496</v>
      </c>
      <c r="D73" s="4">
        <v>1975000</v>
      </c>
      <c r="E73" s="4">
        <v>1975000</v>
      </c>
      <c r="F73" s="161">
        <f t="shared" si="16"/>
        <v>0</v>
      </c>
      <c r="G73" s="4">
        <v>0</v>
      </c>
      <c r="H73" s="4">
        <v>0</v>
      </c>
      <c r="I73" s="4">
        <v>0</v>
      </c>
      <c r="J73" s="4">
        <v>0</v>
      </c>
      <c r="K73" s="161">
        <f t="shared" si="19"/>
        <v>0</v>
      </c>
      <c r="L73" s="161">
        <f t="shared" si="17"/>
        <v>0</v>
      </c>
      <c r="M73" s="161">
        <f t="shared" si="18"/>
        <v>0</v>
      </c>
      <c r="N73" s="161"/>
      <c r="O73" s="161">
        <f t="shared" si="20"/>
        <v>1975000</v>
      </c>
      <c r="P73" s="161">
        <f t="shared" si="21"/>
        <v>0</v>
      </c>
      <c r="Q73" s="161"/>
      <c r="R73" s="161"/>
      <c r="S73" s="161">
        <f t="shared" si="15"/>
        <v>0</v>
      </c>
      <c r="T73" s="161">
        <f t="shared" si="25"/>
        <v>0</v>
      </c>
      <c r="U73" s="161">
        <f t="shared" si="22"/>
        <v>0</v>
      </c>
      <c r="V73" s="161">
        <f t="shared" si="23"/>
        <v>0</v>
      </c>
      <c r="W73" s="161"/>
      <c r="X73" s="161"/>
      <c r="Y73" s="161"/>
      <c r="Z73" s="161"/>
      <c r="AA73" s="160"/>
      <c r="AB73" s="3" t="s">
        <v>788</v>
      </c>
      <c r="AC73" s="3">
        <v>742000</v>
      </c>
      <c r="AD73" s="154"/>
      <c r="AE73" s="154"/>
      <c r="AF73" s="154"/>
      <c r="AG73" s="154"/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</row>
    <row r="74" spans="1:55" s="6" customFormat="1" ht="30" customHeight="1">
      <c r="A74" s="160">
        <f t="shared" si="24"/>
        <v>70</v>
      </c>
      <c r="B74" s="30">
        <v>2127</v>
      </c>
      <c r="C74" s="3" t="s">
        <v>498</v>
      </c>
      <c r="D74" s="4">
        <v>2259000</v>
      </c>
      <c r="E74" s="4">
        <v>2259000</v>
      </c>
      <c r="F74" s="161">
        <f t="shared" si="16"/>
        <v>0</v>
      </c>
      <c r="G74" s="4">
        <v>1000000</v>
      </c>
      <c r="H74" s="4">
        <v>252909</v>
      </c>
      <c r="I74" s="4">
        <v>0</v>
      </c>
      <c r="J74" s="4">
        <v>746171</v>
      </c>
      <c r="K74" s="161">
        <f t="shared" si="19"/>
        <v>746171</v>
      </c>
      <c r="L74" s="161">
        <f t="shared" si="17"/>
        <v>999080</v>
      </c>
      <c r="M74" s="161">
        <f t="shared" si="18"/>
        <v>920</v>
      </c>
      <c r="N74" s="161">
        <v>1259000</v>
      </c>
      <c r="O74" s="161">
        <f t="shared" si="20"/>
        <v>0</v>
      </c>
      <c r="P74" s="161">
        <f t="shared" si="21"/>
        <v>920</v>
      </c>
      <c r="Q74" s="161">
        <f>1259000-1259000</f>
        <v>0</v>
      </c>
      <c r="R74" s="161"/>
      <c r="S74" s="161">
        <f t="shared" si="15"/>
        <v>0</v>
      </c>
      <c r="T74" s="161">
        <f t="shared" si="25"/>
        <v>0</v>
      </c>
      <c r="U74" s="161">
        <f t="shared" si="22"/>
        <v>1259000</v>
      </c>
      <c r="V74" s="161">
        <f t="shared" si="23"/>
        <v>0</v>
      </c>
      <c r="W74" s="161"/>
      <c r="X74" s="161"/>
      <c r="Y74" s="161"/>
      <c r="Z74" s="161"/>
      <c r="AA74" s="161">
        <v>1259000</v>
      </c>
      <c r="AB74" s="3" t="s">
        <v>2340</v>
      </c>
      <c r="AC74" s="3">
        <v>747000</v>
      </c>
      <c r="AD74" s="154"/>
      <c r="AE74" s="154"/>
      <c r="AF74" s="154"/>
      <c r="AG74" s="154"/>
      <c r="AH74" s="154"/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</row>
    <row r="75" spans="1:55" s="6" customFormat="1" ht="30" customHeight="1">
      <c r="A75" s="160">
        <f t="shared" si="24"/>
        <v>71</v>
      </c>
      <c r="B75" s="30">
        <v>2130</v>
      </c>
      <c r="C75" s="3" t="s">
        <v>525</v>
      </c>
      <c r="D75" s="4">
        <v>500000</v>
      </c>
      <c r="E75" s="4">
        <v>500000</v>
      </c>
      <c r="F75" s="161">
        <f t="shared" si="16"/>
        <v>0</v>
      </c>
      <c r="G75" s="4">
        <v>500000</v>
      </c>
      <c r="H75" s="4">
        <v>7441</v>
      </c>
      <c r="I75" s="4">
        <v>0</v>
      </c>
      <c r="J75" s="4">
        <v>0</v>
      </c>
      <c r="K75" s="161">
        <f t="shared" si="19"/>
        <v>0</v>
      </c>
      <c r="L75" s="161">
        <f t="shared" si="17"/>
        <v>7441</v>
      </c>
      <c r="M75" s="161">
        <f t="shared" si="18"/>
        <v>492559</v>
      </c>
      <c r="N75" s="161"/>
      <c r="O75" s="161">
        <f t="shared" si="20"/>
        <v>0</v>
      </c>
      <c r="P75" s="161">
        <f t="shared" si="21"/>
        <v>492559</v>
      </c>
      <c r="Q75" s="161"/>
      <c r="R75" s="161"/>
      <c r="S75" s="161">
        <f t="shared" si="15"/>
        <v>0</v>
      </c>
      <c r="T75" s="161">
        <f t="shared" si="25"/>
        <v>0</v>
      </c>
      <c r="U75" s="161">
        <f t="shared" si="22"/>
        <v>0</v>
      </c>
      <c r="V75" s="161">
        <f t="shared" si="23"/>
        <v>0</v>
      </c>
      <c r="W75" s="161"/>
      <c r="X75" s="161"/>
      <c r="Y75" s="161"/>
      <c r="Z75" s="161"/>
      <c r="AA75" s="160"/>
      <c r="AB75" s="3" t="s">
        <v>838</v>
      </c>
      <c r="AC75" s="3">
        <v>810000</v>
      </c>
      <c r="AD75" s="154"/>
      <c r="AE75" s="154"/>
      <c r="AF75" s="154"/>
      <c r="AG75" s="154"/>
      <c r="AH75" s="154"/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54"/>
      <c r="AY75" s="154"/>
      <c r="AZ75" s="154"/>
      <c r="BA75" s="154"/>
      <c r="BB75" s="154"/>
      <c r="BC75" s="154"/>
    </row>
    <row r="76" spans="1:55" s="5" customFormat="1" ht="30" customHeight="1">
      <c r="A76" s="160">
        <f t="shared" si="24"/>
        <v>72</v>
      </c>
      <c r="B76" s="30">
        <v>2147</v>
      </c>
      <c r="C76" s="3" t="s">
        <v>529</v>
      </c>
      <c r="D76" s="4">
        <f>6500000-1000000</f>
        <v>5500000</v>
      </c>
      <c r="E76" s="4">
        <v>6500000</v>
      </c>
      <c r="F76" s="161">
        <f t="shared" si="16"/>
        <v>-1000000</v>
      </c>
      <c r="G76" s="4">
        <v>6500000</v>
      </c>
      <c r="H76" s="4">
        <v>4570582</v>
      </c>
      <c r="I76" s="4">
        <v>0</v>
      </c>
      <c r="J76" s="4">
        <v>383745</v>
      </c>
      <c r="K76" s="161">
        <f t="shared" si="19"/>
        <v>383745</v>
      </c>
      <c r="L76" s="161">
        <f t="shared" si="17"/>
        <v>4954327</v>
      </c>
      <c r="M76" s="161">
        <f>P76+S76-1000000</f>
        <v>545673</v>
      </c>
      <c r="N76" s="161"/>
      <c r="O76" s="161">
        <f t="shared" si="20"/>
        <v>0</v>
      </c>
      <c r="P76" s="161">
        <f t="shared" si="21"/>
        <v>1545673</v>
      </c>
      <c r="Q76" s="161"/>
      <c r="R76" s="161"/>
      <c r="S76" s="161">
        <f t="shared" si="15"/>
        <v>0</v>
      </c>
      <c r="T76" s="161">
        <f t="shared" si="25"/>
        <v>1000000</v>
      </c>
      <c r="U76" s="161">
        <f t="shared" si="22"/>
        <v>-1000000</v>
      </c>
      <c r="V76" s="161">
        <f t="shared" si="23"/>
        <v>-1000000</v>
      </c>
      <c r="W76" s="161"/>
      <c r="X76" s="161"/>
      <c r="Y76" s="161"/>
      <c r="Z76" s="161"/>
      <c r="AA76" s="160"/>
      <c r="AB76" s="3" t="s">
        <v>2312</v>
      </c>
      <c r="AC76" s="3">
        <v>810000</v>
      </c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</row>
    <row r="77" spans="1:55" s="5" customFormat="1" ht="30" customHeight="1">
      <c r="A77" s="160">
        <f t="shared" si="24"/>
        <v>73</v>
      </c>
      <c r="B77" s="30">
        <v>2149</v>
      </c>
      <c r="C77" s="30" t="s">
        <v>2433</v>
      </c>
      <c r="D77" s="4">
        <v>2000000</v>
      </c>
      <c r="E77" s="4">
        <v>2000000</v>
      </c>
      <c r="F77" s="161">
        <f t="shared" si="16"/>
        <v>0</v>
      </c>
      <c r="G77" s="4">
        <v>2000000</v>
      </c>
      <c r="H77" s="4">
        <v>348809</v>
      </c>
      <c r="I77" s="4">
        <v>0</v>
      </c>
      <c r="J77" s="4">
        <v>148526</v>
      </c>
      <c r="K77" s="161">
        <f t="shared" si="19"/>
        <v>148526</v>
      </c>
      <c r="L77" s="161">
        <f t="shared" si="17"/>
        <v>497335</v>
      </c>
      <c r="M77" s="161">
        <f t="shared" si="18"/>
        <v>1502665</v>
      </c>
      <c r="N77" s="161"/>
      <c r="O77" s="161">
        <f t="shared" si="20"/>
        <v>0</v>
      </c>
      <c r="P77" s="161">
        <f t="shared" si="21"/>
        <v>1502665</v>
      </c>
      <c r="Q77" s="161"/>
      <c r="R77" s="161"/>
      <c r="S77" s="161">
        <f t="shared" si="15"/>
        <v>0</v>
      </c>
      <c r="T77" s="161">
        <f t="shared" si="25"/>
        <v>0</v>
      </c>
      <c r="U77" s="161">
        <f t="shared" si="22"/>
        <v>0</v>
      </c>
      <c r="V77" s="161">
        <f t="shared" si="23"/>
        <v>0</v>
      </c>
      <c r="W77" s="161"/>
      <c r="X77" s="161"/>
      <c r="Y77" s="161"/>
      <c r="Z77" s="161"/>
      <c r="AA77" s="160"/>
      <c r="AB77" s="3" t="s">
        <v>2442</v>
      </c>
      <c r="AC77" s="3">
        <v>810000</v>
      </c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</row>
    <row r="78" spans="1:55" s="5" customFormat="1" ht="30" customHeight="1">
      <c r="A78" s="160">
        <f t="shared" si="24"/>
        <v>74</v>
      </c>
      <c r="B78" s="30">
        <v>2150</v>
      </c>
      <c r="C78" s="30" t="s">
        <v>907</v>
      </c>
      <c r="D78" s="4">
        <v>23500000</v>
      </c>
      <c r="E78" s="4">
        <v>23500000</v>
      </c>
      <c r="F78" s="161">
        <f t="shared" si="16"/>
        <v>0</v>
      </c>
      <c r="G78" s="4">
        <v>1100000</v>
      </c>
      <c r="H78" s="4">
        <v>542641</v>
      </c>
      <c r="I78" s="4">
        <v>0</v>
      </c>
      <c r="J78" s="4">
        <v>171823</v>
      </c>
      <c r="K78" s="161">
        <f t="shared" si="19"/>
        <v>171823</v>
      </c>
      <c r="L78" s="161">
        <f t="shared" si="17"/>
        <v>714464</v>
      </c>
      <c r="M78" s="161">
        <f t="shared" si="18"/>
        <v>9435536</v>
      </c>
      <c r="N78" s="161">
        <f>13350000-3350000-1000000</f>
        <v>9000000</v>
      </c>
      <c r="O78" s="161">
        <f t="shared" si="20"/>
        <v>4350000</v>
      </c>
      <c r="P78" s="161">
        <f t="shared" si="21"/>
        <v>385536</v>
      </c>
      <c r="Q78" s="161">
        <v>9050000</v>
      </c>
      <c r="R78" s="161"/>
      <c r="S78" s="161">
        <f t="shared" si="15"/>
        <v>9050000</v>
      </c>
      <c r="T78" s="161">
        <f t="shared" si="25"/>
        <v>0</v>
      </c>
      <c r="U78" s="161">
        <f t="shared" si="22"/>
        <v>9000000</v>
      </c>
      <c r="V78" s="161">
        <f t="shared" si="23"/>
        <v>9000000</v>
      </c>
      <c r="W78" s="161"/>
      <c r="X78" s="161"/>
      <c r="Y78" s="161"/>
      <c r="Z78" s="161"/>
      <c r="AA78" s="160"/>
      <c r="AB78" s="30" t="s">
        <v>762</v>
      </c>
      <c r="AC78" s="3">
        <v>746000</v>
      </c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</row>
    <row r="79" spans="1:55" s="5" customFormat="1" ht="30" customHeight="1">
      <c r="A79" s="160">
        <f t="shared" si="24"/>
        <v>75</v>
      </c>
      <c r="B79" s="30">
        <v>2151</v>
      </c>
      <c r="C79" s="3" t="s">
        <v>530</v>
      </c>
      <c r="D79" s="4">
        <v>54000000</v>
      </c>
      <c r="E79" s="4">
        <v>54000000</v>
      </c>
      <c r="F79" s="161">
        <f t="shared" si="16"/>
        <v>0</v>
      </c>
      <c r="G79" s="4">
        <v>2000000</v>
      </c>
      <c r="H79" s="4">
        <v>698439</v>
      </c>
      <c r="I79" s="4">
        <v>0</v>
      </c>
      <c r="J79" s="4">
        <v>975479</v>
      </c>
      <c r="K79" s="161">
        <f t="shared" si="19"/>
        <v>975479</v>
      </c>
      <c r="L79" s="161">
        <f t="shared" si="17"/>
        <v>1673918</v>
      </c>
      <c r="M79" s="161">
        <f t="shared" si="18"/>
        <v>3326082</v>
      </c>
      <c r="N79" s="161">
        <f>30000000-15000000-15000000</f>
        <v>0</v>
      </c>
      <c r="O79" s="161">
        <f t="shared" si="20"/>
        <v>49000000</v>
      </c>
      <c r="P79" s="161">
        <f t="shared" si="21"/>
        <v>326082</v>
      </c>
      <c r="Q79" s="161">
        <v>3000000</v>
      </c>
      <c r="R79" s="161"/>
      <c r="S79" s="161">
        <f t="shared" si="15"/>
        <v>3000000</v>
      </c>
      <c r="T79" s="161">
        <f t="shared" si="25"/>
        <v>0</v>
      </c>
      <c r="U79" s="161">
        <f t="shared" si="22"/>
        <v>0</v>
      </c>
      <c r="V79" s="161">
        <f t="shared" si="23"/>
        <v>0</v>
      </c>
      <c r="W79" s="161"/>
      <c r="X79" s="161"/>
      <c r="Y79" s="161"/>
      <c r="Z79" s="161"/>
      <c r="AA79" s="160"/>
      <c r="AB79" s="30" t="s">
        <v>2188</v>
      </c>
      <c r="AC79" s="3">
        <v>742000</v>
      </c>
      <c r="AD79" s="154"/>
      <c r="AE79" s="154"/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</row>
    <row r="80" spans="1:55" s="5" customFormat="1" ht="30" customHeight="1">
      <c r="A80" s="160">
        <f t="shared" si="24"/>
        <v>76</v>
      </c>
      <c r="B80" s="30">
        <v>2152</v>
      </c>
      <c r="C80" s="3" t="s">
        <v>531</v>
      </c>
      <c r="D80" s="4">
        <f>16000000+4000000-4000000</f>
        <v>16000000</v>
      </c>
      <c r="E80" s="4">
        <v>16000000</v>
      </c>
      <c r="F80" s="161">
        <f t="shared" si="16"/>
        <v>0</v>
      </c>
      <c r="G80" s="4">
        <v>1000000</v>
      </c>
      <c r="H80" s="4">
        <v>252607</v>
      </c>
      <c r="I80" s="4">
        <v>0</v>
      </c>
      <c r="J80" s="4">
        <v>146060</v>
      </c>
      <c r="K80" s="161">
        <f t="shared" si="19"/>
        <v>146060</v>
      </c>
      <c r="L80" s="161">
        <f t="shared" si="17"/>
        <v>398667</v>
      </c>
      <c r="M80" s="161">
        <f t="shared" si="18"/>
        <v>651333</v>
      </c>
      <c r="N80" s="161">
        <f>10000000-2000000-1000000</f>
        <v>7000000</v>
      </c>
      <c r="O80" s="161">
        <f t="shared" si="20"/>
        <v>7950000</v>
      </c>
      <c r="P80" s="161">
        <f t="shared" si="21"/>
        <v>601333</v>
      </c>
      <c r="Q80" s="161">
        <v>50000</v>
      </c>
      <c r="R80" s="161"/>
      <c r="S80" s="161">
        <f t="shared" si="15"/>
        <v>50000</v>
      </c>
      <c r="T80" s="161">
        <f t="shared" si="25"/>
        <v>0</v>
      </c>
      <c r="U80" s="161">
        <f t="shared" si="22"/>
        <v>7000000</v>
      </c>
      <c r="V80" s="161">
        <f t="shared" si="23"/>
        <v>3405695</v>
      </c>
      <c r="W80" s="161"/>
      <c r="X80" s="161"/>
      <c r="Y80" s="161"/>
      <c r="Z80" s="161"/>
      <c r="AA80" s="161">
        <v>3594305</v>
      </c>
      <c r="AB80" s="30" t="s">
        <v>1696</v>
      </c>
      <c r="AC80" s="3">
        <v>810000</v>
      </c>
      <c r="AD80" s="154"/>
      <c r="AE80" s="154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</row>
    <row r="81" spans="1:55" s="5" customFormat="1" ht="30" customHeight="1">
      <c r="A81" s="160">
        <f t="shared" si="24"/>
        <v>77</v>
      </c>
      <c r="B81" s="30">
        <v>2153</v>
      </c>
      <c r="C81" s="3" t="s">
        <v>579</v>
      </c>
      <c r="D81" s="4">
        <v>1000000</v>
      </c>
      <c r="E81" s="4">
        <v>1000000</v>
      </c>
      <c r="F81" s="161">
        <f t="shared" si="16"/>
        <v>0</v>
      </c>
      <c r="G81" s="4">
        <f>300000+100000</f>
        <v>400000</v>
      </c>
      <c r="H81" s="4">
        <v>223094</v>
      </c>
      <c r="I81" s="4">
        <v>0</v>
      </c>
      <c r="J81" s="4">
        <v>63498</v>
      </c>
      <c r="K81" s="161">
        <f t="shared" si="19"/>
        <v>63498</v>
      </c>
      <c r="L81" s="161">
        <f t="shared" si="17"/>
        <v>286592</v>
      </c>
      <c r="M81" s="161">
        <f t="shared" si="18"/>
        <v>713408</v>
      </c>
      <c r="N81" s="161"/>
      <c r="O81" s="161">
        <f t="shared" si="20"/>
        <v>0</v>
      </c>
      <c r="P81" s="161">
        <f t="shared" si="21"/>
        <v>113408</v>
      </c>
      <c r="Q81" s="161">
        <f>700000-100000</f>
        <v>600000</v>
      </c>
      <c r="R81" s="161"/>
      <c r="S81" s="161">
        <f t="shared" si="15"/>
        <v>600000</v>
      </c>
      <c r="T81" s="161">
        <f t="shared" si="25"/>
        <v>0</v>
      </c>
      <c r="U81" s="161">
        <f t="shared" si="22"/>
        <v>0</v>
      </c>
      <c r="V81" s="161">
        <f t="shared" si="23"/>
        <v>0</v>
      </c>
      <c r="W81" s="161"/>
      <c r="X81" s="161"/>
      <c r="Y81" s="161"/>
      <c r="Z81" s="161"/>
      <c r="AA81" s="160"/>
      <c r="AB81" s="30" t="s">
        <v>706</v>
      </c>
      <c r="AC81" s="3">
        <v>829000</v>
      </c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</row>
    <row r="82" spans="1:55" s="5" customFormat="1" ht="30" customHeight="1">
      <c r="A82" s="160">
        <f t="shared" si="24"/>
        <v>78</v>
      </c>
      <c r="B82" s="30">
        <v>2174</v>
      </c>
      <c r="C82" s="3" t="s">
        <v>626</v>
      </c>
      <c r="D82" s="4">
        <f>12600000-3051008</f>
        <v>9548992</v>
      </c>
      <c r="E82" s="4">
        <v>12600000</v>
      </c>
      <c r="F82" s="161">
        <f t="shared" si="16"/>
        <v>-3051008</v>
      </c>
      <c r="G82" s="4">
        <f>7600000+1948992</f>
        <v>9548992</v>
      </c>
      <c r="H82" s="4">
        <v>7323409</v>
      </c>
      <c r="I82" s="4">
        <v>0</v>
      </c>
      <c r="J82" s="4">
        <v>1809690</v>
      </c>
      <c r="K82" s="161">
        <f t="shared" si="19"/>
        <v>1809690</v>
      </c>
      <c r="L82" s="161">
        <f t="shared" si="17"/>
        <v>9133099</v>
      </c>
      <c r="M82" s="161">
        <f t="shared" si="18"/>
        <v>415893</v>
      </c>
      <c r="N82" s="161"/>
      <c r="O82" s="161">
        <f t="shared" si="20"/>
        <v>0</v>
      </c>
      <c r="P82" s="161">
        <f t="shared" si="21"/>
        <v>415893</v>
      </c>
      <c r="Q82" s="161">
        <f>5000000-3051008-1948992</f>
        <v>0</v>
      </c>
      <c r="R82" s="161"/>
      <c r="S82" s="161">
        <f t="shared" si="15"/>
        <v>0</v>
      </c>
      <c r="T82" s="161">
        <f t="shared" si="25"/>
        <v>0</v>
      </c>
      <c r="U82" s="161">
        <f t="shared" si="22"/>
        <v>0</v>
      </c>
      <c r="V82" s="161">
        <f t="shared" si="23"/>
        <v>0</v>
      </c>
      <c r="W82" s="161"/>
      <c r="X82" s="161"/>
      <c r="Y82" s="161"/>
      <c r="Z82" s="161"/>
      <c r="AA82" s="161"/>
      <c r="AB82" s="3" t="s">
        <v>2341</v>
      </c>
      <c r="AC82" s="3">
        <v>810000</v>
      </c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</row>
    <row r="83" spans="1:55" s="5" customFormat="1" ht="30" customHeight="1">
      <c r="A83" s="160">
        <f t="shared" si="24"/>
        <v>79</v>
      </c>
      <c r="B83" s="30">
        <v>2175</v>
      </c>
      <c r="C83" s="3" t="s">
        <v>627</v>
      </c>
      <c r="D83" s="4">
        <v>21000000</v>
      </c>
      <c r="E83" s="4">
        <v>21000000</v>
      </c>
      <c r="F83" s="161">
        <f t="shared" si="16"/>
        <v>0</v>
      </c>
      <c r="G83" s="4">
        <f>5500000+165336</f>
        <v>5665336</v>
      </c>
      <c r="H83" s="4">
        <v>1000371</v>
      </c>
      <c r="I83" s="4">
        <v>0</v>
      </c>
      <c r="J83" s="4">
        <v>801916</v>
      </c>
      <c r="K83" s="161">
        <f t="shared" si="19"/>
        <v>801916</v>
      </c>
      <c r="L83" s="161">
        <f t="shared" si="17"/>
        <v>1802287</v>
      </c>
      <c r="M83" s="161">
        <f t="shared" si="18"/>
        <v>3863049</v>
      </c>
      <c r="N83" s="161">
        <f>15500000-165336-5334664-2000000-1000000-1000000-1000000</f>
        <v>5000000</v>
      </c>
      <c r="O83" s="161">
        <f t="shared" si="20"/>
        <v>10334664</v>
      </c>
      <c r="P83" s="161">
        <f t="shared" si="21"/>
        <v>3863049</v>
      </c>
      <c r="Q83" s="161">
        <f>165336-165336</f>
        <v>0</v>
      </c>
      <c r="R83" s="161"/>
      <c r="S83" s="161">
        <f t="shared" si="15"/>
        <v>0</v>
      </c>
      <c r="T83" s="161">
        <f t="shared" si="25"/>
        <v>0</v>
      </c>
      <c r="U83" s="161">
        <f t="shared" si="22"/>
        <v>5000000</v>
      </c>
      <c r="V83" s="161">
        <f t="shared" si="23"/>
        <v>1516647</v>
      </c>
      <c r="W83" s="161"/>
      <c r="X83" s="161"/>
      <c r="Y83" s="161"/>
      <c r="Z83" s="161"/>
      <c r="AA83" s="161">
        <f>3648689-165336</f>
        <v>3483353</v>
      </c>
      <c r="AB83" s="3" t="s">
        <v>2434</v>
      </c>
      <c r="AC83" s="3">
        <v>810000</v>
      </c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</row>
    <row r="84" spans="1:55" s="5" customFormat="1" ht="30" customHeight="1">
      <c r="A84" s="160">
        <f t="shared" si="24"/>
        <v>80</v>
      </c>
      <c r="B84" s="30">
        <v>2180</v>
      </c>
      <c r="C84" s="3" t="s">
        <v>628</v>
      </c>
      <c r="D84" s="4">
        <v>1000000</v>
      </c>
      <c r="E84" s="4">
        <v>1000000</v>
      </c>
      <c r="F84" s="161">
        <f t="shared" si="16"/>
        <v>0</v>
      </c>
      <c r="G84" s="4">
        <v>500000</v>
      </c>
      <c r="H84" s="4">
        <v>59582</v>
      </c>
      <c r="I84" s="4">
        <v>0</v>
      </c>
      <c r="J84" s="4">
        <v>64438</v>
      </c>
      <c r="K84" s="161">
        <f t="shared" si="19"/>
        <v>64438</v>
      </c>
      <c r="L84" s="161">
        <f t="shared" si="17"/>
        <v>124020</v>
      </c>
      <c r="M84" s="161">
        <f t="shared" si="18"/>
        <v>875980</v>
      </c>
      <c r="N84" s="161"/>
      <c r="O84" s="161">
        <f t="shared" si="20"/>
        <v>0</v>
      </c>
      <c r="P84" s="161">
        <f t="shared" si="21"/>
        <v>375980</v>
      </c>
      <c r="Q84" s="161">
        <v>500000</v>
      </c>
      <c r="R84" s="161"/>
      <c r="S84" s="161">
        <f t="shared" si="15"/>
        <v>500000</v>
      </c>
      <c r="T84" s="161">
        <f t="shared" si="25"/>
        <v>0</v>
      </c>
      <c r="U84" s="161">
        <f t="shared" si="22"/>
        <v>0</v>
      </c>
      <c r="V84" s="161">
        <f t="shared" si="23"/>
        <v>0</v>
      </c>
      <c r="W84" s="161"/>
      <c r="X84" s="161"/>
      <c r="Y84" s="161"/>
      <c r="Z84" s="161"/>
      <c r="AA84" s="160"/>
      <c r="AB84" s="3" t="s">
        <v>707</v>
      </c>
      <c r="AC84" s="3">
        <v>732000</v>
      </c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</row>
    <row r="85" spans="1:55" s="5" customFormat="1" ht="30" customHeight="1">
      <c r="A85" s="160">
        <f t="shared" si="24"/>
        <v>81</v>
      </c>
      <c r="B85" s="30">
        <v>2182</v>
      </c>
      <c r="C85" s="3" t="s">
        <v>629</v>
      </c>
      <c r="D85" s="4">
        <v>2500000</v>
      </c>
      <c r="E85" s="4">
        <v>2500000</v>
      </c>
      <c r="F85" s="161">
        <f t="shared" si="16"/>
        <v>0</v>
      </c>
      <c r="G85" s="4">
        <v>300000</v>
      </c>
      <c r="H85" s="4">
        <v>27661</v>
      </c>
      <c r="I85" s="4">
        <v>0</v>
      </c>
      <c r="J85" s="4">
        <v>188002</v>
      </c>
      <c r="K85" s="161">
        <f t="shared" si="19"/>
        <v>188002</v>
      </c>
      <c r="L85" s="161">
        <f t="shared" si="17"/>
        <v>215663</v>
      </c>
      <c r="M85" s="161">
        <f t="shared" si="18"/>
        <v>1784337</v>
      </c>
      <c r="N85" s="161"/>
      <c r="O85" s="161">
        <f t="shared" si="20"/>
        <v>500000</v>
      </c>
      <c r="P85" s="161">
        <f t="shared" si="21"/>
        <v>84337</v>
      </c>
      <c r="Q85" s="161">
        <v>1700000</v>
      </c>
      <c r="R85" s="161"/>
      <c r="S85" s="161">
        <f t="shared" si="15"/>
        <v>1700000</v>
      </c>
      <c r="T85" s="161">
        <f t="shared" si="25"/>
        <v>0</v>
      </c>
      <c r="U85" s="161">
        <f t="shared" si="22"/>
        <v>0</v>
      </c>
      <c r="V85" s="161">
        <f t="shared" si="23"/>
        <v>0</v>
      </c>
      <c r="W85" s="161"/>
      <c r="X85" s="161"/>
      <c r="Y85" s="161"/>
      <c r="Z85" s="161"/>
      <c r="AA85" s="160"/>
      <c r="AB85" s="3" t="s">
        <v>792</v>
      </c>
      <c r="AC85" s="3">
        <v>810000</v>
      </c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</row>
    <row r="86" spans="1:55" s="5" customFormat="1" ht="30" customHeight="1">
      <c r="A86" s="160">
        <f t="shared" si="24"/>
        <v>82</v>
      </c>
      <c r="B86" s="30">
        <v>2185</v>
      </c>
      <c r="C86" s="3" t="s">
        <v>630</v>
      </c>
      <c r="D86" s="4">
        <f>40000000</f>
        <v>40000000</v>
      </c>
      <c r="E86" s="4">
        <v>750000</v>
      </c>
      <c r="F86" s="161">
        <f t="shared" si="16"/>
        <v>39250000</v>
      </c>
      <c r="G86" s="4">
        <v>500000</v>
      </c>
      <c r="H86" s="4">
        <v>111410</v>
      </c>
      <c r="I86" s="4">
        <v>0</v>
      </c>
      <c r="J86" s="4">
        <v>112913</v>
      </c>
      <c r="K86" s="161">
        <f t="shared" si="19"/>
        <v>112913</v>
      </c>
      <c r="L86" s="161">
        <f t="shared" si="17"/>
        <v>224323</v>
      </c>
      <c r="M86" s="161">
        <f t="shared" si="18"/>
        <v>525677</v>
      </c>
      <c r="N86" s="161">
        <f>25000000-10000000-5000000-1000000-1000000</f>
        <v>8000000</v>
      </c>
      <c r="O86" s="161">
        <f t="shared" si="20"/>
        <v>31250000</v>
      </c>
      <c r="P86" s="161">
        <f t="shared" si="21"/>
        <v>275677</v>
      </c>
      <c r="Q86" s="161">
        <v>250000</v>
      </c>
      <c r="R86" s="161"/>
      <c r="S86" s="161">
        <f t="shared" si="15"/>
        <v>250000</v>
      </c>
      <c r="T86" s="161">
        <f t="shared" si="25"/>
        <v>0</v>
      </c>
      <c r="U86" s="161">
        <f t="shared" si="22"/>
        <v>8000000</v>
      </c>
      <c r="V86" s="161">
        <f t="shared" si="23"/>
        <v>4405695</v>
      </c>
      <c r="W86" s="161"/>
      <c r="X86" s="161"/>
      <c r="Y86" s="161"/>
      <c r="Z86" s="161"/>
      <c r="AA86" s="161">
        <v>3594305</v>
      </c>
      <c r="AB86" s="3" t="s">
        <v>2342</v>
      </c>
      <c r="AC86" s="3">
        <v>810000</v>
      </c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</row>
    <row r="87" spans="1:55" s="5" customFormat="1" ht="30" customHeight="1">
      <c r="A87" s="160">
        <f t="shared" si="24"/>
        <v>83</v>
      </c>
      <c r="B87" s="30">
        <v>2191</v>
      </c>
      <c r="C87" s="3" t="s">
        <v>737</v>
      </c>
      <c r="D87" s="4">
        <f>14000000</f>
        <v>14000000</v>
      </c>
      <c r="E87" s="4">
        <v>500000</v>
      </c>
      <c r="F87" s="4">
        <f t="shared" si="16"/>
        <v>13500000</v>
      </c>
      <c r="G87" s="4">
        <v>500000</v>
      </c>
      <c r="H87" s="4">
        <v>0</v>
      </c>
      <c r="I87" s="4">
        <v>0</v>
      </c>
      <c r="J87" s="4">
        <v>0</v>
      </c>
      <c r="K87" s="4">
        <f>SUM(I87:J87)</f>
        <v>0</v>
      </c>
      <c r="L87" s="4">
        <f>H87+K87</f>
        <v>0</v>
      </c>
      <c r="M87" s="161">
        <f t="shared" si="18"/>
        <v>500000</v>
      </c>
      <c r="N87" s="161">
        <v>200000</v>
      </c>
      <c r="O87" s="4">
        <f t="shared" si="20"/>
        <v>13300000</v>
      </c>
      <c r="P87" s="4">
        <f t="shared" si="21"/>
        <v>500000</v>
      </c>
      <c r="Q87" s="4">
        <f>500000-500000</f>
        <v>0</v>
      </c>
      <c r="R87" s="4"/>
      <c r="S87" s="4">
        <f t="shared" ref="S87:S92" si="26">SUM(Q87:R87)</f>
        <v>0</v>
      </c>
      <c r="T87" s="4">
        <f t="shared" si="25"/>
        <v>0</v>
      </c>
      <c r="U87" s="4">
        <f t="shared" si="22"/>
        <v>200000</v>
      </c>
      <c r="V87" s="4">
        <f>U87-AA87-W87-Z87</f>
        <v>200000</v>
      </c>
      <c r="W87" s="4"/>
      <c r="X87" s="4"/>
      <c r="Y87" s="4"/>
      <c r="Z87" s="4"/>
      <c r="AA87" s="4"/>
      <c r="AB87" s="3" t="s">
        <v>1715</v>
      </c>
      <c r="AC87" s="3">
        <v>742000</v>
      </c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</row>
    <row r="88" spans="1:55" s="5" customFormat="1" ht="30" customHeight="1">
      <c r="A88" s="160">
        <f t="shared" si="24"/>
        <v>84</v>
      </c>
      <c r="B88" s="30">
        <v>2194</v>
      </c>
      <c r="C88" s="3" t="s">
        <v>740</v>
      </c>
      <c r="D88" s="4">
        <v>700000</v>
      </c>
      <c r="E88" s="4">
        <v>700000</v>
      </c>
      <c r="F88" s="4">
        <f t="shared" si="16"/>
        <v>0</v>
      </c>
      <c r="G88" s="4">
        <v>500000</v>
      </c>
      <c r="H88" s="4">
        <v>0</v>
      </c>
      <c r="I88" s="4">
        <v>0</v>
      </c>
      <c r="J88" s="4">
        <v>0</v>
      </c>
      <c r="K88" s="4"/>
      <c r="L88" s="4">
        <f>H88+K88</f>
        <v>0</v>
      </c>
      <c r="M88" s="161">
        <f t="shared" si="18"/>
        <v>500000</v>
      </c>
      <c r="N88" s="161">
        <f>700000-500000</f>
        <v>200000</v>
      </c>
      <c r="O88" s="4">
        <f t="shared" si="20"/>
        <v>0</v>
      </c>
      <c r="P88" s="4">
        <f t="shared" si="21"/>
        <v>500000</v>
      </c>
      <c r="Q88" s="4">
        <f>500000-500000</f>
        <v>0</v>
      </c>
      <c r="R88" s="4"/>
      <c r="S88" s="4">
        <f t="shared" si="26"/>
        <v>0</v>
      </c>
      <c r="T88" s="4">
        <f t="shared" si="25"/>
        <v>0</v>
      </c>
      <c r="U88" s="4">
        <f t="shared" si="22"/>
        <v>200000</v>
      </c>
      <c r="V88" s="4">
        <f>U88-AA88-W88-Z88</f>
        <v>200000</v>
      </c>
      <c r="W88" s="4"/>
      <c r="X88" s="4"/>
      <c r="Y88" s="4"/>
      <c r="Z88" s="4"/>
      <c r="AA88" s="4"/>
      <c r="AB88" s="3" t="s">
        <v>1719</v>
      </c>
      <c r="AC88" s="3">
        <v>742000</v>
      </c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</row>
    <row r="89" spans="1:55" s="5" customFormat="1" ht="30" customHeight="1">
      <c r="A89" s="160">
        <f t="shared" si="24"/>
        <v>85</v>
      </c>
      <c r="B89" s="30">
        <v>2196</v>
      </c>
      <c r="C89" s="3" t="s">
        <v>742</v>
      </c>
      <c r="D89" s="4">
        <f>21135000</f>
        <v>21135000</v>
      </c>
      <c r="E89" s="4">
        <v>2000000</v>
      </c>
      <c r="F89" s="4">
        <f t="shared" si="16"/>
        <v>19135000</v>
      </c>
      <c r="G89" s="4">
        <v>400000</v>
      </c>
      <c r="H89" s="4">
        <v>0</v>
      </c>
      <c r="I89" s="4">
        <v>0</v>
      </c>
      <c r="J89" s="4">
        <v>0</v>
      </c>
      <c r="K89" s="4"/>
      <c r="L89" s="4">
        <f>H89+K89</f>
        <v>0</v>
      </c>
      <c r="M89" s="161">
        <f t="shared" si="18"/>
        <v>400000</v>
      </c>
      <c r="N89" s="161">
        <f>1000000-400000</f>
        <v>600000</v>
      </c>
      <c r="O89" s="4">
        <f t="shared" si="20"/>
        <v>20135000</v>
      </c>
      <c r="P89" s="4">
        <f t="shared" si="21"/>
        <v>400000</v>
      </c>
      <c r="Q89" s="4">
        <f>400000-400000</f>
        <v>0</v>
      </c>
      <c r="R89" s="4"/>
      <c r="S89" s="4">
        <f t="shared" si="26"/>
        <v>0</v>
      </c>
      <c r="T89" s="4">
        <f t="shared" si="25"/>
        <v>0</v>
      </c>
      <c r="U89" s="4">
        <f t="shared" si="22"/>
        <v>600000</v>
      </c>
      <c r="V89" s="4">
        <f>U89-AA89-W89-Z89</f>
        <v>600000</v>
      </c>
      <c r="W89" s="4"/>
      <c r="X89" s="4"/>
      <c r="Y89" s="4"/>
      <c r="Z89" s="4"/>
      <c r="AA89" s="4"/>
      <c r="AB89" s="3" t="s">
        <v>1721</v>
      </c>
      <c r="AC89" s="3">
        <v>742000</v>
      </c>
      <c r="AD89" s="154"/>
      <c r="AE89" s="154"/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</row>
    <row r="90" spans="1:55" s="5" customFormat="1" ht="30" customHeight="1">
      <c r="A90" s="160">
        <f t="shared" si="24"/>
        <v>86</v>
      </c>
      <c r="B90" s="30">
        <v>2197</v>
      </c>
      <c r="C90" s="3" t="s">
        <v>743</v>
      </c>
      <c r="D90" s="4">
        <f>15160000</f>
        <v>15160000</v>
      </c>
      <c r="E90" s="4">
        <v>4000000</v>
      </c>
      <c r="F90" s="4">
        <f t="shared" si="16"/>
        <v>11160000</v>
      </c>
      <c r="G90" s="4">
        <v>300000</v>
      </c>
      <c r="H90" s="4">
        <v>0</v>
      </c>
      <c r="I90" s="4">
        <v>0</v>
      </c>
      <c r="J90" s="4">
        <v>0</v>
      </c>
      <c r="K90" s="4">
        <f>SUM(I90:J90)</f>
        <v>0</v>
      </c>
      <c r="L90" s="4">
        <f>H90+K90</f>
        <v>0</v>
      </c>
      <c r="M90" s="161">
        <f t="shared" si="18"/>
        <v>300000</v>
      </c>
      <c r="N90" s="161">
        <f>700000-300000</f>
        <v>400000</v>
      </c>
      <c r="O90" s="4">
        <f t="shared" si="20"/>
        <v>14460000</v>
      </c>
      <c r="P90" s="4">
        <f t="shared" si="21"/>
        <v>300000</v>
      </c>
      <c r="Q90" s="4">
        <f>300000-300000</f>
        <v>0</v>
      </c>
      <c r="R90" s="4"/>
      <c r="S90" s="4">
        <f t="shared" si="26"/>
        <v>0</v>
      </c>
      <c r="T90" s="4">
        <f t="shared" si="25"/>
        <v>0</v>
      </c>
      <c r="U90" s="4">
        <f t="shared" si="22"/>
        <v>400000</v>
      </c>
      <c r="V90" s="4">
        <f>U90-AA90-W90-Z90</f>
        <v>400000</v>
      </c>
      <c r="W90" s="4"/>
      <c r="X90" s="4"/>
      <c r="Y90" s="4"/>
      <c r="Z90" s="4"/>
      <c r="AA90" s="4"/>
      <c r="AB90" s="3" t="s">
        <v>1722</v>
      </c>
      <c r="AC90" s="3">
        <v>742000</v>
      </c>
      <c r="AD90" s="154"/>
      <c r="AE90" s="154"/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</row>
    <row r="91" spans="1:55" s="5" customFormat="1" ht="30" customHeight="1">
      <c r="A91" s="160">
        <f t="shared" si="24"/>
        <v>87</v>
      </c>
      <c r="B91" s="30">
        <v>2198</v>
      </c>
      <c r="C91" s="3" t="s">
        <v>744</v>
      </c>
      <c r="D91" s="4">
        <f>16030000</f>
        <v>16030000</v>
      </c>
      <c r="E91" s="4">
        <v>9500000</v>
      </c>
      <c r="F91" s="4">
        <f t="shared" si="16"/>
        <v>6530000</v>
      </c>
      <c r="G91" s="4">
        <v>500000</v>
      </c>
      <c r="H91" s="4">
        <v>0</v>
      </c>
      <c r="I91" s="4">
        <v>0</v>
      </c>
      <c r="J91" s="4">
        <v>0</v>
      </c>
      <c r="K91" s="4"/>
      <c r="L91" s="4">
        <f>H91+K91</f>
        <v>0</v>
      </c>
      <c r="M91" s="161">
        <f t="shared" si="18"/>
        <v>500000</v>
      </c>
      <c r="N91" s="161">
        <f>800000-500000</f>
        <v>300000</v>
      </c>
      <c r="O91" s="4">
        <f t="shared" si="20"/>
        <v>15230000</v>
      </c>
      <c r="P91" s="4">
        <f t="shared" si="21"/>
        <v>500000</v>
      </c>
      <c r="Q91" s="4">
        <f>500000-500000</f>
        <v>0</v>
      </c>
      <c r="R91" s="4"/>
      <c r="S91" s="4">
        <f t="shared" si="26"/>
        <v>0</v>
      </c>
      <c r="T91" s="4">
        <f t="shared" si="25"/>
        <v>0</v>
      </c>
      <c r="U91" s="4">
        <f t="shared" si="22"/>
        <v>300000</v>
      </c>
      <c r="V91" s="4">
        <f>U91-AA91-W91-Z91</f>
        <v>300000</v>
      </c>
      <c r="W91" s="4"/>
      <c r="X91" s="4"/>
      <c r="Y91" s="4"/>
      <c r="Z91" s="4"/>
      <c r="AA91" s="4"/>
      <c r="AB91" s="3" t="s">
        <v>2343</v>
      </c>
      <c r="AC91" s="3">
        <v>742000</v>
      </c>
      <c r="AD91" s="154"/>
      <c r="AE91" s="154"/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</row>
    <row r="92" spans="1:55" s="5" customFormat="1" ht="30" customHeight="1">
      <c r="A92" s="160">
        <f t="shared" si="24"/>
        <v>88</v>
      </c>
      <c r="B92" s="30">
        <v>2201</v>
      </c>
      <c r="C92" s="3" t="s">
        <v>710</v>
      </c>
      <c r="D92" s="4">
        <v>80000000</v>
      </c>
      <c r="E92" s="4">
        <v>80000000</v>
      </c>
      <c r="F92" s="4">
        <f t="shared" si="16"/>
        <v>0</v>
      </c>
      <c r="G92" s="4">
        <v>100000</v>
      </c>
      <c r="H92" s="4">
        <v>0</v>
      </c>
      <c r="I92" s="4">
        <v>0</v>
      </c>
      <c r="J92" s="4">
        <v>52188</v>
      </c>
      <c r="K92" s="4">
        <f t="shared" ref="K92:K100" si="27">SUM(I92:J92)</f>
        <v>52188</v>
      </c>
      <c r="L92" s="161">
        <f t="shared" si="17"/>
        <v>52188</v>
      </c>
      <c r="M92" s="161">
        <f t="shared" si="18"/>
        <v>447812</v>
      </c>
      <c r="N92" s="161">
        <f>1500000-500000</f>
        <v>1000000</v>
      </c>
      <c r="O92" s="4">
        <f t="shared" si="20"/>
        <v>78500000</v>
      </c>
      <c r="P92" s="4">
        <f t="shared" si="21"/>
        <v>47812</v>
      </c>
      <c r="Q92" s="4">
        <v>400000</v>
      </c>
      <c r="R92" s="4"/>
      <c r="S92" s="161">
        <f t="shared" si="26"/>
        <v>400000</v>
      </c>
      <c r="T92" s="161">
        <f>P92-M92+S92</f>
        <v>0</v>
      </c>
      <c r="U92" s="161">
        <f>N92-T92</f>
        <v>1000000</v>
      </c>
      <c r="V92" s="161">
        <f>U92-Z92-X92-AA92-W92</f>
        <v>1000000</v>
      </c>
      <c r="W92" s="4"/>
      <c r="X92" s="4"/>
      <c r="Y92" s="4"/>
      <c r="Z92" s="4"/>
      <c r="AA92" s="4"/>
      <c r="AB92" s="3" t="s">
        <v>2443</v>
      </c>
      <c r="AC92" s="3">
        <v>810000</v>
      </c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</row>
    <row r="93" spans="1:55" s="5" customFormat="1" ht="30" customHeight="1">
      <c r="A93" s="160">
        <f t="shared" si="24"/>
        <v>89</v>
      </c>
      <c r="B93" s="30">
        <v>2202</v>
      </c>
      <c r="C93" s="3" t="s">
        <v>711</v>
      </c>
      <c r="D93" s="4">
        <v>1000000</v>
      </c>
      <c r="E93" s="4">
        <v>1000000</v>
      </c>
      <c r="F93" s="4">
        <f t="shared" si="16"/>
        <v>0</v>
      </c>
      <c r="G93" s="4">
        <v>100000</v>
      </c>
      <c r="H93" s="4">
        <v>0</v>
      </c>
      <c r="I93" s="4">
        <v>0</v>
      </c>
      <c r="J93" s="4">
        <v>0</v>
      </c>
      <c r="K93" s="4">
        <f t="shared" si="27"/>
        <v>0</v>
      </c>
      <c r="L93" s="161">
        <f t="shared" si="17"/>
        <v>0</v>
      </c>
      <c r="M93" s="161">
        <f t="shared" si="18"/>
        <v>1000000</v>
      </c>
      <c r="N93" s="161"/>
      <c r="O93" s="4">
        <f t="shared" si="20"/>
        <v>0</v>
      </c>
      <c r="P93" s="4">
        <f t="shared" si="21"/>
        <v>100000</v>
      </c>
      <c r="Q93" s="4">
        <v>900000</v>
      </c>
      <c r="R93" s="4"/>
      <c r="S93" s="161">
        <f t="shared" ref="S93:S100" si="28">SUM(Q93:R93)</f>
        <v>900000</v>
      </c>
      <c r="T93" s="161">
        <f t="shared" ref="T93:T111" si="29">P93-M93+S93</f>
        <v>0</v>
      </c>
      <c r="U93" s="161">
        <f t="shared" ref="U93:U111" si="30">N93-T93</f>
        <v>0</v>
      </c>
      <c r="V93" s="161">
        <f t="shared" ref="V93:V100" si="31">U93-Z93-X93-AA93-W93</f>
        <v>0</v>
      </c>
      <c r="W93" s="4"/>
      <c r="X93" s="4"/>
      <c r="Y93" s="4"/>
      <c r="Z93" s="4"/>
      <c r="AA93" s="4"/>
      <c r="AB93" s="3" t="s">
        <v>1726</v>
      </c>
      <c r="AC93" s="3">
        <v>810000</v>
      </c>
      <c r="AD93" s="154"/>
      <c r="AE93" s="154"/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</row>
    <row r="94" spans="1:55" s="5" customFormat="1" ht="48.6" customHeight="1">
      <c r="A94" s="160">
        <f t="shared" si="24"/>
        <v>90</v>
      </c>
      <c r="B94" s="30">
        <v>2203</v>
      </c>
      <c r="C94" s="3" t="s">
        <v>1730</v>
      </c>
      <c r="D94" s="4">
        <v>1000000</v>
      </c>
      <c r="E94" s="4">
        <v>1000000</v>
      </c>
      <c r="F94" s="4">
        <f t="shared" si="16"/>
        <v>0</v>
      </c>
      <c r="G94" s="4">
        <v>100000</v>
      </c>
      <c r="H94" s="4">
        <v>0</v>
      </c>
      <c r="I94" s="4">
        <v>0</v>
      </c>
      <c r="J94" s="4">
        <v>0</v>
      </c>
      <c r="K94" s="4">
        <f t="shared" si="27"/>
        <v>0</v>
      </c>
      <c r="L94" s="161">
        <f t="shared" si="17"/>
        <v>0</v>
      </c>
      <c r="M94" s="161">
        <f t="shared" si="18"/>
        <v>1000000</v>
      </c>
      <c r="N94" s="161"/>
      <c r="O94" s="4">
        <f t="shared" si="20"/>
        <v>0</v>
      </c>
      <c r="P94" s="4">
        <f t="shared" si="21"/>
        <v>100000</v>
      </c>
      <c r="Q94" s="4">
        <v>900000</v>
      </c>
      <c r="R94" s="4"/>
      <c r="S94" s="161">
        <f t="shared" si="28"/>
        <v>900000</v>
      </c>
      <c r="T94" s="161">
        <f t="shared" si="29"/>
        <v>0</v>
      </c>
      <c r="U94" s="161">
        <f t="shared" si="30"/>
        <v>0</v>
      </c>
      <c r="V94" s="161">
        <f t="shared" si="31"/>
        <v>0</v>
      </c>
      <c r="W94" s="4"/>
      <c r="X94" s="4"/>
      <c r="Y94" s="4"/>
      <c r="Z94" s="4"/>
      <c r="AA94" s="4"/>
      <c r="AB94" s="3" t="s">
        <v>1731</v>
      </c>
      <c r="AC94" s="834">
        <v>829000</v>
      </c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</row>
    <row r="95" spans="1:55" s="5" customFormat="1" ht="30" customHeight="1">
      <c r="A95" s="160">
        <f t="shared" si="24"/>
        <v>91</v>
      </c>
      <c r="B95" s="30">
        <v>2204</v>
      </c>
      <c r="C95" s="3" t="s">
        <v>713</v>
      </c>
      <c r="D95" s="4">
        <v>800000</v>
      </c>
      <c r="E95" s="4">
        <v>800000</v>
      </c>
      <c r="F95" s="4">
        <f t="shared" si="16"/>
        <v>0</v>
      </c>
      <c r="G95" s="4">
        <v>100000</v>
      </c>
      <c r="H95" s="4">
        <v>0</v>
      </c>
      <c r="I95" s="4">
        <v>0</v>
      </c>
      <c r="J95" s="4">
        <v>0</v>
      </c>
      <c r="K95" s="4">
        <f t="shared" si="27"/>
        <v>0</v>
      </c>
      <c r="L95" s="161">
        <f t="shared" si="17"/>
        <v>0</v>
      </c>
      <c r="M95" s="161">
        <f t="shared" si="18"/>
        <v>800000</v>
      </c>
      <c r="N95" s="161"/>
      <c r="O95" s="4">
        <f t="shared" si="20"/>
        <v>0</v>
      </c>
      <c r="P95" s="4">
        <f t="shared" si="21"/>
        <v>100000</v>
      </c>
      <c r="Q95" s="4">
        <v>700000</v>
      </c>
      <c r="R95" s="4"/>
      <c r="S95" s="161">
        <f t="shared" si="28"/>
        <v>700000</v>
      </c>
      <c r="T95" s="161">
        <f t="shared" si="29"/>
        <v>0</v>
      </c>
      <c r="U95" s="161">
        <f t="shared" si="30"/>
        <v>0</v>
      </c>
      <c r="V95" s="161">
        <f t="shared" si="31"/>
        <v>0</v>
      </c>
      <c r="W95" s="4"/>
      <c r="X95" s="4"/>
      <c r="Y95" s="4"/>
      <c r="Z95" s="4"/>
      <c r="AA95" s="4"/>
      <c r="AB95" s="3" t="s">
        <v>1736</v>
      </c>
      <c r="AC95" s="3">
        <v>810000</v>
      </c>
      <c r="AD95" s="154"/>
      <c r="AE95" s="154"/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</row>
    <row r="96" spans="1:55" s="5" customFormat="1" ht="30" customHeight="1">
      <c r="A96" s="160">
        <f t="shared" si="24"/>
        <v>92</v>
      </c>
      <c r="B96" s="30">
        <v>2205</v>
      </c>
      <c r="C96" s="3" t="s">
        <v>647</v>
      </c>
      <c r="D96" s="4">
        <f>16200000-200000</f>
        <v>16000000</v>
      </c>
      <c r="E96" s="4">
        <v>16000000</v>
      </c>
      <c r="F96" s="4">
        <f t="shared" si="16"/>
        <v>0</v>
      </c>
      <c r="G96" s="4">
        <f>100000+50000</f>
        <v>150000</v>
      </c>
      <c r="H96" s="4">
        <v>1032</v>
      </c>
      <c r="I96" s="4">
        <v>0</v>
      </c>
      <c r="J96" s="4">
        <v>61020</v>
      </c>
      <c r="K96" s="4">
        <f t="shared" si="27"/>
        <v>61020</v>
      </c>
      <c r="L96" s="161">
        <f t="shared" si="17"/>
        <v>62052</v>
      </c>
      <c r="M96" s="161">
        <f t="shared" si="18"/>
        <v>387948</v>
      </c>
      <c r="N96" s="161">
        <f>15750000-5750000-1000000-2000000</f>
        <v>7000000</v>
      </c>
      <c r="O96" s="4">
        <f t="shared" si="20"/>
        <v>8550000</v>
      </c>
      <c r="P96" s="4">
        <f t="shared" si="21"/>
        <v>87948</v>
      </c>
      <c r="Q96" s="4">
        <f>350000-50000</f>
        <v>300000</v>
      </c>
      <c r="R96" s="4"/>
      <c r="S96" s="161">
        <f t="shared" si="28"/>
        <v>300000</v>
      </c>
      <c r="T96" s="161">
        <f t="shared" si="29"/>
        <v>0</v>
      </c>
      <c r="U96" s="161">
        <f t="shared" si="30"/>
        <v>7000000</v>
      </c>
      <c r="V96" s="161">
        <f t="shared" si="31"/>
        <v>7000000</v>
      </c>
      <c r="W96" s="4"/>
      <c r="X96" s="4"/>
      <c r="Y96" s="4"/>
      <c r="Z96" s="4"/>
      <c r="AA96" s="4"/>
      <c r="AB96" s="32" t="s">
        <v>1741</v>
      </c>
      <c r="AC96" s="3">
        <v>810000</v>
      </c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</row>
    <row r="97" spans="1:55" s="5" customFormat="1" ht="30" customHeight="1">
      <c r="A97" s="160">
        <f t="shared" si="24"/>
        <v>93</v>
      </c>
      <c r="B97" s="30">
        <v>2206</v>
      </c>
      <c r="C97" s="3" t="s">
        <v>714</v>
      </c>
      <c r="D97" s="4">
        <f>1000000+3000000</f>
        <v>4000000</v>
      </c>
      <c r="E97" s="4">
        <v>1000000</v>
      </c>
      <c r="F97" s="4">
        <f t="shared" si="16"/>
        <v>3000000</v>
      </c>
      <c r="G97" s="4">
        <v>200000</v>
      </c>
      <c r="H97" s="4">
        <v>6845</v>
      </c>
      <c r="I97" s="4">
        <v>0</v>
      </c>
      <c r="J97" s="4">
        <v>117175</v>
      </c>
      <c r="K97" s="4">
        <f t="shared" si="27"/>
        <v>117175</v>
      </c>
      <c r="L97" s="161">
        <f t="shared" si="17"/>
        <v>124020</v>
      </c>
      <c r="M97" s="161">
        <f t="shared" si="18"/>
        <v>875980</v>
      </c>
      <c r="N97" s="161">
        <f>3000000-1000000-500000-250000-350000</f>
        <v>900000</v>
      </c>
      <c r="O97" s="4">
        <f t="shared" si="20"/>
        <v>2100000</v>
      </c>
      <c r="P97" s="4">
        <f t="shared" si="21"/>
        <v>75980</v>
      </c>
      <c r="Q97" s="4">
        <v>800000</v>
      </c>
      <c r="R97" s="4"/>
      <c r="S97" s="161">
        <f t="shared" si="28"/>
        <v>800000</v>
      </c>
      <c r="T97" s="161">
        <f t="shared" si="29"/>
        <v>0</v>
      </c>
      <c r="U97" s="161">
        <f t="shared" si="30"/>
        <v>900000</v>
      </c>
      <c r="V97" s="161">
        <f t="shared" si="31"/>
        <v>900000</v>
      </c>
      <c r="W97" s="4"/>
      <c r="X97" s="4"/>
      <c r="Y97" s="4"/>
      <c r="Z97" s="4"/>
      <c r="AA97" s="4"/>
      <c r="AB97" s="32" t="s">
        <v>1746</v>
      </c>
      <c r="AC97" s="3">
        <v>810000</v>
      </c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</row>
    <row r="98" spans="1:55" s="5" customFormat="1" ht="30" customHeight="1">
      <c r="A98" s="160">
        <f t="shared" si="24"/>
        <v>94</v>
      </c>
      <c r="B98" s="30">
        <v>2207</v>
      </c>
      <c r="C98" s="3" t="s">
        <v>715</v>
      </c>
      <c r="D98" s="4">
        <v>500000</v>
      </c>
      <c r="E98" s="4">
        <v>500000</v>
      </c>
      <c r="F98" s="4">
        <f t="shared" si="16"/>
        <v>0</v>
      </c>
      <c r="G98" s="4">
        <v>100000</v>
      </c>
      <c r="H98" s="4">
        <v>0</v>
      </c>
      <c r="I98" s="4">
        <v>0</v>
      </c>
      <c r="J98" s="4">
        <v>0</v>
      </c>
      <c r="K98" s="4">
        <f t="shared" si="27"/>
        <v>0</v>
      </c>
      <c r="L98" s="161">
        <f t="shared" si="17"/>
        <v>0</v>
      </c>
      <c r="M98" s="161">
        <f t="shared" si="18"/>
        <v>500000</v>
      </c>
      <c r="N98" s="161"/>
      <c r="O98" s="4">
        <f t="shared" si="20"/>
        <v>0</v>
      </c>
      <c r="P98" s="4">
        <f t="shared" si="21"/>
        <v>100000</v>
      </c>
      <c r="Q98" s="4">
        <f>500000-100000</f>
        <v>400000</v>
      </c>
      <c r="R98" s="4"/>
      <c r="S98" s="161">
        <f t="shared" si="28"/>
        <v>400000</v>
      </c>
      <c r="T98" s="161">
        <f t="shared" si="29"/>
        <v>0</v>
      </c>
      <c r="U98" s="161">
        <f t="shared" si="30"/>
        <v>0</v>
      </c>
      <c r="V98" s="161">
        <f t="shared" si="31"/>
        <v>0</v>
      </c>
      <c r="W98" s="4"/>
      <c r="X98" s="4"/>
      <c r="Y98" s="4"/>
      <c r="Z98" s="4"/>
      <c r="AA98" s="4"/>
      <c r="AB98" s="3" t="s">
        <v>2469</v>
      </c>
      <c r="AC98" s="834">
        <v>850000</v>
      </c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</row>
    <row r="99" spans="1:55" s="5" customFormat="1" ht="30" customHeight="1">
      <c r="A99" s="160">
        <f t="shared" si="24"/>
        <v>95</v>
      </c>
      <c r="B99" s="30">
        <v>2208</v>
      </c>
      <c r="C99" s="3" t="s">
        <v>716</v>
      </c>
      <c r="D99" s="4">
        <v>500000</v>
      </c>
      <c r="E99" s="4">
        <v>500000</v>
      </c>
      <c r="F99" s="4">
        <f t="shared" si="16"/>
        <v>0</v>
      </c>
      <c r="G99" s="4">
        <v>100000</v>
      </c>
      <c r="H99" s="4">
        <v>0</v>
      </c>
      <c r="I99" s="4">
        <v>0</v>
      </c>
      <c r="J99" s="4">
        <v>0</v>
      </c>
      <c r="K99" s="4">
        <f t="shared" si="27"/>
        <v>0</v>
      </c>
      <c r="L99" s="161">
        <f t="shared" si="17"/>
        <v>0</v>
      </c>
      <c r="M99" s="161">
        <f t="shared" si="18"/>
        <v>500000</v>
      </c>
      <c r="N99" s="161"/>
      <c r="O99" s="4">
        <f t="shared" si="20"/>
        <v>0</v>
      </c>
      <c r="P99" s="4">
        <f t="shared" si="21"/>
        <v>100000</v>
      </c>
      <c r="Q99" s="4">
        <f>500000-100000</f>
        <v>400000</v>
      </c>
      <c r="R99" s="4"/>
      <c r="S99" s="161">
        <f t="shared" si="28"/>
        <v>400000</v>
      </c>
      <c r="T99" s="161">
        <f t="shared" si="29"/>
        <v>0</v>
      </c>
      <c r="U99" s="161">
        <f t="shared" si="30"/>
        <v>0</v>
      </c>
      <c r="V99" s="161">
        <f t="shared" si="31"/>
        <v>0</v>
      </c>
      <c r="W99" s="4"/>
      <c r="X99" s="4"/>
      <c r="Y99" s="4"/>
      <c r="Z99" s="4"/>
      <c r="AA99" s="4"/>
      <c r="AB99" s="3" t="s">
        <v>840</v>
      </c>
      <c r="AC99" s="834">
        <v>850000</v>
      </c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</row>
    <row r="100" spans="1:55" s="5" customFormat="1" ht="30" customHeight="1">
      <c r="A100" s="160">
        <f t="shared" si="24"/>
        <v>96</v>
      </c>
      <c r="B100" s="30">
        <v>2209</v>
      </c>
      <c r="C100" s="3" t="s">
        <v>717</v>
      </c>
      <c r="D100" s="4">
        <v>46500000</v>
      </c>
      <c r="E100" s="4">
        <v>500000</v>
      </c>
      <c r="F100" s="4">
        <f t="shared" si="16"/>
        <v>46000000</v>
      </c>
      <c r="G100" s="4">
        <f>100000+50000</f>
        <v>150000</v>
      </c>
      <c r="H100" s="4">
        <v>25733</v>
      </c>
      <c r="I100" s="4">
        <v>0</v>
      </c>
      <c r="J100" s="4">
        <v>48679</v>
      </c>
      <c r="K100" s="4">
        <f t="shared" si="27"/>
        <v>48679</v>
      </c>
      <c r="L100" s="161">
        <f t="shared" si="17"/>
        <v>74412</v>
      </c>
      <c r="M100" s="161">
        <f t="shared" si="18"/>
        <v>425588</v>
      </c>
      <c r="N100" s="161">
        <f>30000000-29000000</f>
        <v>1000000</v>
      </c>
      <c r="O100" s="4">
        <f t="shared" si="20"/>
        <v>45000000</v>
      </c>
      <c r="P100" s="4">
        <f t="shared" si="21"/>
        <v>75588</v>
      </c>
      <c r="Q100" s="4">
        <f>400000-50000</f>
        <v>350000</v>
      </c>
      <c r="R100" s="4"/>
      <c r="S100" s="161">
        <f t="shared" si="28"/>
        <v>350000</v>
      </c>
      <c r="T100" s="161">
        <f t="shared" si="29"/>
        <v>0</v>
      </c>
      <c r="U100" s="161">
        <f t="shared" si="30"/>
        <v>1000000</v>
      </c>
      <c r="V100" s="161">
        <f t="shared" si="31"/>
        <v>1000000</v>
      </c>
      <c r="W100" s="4"/>
      <c r="X100" s="4"/>
      <c r="Y100" s="4"/>
      <c r="Z100" s="4"/>
      <c r="AA100" s="4">
        <f>3594305-3594305</f>
        <v>0</v>
      </c>
      <c r="AB100" s="30" t="s">
        <v>2344</v>
      </c>
      <c r="AC100" s="3">
        <v>810000</v>
      </c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</row>
    <row r="101" spans="1:55" s="498" customFormat="1" ht="30" customHeight="1">
      <c r="A101" s="160">
        <f t="shared" si="24"/>
        <v>97</v>
      </c>
      <c r="B101" s="253">
        <v>2213</v>
      </c>
      <c r="C101" s="3" t="s">
        <v>665</v>
      </c>
      <c r="D101" s="4">
        <f>14850000-7750000</f>
        <v>7100000</v>
      </c>
      <c r="E101" s="4">
        <v>7100000</v>
      </c>
      <c r="F101" s="4">
        <f t="shared" si="16"/>
        <v>0</v>
      </c>
      <c r="G101" s="19">
        <v>0</v>
      </c>
      <c r="H101" s="19">
        <v>0</v>
      </c>
      <c r="I101" s="19">
        <v>0</v>
      </c>
      <c r="J101" s="19">
        <v>0</v>
      </c>
      <c r="K101" s="4">
        <f t="shared" ref="K101:K111" si="32">SUM(I101:J101)</f>
        <v>0</v>
      </c>
      <c r="L101" s="4">
        <f t="shared" si="17"/>
        <v>0</v>
      </c>
      <c r="M101" s="4">
        <f t="shared" si="18"/>
        <v>0</v>
      </c>
      <c r="N101" s="4">
        <f>7100000+7750000-7750000</f>
        <v>7100000</v>
      </c>
      <c r="O101" s="4">
        <f t="shared" si="20"/>
        <v>0</v>
      </c>
      <c r="P101" s="4">
        <f t="shared" si="21"/>
        <v>0</v>
      </c>
      <c r="Q101" s="19"/>
      <c r="R101" s="19"/>
      <c r="S101" s="4">
        <f>SUM(Q101:R101)</f>
        <v>0</v>
      </c>
      <c r="T101" s="4">
        <f t="shared" si="29"/>
        <v>0</v>
      </c>
      <c r="U101" s="4">
        <f t="shared" si="30"/>
        <v>7100000</v>
      </c>
      <c r="V101" s="4"/>
      <c r="W101" s="4">
        <f>U101-V101-AA101-Z101</f>
        <v>0</v>
      </c>
      <c r="X101" s="4"/>
      <c r="Y101" s="4"/>
      <c r="Z101" s="4">
        <f>7100000</f>
        <v>7100000</v>
      </c>
      <c r="AA101" s="4"/>
      <c r="AB101" s="3" t="s">
        <v>2228</v>
      </c>
      <c r="AC101" s="3">
        <v>870000</v>
      </c>
      <c r="AD101" s="154"/>
      <c r="AE101" s="154"/>
      <c r="AF101" s="154"/>
      <c r="AG101" s="154"/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</row>
    <row r="102" spans="1:55" s="5" customFormat="1" ht="30" customHeight="1">
      <c r="A102" s="160">
        <f t="shared" si="24"/>
        <v>98</v>
      </c>
      <c r="B102" s="30">
        <v>2220</v>
      </c>
      <c r="C102" s="3" t="s">
        <v>685</v>
      </c>
      <c r="D102" s="4">
        <f>800000+200000</f>
        <v>1000000</v>
      </c>
      <c r="E102" s="4">
        <v>800000</v>
      </c>
      <c r="F102" s="4">
        <f t="shared" si="16"/>
        <v>200000</v>
      </c>
      <c r="G102" s="4">
        <v>0</v>
      </c>
      <c r="H102" s="4">
        <v>0</v>
      </c>
      <c r="I102" s="4">
        <v>0</v>
      </c>
      <c r="J102" s="4">
        <v>0</v>
      </c>
      <c r="K102" s="4">
        <f t="shared" si="32"/>
        <v>0</v>
      </c>
      <c r="L102" s="4">
        <f>H102+K102</f>
        <v>0</v>
      </c>
      <c r="M102" s="4">
        <f t="shared" si="18"/>
        <v>0</v>
      </c>
      <c r="N102" s="4">
        <v>1000000</v>
      </c>
      <c r="O102" s="4">
        <f t="shared" si="20"/>
        <v>0</v>
      </c>
      <c r="P102" s="4">
        <f t="shared" si="21"/>
        <v>0</v>
      </c>
      <c r="Q102" s="4"/>
      <c r="R102" s="4"/>
      <c r="S102" s="4">
        <f>SUM(Q102:R102)</f>
        <v>0</v>
      </c>
      <c r="T102" s="4">
        <f t="shared" si="29"/>
        <v>0</v>
      </c>
      <c r="U102" s="4">
        <f t="shared" si="30"/>
        <v>1000000</v>
      </c>
      <c r="V102" s="4">
        <f>U102-AA102-W102-Z102</f>
        <v>1000000</v>
      </c>
      <c r="W102" s="4"/>
      <c r="X102" s="4"/>
      <c r="Y102" s="4"/>
      <c r="Z102" s="4"/>
      <c r="AA102" s="4"/>
      <c r="AB102" s="3" t="s">
        <v>2221</v>
      </c>
      <c r="AC102" s="3">
        <v>746000</v>
      </c>
      <c r="AD102" s="154"/>
      <c r="AE102" s="154"/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</row>
    <row r="103" spans="1:55" s="5" customFormat="1" ht="30" customHeight="1">
      <c r="A103" s="160">
        <f t="shared" si="24"/>
        <v>99</v>
      </c>
      <c r="B103" s="30">
        <v>20010</v>
      </c>
      <c r="C103" s="3" t="s">
        <v>1790</v>
      </c>
      <c r="D103" s="4">
        <v>7000000</v>
      </c>
      <c r="E103" s="4"/>
      <c r="F103" s="4">
        <f t="shared" si="16"/>
        <v>7000000</v>
      </c>
      <c r="G103" s="4">
        <v>0</v>
      </c>
      <c r="H103" s="4">
        <v>0</v>
      </c>
      <c r="I103" s="4">
        <v>0</v>
      </c>
      <c r="J103" s="4">
        <v>0</v>
      </c>
      <c r="K103" s="4">
        <f t="shared" si="32"/>
        <v>0</v>
      </c>
      <c r="L103" s="4">
        <f t="shared" ref="L103:L111" si="33">H103+K103</f>
        <v>0</v>
      </c>
      <c r="M103" s="4">
        <f t="shared" si="18"/>
        <v>0</v>
      </c>
      <c r="N103" s="4">
        <v>500000</v>
      </c>
      <c r="O103" s="4">
        <f t="shared" si="20"/>
        <v>6500000</v>
      </c>
      <c r="P103" s="4">
        <f t="shared" si="21"/>
        <v>0</v>
      </c>
      <c r="Q103" s="4"/>
      <c r="R103" s="4"/>
      <c r="S103" s="4">
        <f t="shared" ref="S103:S111" si="34">SUM(Q103:R103)</f>
        <v>0</v>
      </c>
      <c r="T103" s="4">
        <f t="shared" si="29"/>
        <v>0</v>
      </c>
      <c r="U103" s="4">
        <f t="shared" si="30"/>
        <v>500000</v>
      </c>
      <c r="V103" s="4">
        <f t="shared" ref="V103:V111" si="35">U103-AA103-W103-Z103</f>
        <v>500000</v>
      </c>
      <c r="W103" s="4"/>
      <c r="X103" s="4"/>
      <c r="Y103" s="4"/>
      <c r="Z103" s="4"/>
      <c r="AA103" s="4"/>
      <c r="AB103" s="3" t="s">
        <v>2345</v>
      </c>
      <c r="AC103" s="3">
        <v>810000</v>
      </c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</row>
    <row r="104" spans="1:55" s="5" customFormat="1" ht="30" customHeight="1">
      <c r="A104" s="160">
        <f t="shared" si="24"/>
        <v>100</v>
      </c>
      <c r="B104" s="30">
        <v>20011</v>
      </c>
      <c r="C104" s="3" t="s">
        <v>1795</v>
      </c>
      <c r="D104" s="4">
        <v>18500000</v>
      </c>
      <c r="E104" s="4"/>
      <c r="F104" s="4">
        <f t="shared" si="16"/>
        <v>18500000</v>
      </c>
      <c r="G104" s="4">
        <v>0</v>
      </c>
      <c r="H104" s="4">
        <v>0</v>
      </c>
      <c r="I104" s="4">
        <v>0</v>
      </c>
      <c r="J104" s="4">
        <v>0</v>
      </c>
      <c r="K104" s="4">
        <f t="shared" si="32"/>
        <v>0</v>
      </c>
      <c r="L104" s="4">
        <f t="shared" si="33"/>
        <v>0</v>
      </c>
      <c r="M104" s="4">
        <f t="shared" si="18"/>
        <v>0</v>
      </c>
      <c r="N104" s="4">
        <f>8500000-8000000</f>
        <v>500000</v>
      </c>
      <c r="O104" s="4">
        <f t="shared" si="20"/>
        <v>18000000</v>
      </c>
      <c r="P104" s="4">
        <f t="shared" si="21"/>
        <v>0</v>
      </c>
      <c r="Q104" s="4"/>
      <c r="R104" s="4"/>
      <c r="S104" s="4">
        <f t="shared" si="34"/>
        <v>0</v>
      </c>
      <c r="T104" s="4">
        <f t="shared" si="29"/>
        <v>0</v>
      </c>
      <c r="U104" s="4">
        <f t="shared" si="30"/>
        <v>500000</v>
      </c>
      <c r="V104" s="4">
        <f t="shared" si="35"/>
        <v>500000</v>
      </c>
      <c r="W104" s="4"/>
      <c r="X104" s="4"/>
      <c r="Y104" s="4"/>
      <c r="Z104" s="4"/>
      <c r="AA104" s="4">
        <f>3051220-3051220</f>
        <v>0</v>
      </c>
      <c r="AB104" s="3" t="s">
        <v>2192</v>
      </c>
      <c r="AC104" s="3">
        <v>810000</v>
      </c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</row>
    <row r="105" spans="1:55" s="5" customFormat="1" ht="30" customHeight="1">
      <c r="A105" s="160">
        <f t="shared" si="24"/>
        <v>101</v>
      </c>
      <c r="B105" s="30">
        <v>20012</v>
      </c>
      <c r="C105" s="3" t="s">
        <v>1799</v>
      </c>
      <c r="D105" s="4">
        <v>7000000</v>
      </c>
      <c r="E105" s="4"/>
      <c r="F105" s="4">
        <f t="shared" si="16"/>
        <v>7000000</v>
      </c>
      <c r="G105" s="4">
        <v>0</v>
      </c>
      <c r="H105" s="4">
        <v>0</v>
      </c>
      <c r="I105" s="4">
        <v>0</v>
      </c>
      <c r="J105" s="4">
        <v>0</v>
      </c>
      <c r="K105" s="4">
        <f t="shared" si="32"/>
        <v>0</v>
      </c>
      <c r="L105" s="4">
        <f t="shared" si="33"/>
        <v>0</v>
      </c>
      <c r="M105" s="4">
        <f t="shared" si="18"/>
        <v>0</v>
      </c>
      <c r="N105" s="4">
        <f>7000000-6500000</f>
        <v>500000</v>
      </c>
      <c r="O105" s="4">
        <f t="shared" si="20"/>
        <v>6500000</v>
      </c>
      <c r="P105" s="4">
        <f t="shared" si="21"/>
        <v>0</v>
      </c>
      <c r="Q105" s="4"/>
      <c r="R105" s="4"/>
      <c r="S105" s="4">
        <f t="shared" si="34"/>
        <v>0</v>
      </c>
      <c r="T105" s="4">
        <f t="shared" si="29"/>
        <v>0</v>
      </c>
      <c r="U105" s="4">
        <f t="shared" si="30"/>
        <v>500000</v>
      </c>
      <c r="V105" s="4">
        <f t="shared" si="35"/>
        <v>500000</v>
      </c>
      <c r="W105" s="4"/>
      <c r="X105" s="4"/>
      <c r="Y105" s="4"/>
      <c r="Z105" s="4"/>
      <c r="AA105" s="4">
        <f>2288415-2288415</f>
        <v>0</v>
      </c>
      <c r="AB105" s="3" t="s">
        <v>2194</v>
      </c>
      <c r="AC105" s="3">
        <v>810000</v>
      </c>
      <c r="AD105" s="154"/>
      <c r="AE105" s="154"/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</row>
    <row r="106" spans="1:55" s="5" customFormat="1" ht="35.450000000000003" customHeight="1">
      <c r="A106" s="160">
        <f t="shared" si="24"/>
        <v>102</v>
      </c>
      <c r="B106" s="30">
        <v>20013</v>
      </c>
      <c r="C106" s="3" t="s">
        <v>1804</v>
      </c>
      <c r="D106" s="4">
        <v>500000</v>
      </c>
      <c r="E106" s="4"/>
      <c r="F106" s="4">
        <f t="shared" si="16"/>
        <v>500000</v>
      </c>
      <c r="G106" s="4">
        <v>0</v>
      </c>
      <c r="H106" s="4">
        <v>0</v>
      </c>
      <c r="I106" s="4">
        <v>0</v>
      </c>
      <c r="J106" s="4">
        <v>0</v>
      </c>
      <c r="K106" s="4">
        <f t="shared" si="32"/>
        <v>0</v>
      </c>
      <c r="L106" s="4">
        <f t="shared" si="33"/>
        <v>0</v>
      </c>
      <c r="M106" s="4">
        <f t="shared" si="18"/>
        <v>0</v>
      </c>
      <c r="N106" s="4">
        <v>500000</v>
      </c>
      <c r="O106" s="4">
        <f t="shared" si="20"/>
        <v>0</v>
      </c>
      <c r="P106" s="4">
        <f t="shared" si="21"/>
        <v>0</v>
      </c>
      <c r="Q106" s="4"/>
      <c r="R106" s="4"/>
      <c r="S106" s="4">
        <f t="shared" si="34"/>
        <v>0</v>
      </c>
      <c r="T106" s="4">
        <f t="shared" si="29"/>
        <v>0</v>
      </c>
      <c r="U106" s="4">
        <f t="shared" si="30"/>
        <v>500000</v>
      </c>
      <c r="V106" s="4">
        <f t="shared" si="35"/>
        <v>500000</v>
      </c>
      <c r="W106" s="4"/>
      <c r="X106" s="4"/>
      <c r="Y106" s="4"/>
      <c r="Z106" s="4"/>
      <c r="AA106" s="4"/>
      <c r="AB106" s="3" t="s">
        <v>2196</v>
      </c>
      <c r="AC106" s="3">
        <v>810000</v>
      </c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</row>
    <row r="107" spans="1:55" s="5" customFormat="1" ht="30" customHeight="1">
      <c r="A107" s="160">
        <f t="shared" si="24"/>
        <v>103</v>
      </c>
      <c r="B107" s="30">
        <v>20014</v>
      </c>
      <c r="C107" s="3" t="s">
        <v>1808</v>
      </c>
      <c r="D107" s="4">
        <v>200000</v>
      </c>
      <c r="E107" s="4"/>
      <c r="F107" s="4">
        <f t="shared" si="16"/>
        <v>200000</v>
      </c>
      <c r="G107" s="4">
        <v>0</v>
      </c>
      <c r="H107" s="4">
        <v>0</v>
      </c>
      <c r="I107" s="4">
        <v>0</v>
      </c>
      <c r="J107" s="4">
        <v>0</v>
      </c>
      <c r="K107" s="4">
        <f t="shared" si="32"/>
        <v>0</v>
      </c>
      <c r="L107" s="4">
        <f t="shared" si="33"/>
        <v>0</v>
      </c>
      <c r="M107" s="4">
        <f t="shared" si="18"/>
        <v>0</v>
      </c>
      <c r="N107" s="4">
        <v>200000</v>
      </c>
      <c r="O107" s="4">
        <f t="shared" si="20"/>
        <v>0</v>
      </c>
      <c r="P107" s="4">
        <f t="shared" si="21"/>
        <v>0</v>
      </c>
      <c r="Q107" s="4"/>
      <c r="R107" s="4"/>
      <c r="S107" s="4">
        <f t="shared" si="34"/>
        <v>0</v>
      </c>
      <c r="T107" s="4">
        <f t="shared" si="29"/>
        <v>0</v>
      </c>
      <c r="U107" s="4">
        <f t="shared" si="30"/>
        <v>200000</v>
      </c>
      <c r="V107" s="4">
        <f t="shared" si="35"/>
        <v>200000</v>
      </c>
      <c r="W107" s="4"/>
      <c r="X107" s="4"/>
      <c r="Y107" s="4"/>
      <c r="Z107" s="4"/>
      <c r="AA107" s="4"/>
      <c r="AB107" s="3" t="s">
        <v>2197</v>
      </c>
      <c r="AC107" s="3">
        <v>829000</v>
      </c>
      <c r="AD107" s="154"/>
      <c r="AE107" s="154"/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</row>
    <row r="108" spans="1:55" s="5" customFormat="1" ht="30" customHeight="1">
      <c r="A108" s="160">
        <f t="shared" si="24"/>
        <v>104</v>
      </c>
      <c r="B108" s="30">
        <v>20015</v>
      </c>
      <c r="C108" s="3" t="s">
        <v>1812</v>
      </c>
      <c r="D108" s="4">
        <v>2000000</v>
      </c>
      <c r="E108" s="4"/>
      <c r="F108" s="4">
        <f t="shared" si="16"/>
        <v>2000000</v>
      </c>
      <c r="G108" s="4">
        <v>0</v>
      </c>
      <c r="H108" s="4">
        <v>0</v>
      </c>
      <c r="I108" s="4">
        <v>0</v>
      </c>
      <c r="J108" s="4">
        <v>0</v>
      </c>
      <c r="K108" s="4">
        <f t="shared" si="32"/>
        <v>0</v>
      </c>
      <c r="L108" s="4">
        <f t="shared" si="33"/>
        <v>0</v>
      </c>
      <c r="M108" s="4">
        <f t="shared" si="18"/>
        <v>0</v>
      </c>
      <c r="N108" s="4">
        <f>2000000-500000</f>
        <v>1500000</v>
      </c>
      <c r="O108" s="4">
        <f t="shared" si="20"/>
        <v>500000</v>
      </c>
      <c r="P108" s="4">
        <f t="shared" si="21"/>
        <v>0</v>
      </c>
      <c r="Q108" s="4"/>
      <c r="R108" s="4"/>
      <c r="S108" s="4">
        <f t="shared" si="34"/>
        <v>0</v>
      </c>
      <c r="T108" s="4">
        <f t="shared" si="29"/>
        <v>0</v>
      </c>
      <c r="U108" s="4">
        <f t="shared" si="30"/>
        <v>1500000</v>
      </c>
      <c r="V108" s="4">
        <f t="shared" si="35"/>
        <v>1500000</v>
      </c>
      <c r="W108" s="4"/>
      <c r="X108" s="4"/>
      <c r="Y108" s="4"/>
      <c r="Z108" s="4"/>
      <c r="AA108" s="4"/>
      <c r="AB108" s="3" t="s">
        <v>2307</v>
      </c>
      <c r="AC108" s="3">
        <v>829000</v>
      </c>
      <c r="AD108" s="154"/>
      <c r="AE108" s="154"/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</row>
    <row r="109" spans="1:55" s="5" customFormat="1" ht="30" customHeight="1">
      <c r="A109" s="160">
        <f t="shared" si="24"/>
        <v>105</v>
      </c>
      <c r="B109" s="30">
        <v>20016</v>
      </c>
      <c r="C109" s="3" t="s">
        <v>2232</v>
      </c>
      <c r="D109" s="4">
        <f>500000+200000</f>
        <v>700000</v>
      </c>
      <c r="E109" s="4"/>
      <c r="F109" s="4">
        <f t="shared" si="16"/>
        <v>700000</v>
      </c>
      <c r="G109" s="4">
        <v>0</v>
      </c>
      <c r="H109" s="4">
        <v>0</v>
      </c>
      <c r="I109" s="4">
        <v>0</v>
      </c>
      <c r="J109" s="4">
        <v>0</v>
      </c>
      <c r="K109" s="4">
        <f t="shared" si="32"/>
        <v>0</v>
      </c>
      <c r="L109" s="4">
        <f t="shared" si="33"/>
        <v>0</v>
      </c>
      <c r="M109" s="4">
        <f t="shared" si="18"/>
        <v>0</v>
      </c>
      <c r="N109" s="4">
        <f>500000+200000-200000</f>
        <v>500000</v>
      </c>
      <c r="O109" s="4">
        <f t="shared" si="20"/>
        <v>200000</v>
      </c>
      <c r="P109" s="4">
        <f t="shared" si="21"/>
        <v>0</v>
      </c>
      <c r="Q109" s="4"/>
      <c r="R109" s="4"/>
      <c r="S109" s="4">
        <f t="shared" si="34"/>
        <v>0</v>
      </c>
      <c r="T109" s="4">
        <f t="shared" si="29"/>
        <v>0</v>
      </c>
      <c r="U109" s="4">
        <f t="shared" si="30"/>
        <v>500000</v>
      </c>
      <c r="V109" s="4">
        <f t="shared" si="35"/>
        <v>500000</v>
      </c>
      <c r="W109" s="4"/>
      <c r="X109" s="4"/>
      <c r="Y109" s="4"/>
      <c r="Z109" s="4"/>
      <c r="AA109" s="4"/>
      <c r="AB109" s="3" t="s">
        <v>2229</v>
      </c>
      <c r="AC109" s="3">
        <v>826000</v>
      </c>
      <c r="AD109" s="154"/>
      <c r="AE109" s="154"/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</row>
    <row r="110" spans="1:55" s="5" customFormat="1" ht="30" customHeight="1">
      <c r="A110" s="160">
        <f t="shared" si="24"/>
        <v>106</v>
      </c>
      <c r="B110" s="30">
        <v>20017</v>
      </c>
      <c r="C110" s="3" t="s">
        <v>2233</v>
      </c>
      <c r="D110" s="4">
        <v>500000</v>
      </c>
      <c r="E110" s="4"/>
      <c r="F110" s="4">
        <f>D110-E110</f>
        <v>500000</v>
      </c>
      <c r="G110" s="4">
        <v>0</v>
      </c>
      <c r="H110" s="4">
        <v>0</v>
      </c>
      <c r="I110" s="4">
        <v>0</v>
      </c>
      <c r="J110" s="4">
        <v>0</v>
      </c>
      <c r="K110" s="4">
        <f t="shared" si="32"/>
        <v>0</v>
      </c>
      <c r="L110" s="4">
        <f>H110+K110</f>
        <v>0</v>
      </c>
      <c r="M110" s="4">
        <f>P110+S110</f>
        <v>0</v>
      </c>
      <c r="N110" s="4">
        <v>100000</v>
      </c>
      <c r="O110" s="4">
        <f>D110-L110-M110-N110</f>
        <v>400000</v>
      </c>
      <c r="P110" s="4">
        <f>G110-L110</f>
        <v>0</v>
      </c>
      <c r="Q110" s="4"/>
      <c r="R110" s="4"/>
      <c r="S110" s="4">
        <f>SUM(Q110:R110)</f>
        <v>0</v>
      </c>
      <c r="T110" s="4">
        <f>P110-M110+S110</f>
        <v>0</v>
      </c>
      <c r="U110" s="4">
        <f>N110-T110</f>
        <v>100000</v>
      </c>
      <c r="V110" s="4">
        <f>U110-AA110-W110-Z110</f>
        <v>100000</v>
      </c>
      <c r="W110" s="4"/>
      <c r="X110" s="4"/>
      <c r="Y110" s="4"/>
      <c r="Z110" s="4"/>
      <c r="AA110" s="4"/>
      <c r="AB110" s="3" t="s">
        <v>2234</v>
      </c>
      <c r="AC110" s="3">
        <v>850000</v>
      </c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</row>
    <row r="111" spans="1:55" s="5" customFormat="1" ht="30" customHeight="1">
      <c r="A111" s="160">
        <f t="shared" si="24"/>
        <v>107</v>
      </c>
      <c r="B111" s="30">
        <v>20018</v>
      </c>
      <c r="C111" s="3" t="s">
        <v>2230</v>
      </c>
      <c r="D111" s="4">
        <v>150000</v>
      </c>
      <c r="E111" s="4"/>
      <c r="F111" s="4">
        <f t="shared" si="16"/>
        <v>150000</v>
      </c>
      <c r="G111" s="4">
        <v>0</v>
      </c>
      <c r="H111" s="4">
        <v>0</v>
      </c>
      <c r="I111" s="4">
        <v>0</v>
      </c>
      <c r="J111" s="4">
        <v>0</v>
      </c>
      <c r="K111" s="4">
        <f t="shared" si="32"/>
        <v>0</v>
      </c>
      <c r="L111" s="4">
        <f t="shared" si="33"/>
        <v>0</v>
      </c>
      <c r="M111" s="4">
        <f t="shared" si="18"/>
        <v>0</v>
      </c>
      <c r="N111" s="4">
        <v>150000</v>
      </c>
      <c r="O111" s="4">
        <f t="shared" si="20"/>
        <v>0</v>
      </c>
      <c r="P111" s="4">
        <f t="shared" si="21"/>
        <v>0</v>
      </c>
      <c r="Q111" s="4"/>
      <c r="R111" s="4"/>
      <c r="S111" s="4">
        <f t="shared" si="34"/>
        <v>0</v>
      </c>
      <c r="T111" s="4">
        <f t="shared" si="29"/>
        <v>0</v>
      </c>
      <c r="U111" s="4">
        <f t="shared" si="30"/>
        <v>150000</v>
      </c>
      <c r="V111" s="4">
        <f t="shared" si="35"/>
        <v>150000</v>
      </c>
      <c r="W111" s="4"/>
      <c r="X111" s="4"/>
      <c r="Y111" s="4"/>
      <c r="Z111" s="4"/>
      <c r="AA111" s="4"/>
      <c r="AB111" s="3" t="s">
        <v>2231</v>
      </c>
      <c r="AC111" s="3">
        <v>826000</v>
      </c>
      <c r="AD111" s="154"/>
      <c r="AE111" s="154"/>
      <c r="AF111" s="154"/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</row>
    <row r="112" spans="1:55" s="271" customFormat="1" ht="30" customHeight="1">
      <c r="A112" s="166"/>
      <c r="B112" s="270"/>
      <c r="C112" s="166" t="s">
        <v>204</v>
      </c>
      <c r="D112" s="168">
        <f t="shared" ref="D112:AA112" si="36">SUM(D5:D111)</f>
        <v>2196063843</v>
      </c>
      <c r="E112" s="168">
        <f t="shared" si="36"/>
        <v>2001644187</v>
      </c>
      <c r="F112" s="168">
        <f t="shared" si="36"/>
        <v>194419656</v>
      </c>
      <c r="G112" s="168">
        <f t="shared" si="36"/>
        <v>917940342</v>
      </c>
      <c r="H112" s="168">
        <f t="shared" si="36"/>
        <v>761689266</v>
      </c>
      <c r="I112" s="168">
        <f t="shared" si="36"/>
        <v>3316292</v>
      </c>
      <c r="J112" s="168">
        <f t="shared" si="36"/>
        <v>36255668</v>
      </c>
      <c r="K112" s="168">
        <f t="shared" si="36"/>
        <v>39571960</v>
      </c>
      <c r="L112" s="168">
        <f t="shared" si="36"/>
        <v>801261226</v>
      </c>
      <c r="M112" s="168">
        <f t="shared" si="36"/>
        <v>247736582</v>
      </c>
      <c r="N112" s="168">
        <f t="shared" si="36"/>
        <v>163127549</v>
      </c>
      <c r="O112" s="168">
        <f t="shared" si="36"/>
        <v>983938486</v>
      </c>
      <c r="P112" s="168">
        <f t="shared" si="36"/>
        <v>116679116</v>
      </c>
      <c r="Q112" s="168">
        <f t="shared" si="36"/>
        <v>125060000</v>
      </c>
      <c r="R112" s="168">
        <f t="shared" si="36"/>
        <v>12861802</v>
      </c>
      <c r="S112" s="168">
        <f t="shared" si="36"/>
        <v>137921802</v>
      </c>
      <c r="T112" s="168">
        <f t="shared" si="36"/>
        <v>6864336</v>
      </c>
      <c r="U112" s="168">
        <f t="shared" si="36"/>
        <v>156263213</v>
      </c>
      <c r="V112" s="168">
        <f t="shared" si="36"/>
        <v>93560980</v>
      </c>
      <c r="W112" s="168">
        <f t="shared" si="36"/>
        <v>1500000</v>
      </c>
      <c r="X112" s="168">
        <f t="shared" si="36"/>
        <v>0</v>
      </c>
      <c r="Y112" s="168">
        <f t="shared" si="36"/>
        <v>0</v>
      </c>
      <c r="Z112" s="168">
        <f t="shared" si="36"/>
        <v>7100000</v>
      </c>
      <c r="AA112" s="168">
        <f t="shared" si="36"/>
        <v>54102233</v>
      </c>
      <c r="AB112" s="168">
        <f>SUM(AB5:AB58)</f>
        <v>0</v>
      </c>
      <c r="AC112" s="168"/>
      <c r="AD112" s="154"/>
      <c r="AE112" s="154"/>
      <c r="AF112" s="154"/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</row>
    <row r="113" spans="1:55" s="271" customFormat="1" ht="30" hidden="1" customHeight="1">
      <c r="A113" s="166"/>
      <c r="B113" s="270"/>
      <c r="C113" s="166"/>
      <c r="D113" s="168"/>
      <c r="E113" s="168"/>
      <c r="F113" s="168"/>
      <c r="G113" s="168"/>
      <c r="H113" s="168"/>
      <c r="I113" s="168"/>
      <c r="J113" s="168"/>
      <c r="K113" s="168"/>
      <c r="L113" s="168">
        <f>K112+H112</f>
        <v>801261226</v>
      </c>
      <c r="M113" s="168">
        <f>P113+S112-T112</f>
        <v>247736582</v>
      </c>
      <c r="N113" s="168"/>
      <c r="O113" s="168"/>
      <c r="P113" s="161">
        <f>G112-L113</f>
        <v>116679116</v>
      </c>
      <c r="Q113" s="168"/>
      <c r="R113" s="168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54"/>
      <c r="AE113" s="154"/>
      <c r="AF113" s="154"/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</row>
    <row r="114" spans="1:55" s="271" customFormat="1" ht="30" customHeight="1">
      <c r="A114" s="166"/>
      <c r="B114" s="270"/>
      <c r="C114" s="166"/>
      <c r="D114" s="168"/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61">
        <f t="shared" si="21"/>
        <v>0</v>
      </c>
      <c r="Q114" s="168"/>
      <c r="R114" s="168"/>
      <c r="S114" s="168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</row>
    <row r="115" spans="1:55" s="271" customFormat="1" ht="30" customHeight="1">
      <c r="A115" s="166"/>
      <c r="B115" s="270"/>
      <c r="C115" s="166" t="s">
        <v>150</v>
      </c>
      <c r="D115" s="168"/>
      <c r="E115" s="168"/>
      <c r="F115" s="168"/>
      <c r="G115" s="168"/>
      <c r="H115" s="168"/>
      <c r="I115" s="168"/>
      <c r="J115" s="168"/>
      <c r="K115" s="168"/>
      <c r="L115" s="168"/>
      <c r="M115" s="168"/>
      <c r="N115" s="168"/>
      <c r="O115" s="168"/>
      <c r="P115" s="161">
        <f t="shared" si="21"/>
        <v>0</v>
      </c>
      <c r="Q115" s="168"/>
      <c r="R115" s="168"/>
      <c r="S115" s="168"/>
      <c r="T115" s="168"/>
      <c r="U115" s="168"/>
      <c r="V115" s="168"/>
      <c r="W115" s="168"/>
      <c r="X115" s="168"/>
      <c r="Y115" s="168"/>
      <c r="Z115" s="168"/>
      <c r="AA115" s="168"/>
      <c r="AB115" s="157"/>
      <c r="AC115" s="166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</row>
    <row r="116" spans="1:55" s="164" customFormat="1" ht="30" customHeight="1">
      <c r="A116" s="160">
        <f>A111+1</f>
        <v>108</v>
      </c>
      <c r="B116" s="160">
        <v>1547</v>
      </c>
      <c r="C116" s="160" t="s">
        <v>526</v>
      </c>
      <c r="D116" s="161">
        <v>144000000</v>
      </c>
      <c r="E116" s="161">
        <v>144000000</v>
      </c>
      <c r="F116" s="161">
        <f t="shared" ref="F116:F128" si="37">D116-E116</f>
        <v>0</v>
      </c>
      <c r="G116" s="161">
        <v>114000000</v>
      </c>
      <c r="H116" s="161">
        <v>104414485</v>
      </c>
      <c r="I116" s="161">
        <v>0</v>
      </c>
      <c r="J116" s="161">
        <v>2378300</v>
      </c>
      <c r="K116" s="161">
        <f t="shared" ref="K116:K128" si="38">SUM(I116:J116)</f>
        <v>2378300</v>
      </c>
      <c r="L116" s="161">
        <f t="shared" ref="L116:L128" si="39">K116+H116</f>
        <v>106792785</v>
      </c>
      <c r="M116" s="161">
        <f>P116+S116</f>
        <v>7207215</v>
      </c>
      <c r="N116" s="161"/>
      <c r="O116" s="161">
        <f t="shared" ref="O116:O128" si="40">D116-L116-M116-N116</f>
        <v>30000000</v>
      </c>
      <c r="P116" s="161">
        <f t="shared" si="21"/>
        <v>7207215</v>
      </c>
      <c r="Q116" s="161"/>
      <c r="R116" s="161"/>
      <c r="S116" s="161">
        <f>SUM(Q116:R116)</f>
        <v>0</v>
      </c>
      <c r="T116" s="161">
        <f>P116-M116+S116</f>
        <v>0</v>
      </c>
      <c r="U116" s="161">
        <f>N116-T116</f>
        <v>0</v>
      </c>
      <c r="V116" s="161">
        <f>U116-Z116-X116-AA116-W116-Y116</f>
        <v>0</v>
      </c>
      <c r="W116" s="161"/>
      <c r="X116" s="161"/>
      <c r="Y116" s="161"/>
      <c r="Z116" s="161"/>
      <c r="AA116" s="336"/>
      <c r="AB116" s="160" t="s">
        <v>429</v>
      </c>
      <c r="AC116" s="160">
        <v>742000</v>
      </c>
      <c r="AD116" s="154"/>
      <c r="AE116" s="154"/>
      <c r="AF116" s="154"/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</row>
    <row r="117" spans="1:55" ht="30" customHeight="1">
      <c r="A117" s="160">
        <f>A116+1</f>
        <v>109</v>
      </c>
      <c r="B117" s="267">
        <v>1827</v>
      </c>
      <c r="C117" s="160" t="s">
        <v>527</v>
      </c>
      <c r="D117" s="161">
        <v>100000000</v>
      </c>
      <c r="E117" s="161">
        <v>100000000</v>
      </c>
      <c r="F117" s="161">
        <f t="shared" si="37"/>
        <v>0</v>
      </c>
      <c r="G117" s="161">
        <f>83771629+12548673</f>
        <v>96320302</v>
      </c>
      <c r="H117" s="161">
        <v>78059808</v>
      </c>
      <c r="I117" s="161">
        <v>0</v>
      </c>
      <c r="J117" s="161">
        <v>3324726</v>
      </c>
      <c r="K117" s="161">
        <f t="shared" si="38"/>
        <v>3324726</v>
      </c>
      <c r="L117" s="161">
        <f t="shared" si="39"/>
        <v>81384534</v>
      </c>
      <c r="M117" s="161">
        <f t="shared" ref="M117:M128" si="41">P117+S117</f>
        <v>5935768</v>
      </c>
      <c r="N117" s="161">
        <f>9000000-2000000</f>
        <v>7000000</v>
      </c>
      <c r="O117" s="161">
        <f t="shared" si="40"/>
        <v>5679698</v>
      </c>
      <c r="P117" s="161">
        <f t="shared" si="21"/>
        <v>14935768</v>
      </c>
      <c r="Q117" s="161">
        <f>12548673-12548673</f>
        <v>0</v>
      </c>
      <c r="R117" s="161">
        <v>-9000000</v>
      </c>
      <c r="S117" s="161">
        <f t="shared" ref="S117:S128" si="42">SUM(Q117:R117)</f>
        <v>-9000000</v>
      </c>
      <c r="T117" s="161">
        <f t="shared" ref="T117:T128" si="43">P117-M117+S117</f>
        <v>0</v>
      </c>
      <c r="U117" s="161">
        <f t="shared" ref="U117:U128" si="44">N117-T117</f>
        <v>7000000</v>
      </c>
      <c r="V117" s="161">
        <f t="shared" ref="V117:V128" si="45">U117-Z117-X117-AA117-W117-Y117</f>
        <v>3320302</v>
      </c>
      <c r="W117" s="161"/>
      <c r="X117" s="161"/>
      <c r="Y117" s="161"/>
      <c r="Z117" s="161"/>
      <c r="AA117" s="161">
        <f>70000000-66320302</f>
        <v>3679698</v>
      </c>
      <c r="AB117" s="160" t="s">
        <v>429</v>
      </c>
      <c r="AC117" s="160">
        <v>746000</v>
      </c>
    </row>
    <row r="118" spans="1:55" s="164" customFormat="1" ht="30" customHeight="1">
      <c r="A118" s="160">
        <f>A117+1</f>
        <v>110</v>
      </c>
      <c r="B118" s="160">
        <v>1905</v>
      </c>
      <c r="C118" s="160" t="s">
        <v>117</v>
      </c>
      <c r="D118" s="161">
        <v>3366000</v>
      </c>
      <c r="E118" s="161">
        <v>3366000</v>
      </c>
      <c r="F118" s="161">
        <f t="shared" si="37"/>
        <v>0</v>
      </c>
      <c r="G118" s="161">
        <v>3366000</v>
      </c>
      <c r="H118" s="161">
        <v>0</v>
      </c>
      <c r="I118" s="161">
        <v>0</v>
      </c>
      <c r="J118" s="161">
        <v>0</v>
      </c>
      <c r="K118" s="161">
        <f t="shared" si="38"/>
        <v>0</v>
      </c>
      <c r="L118" s="161">
        <f t="shared" si="39"/>
        <v>0</v>
      </c>
      <c r="M118" s="161">
        <f t="shared" si="41"/>
        <v>3366000</v>
      </c>
      <c r="N118" s="161"/>
      <c r="O118" s="161">
        <f t="shared" si="40"/>
        <v>0</v>
      </c>
      <c r="P118" s="161">
        <f t="shared" si="21"/>
        <v>3366000</v>
      </c>
      <c r="Q118" s="161"/>
      <c r="R118" s="161"/>
      <c r="S118" s="161">
        <f t="shared" si="42"/>
        <v>0</v>
      </c>
      <c r="T118" s="161">
        <f t="shared" si="43"/>
        <v>0</v>
      </c>
      <c r="U118" s="161">
        <f t="shared" si="44"/>
        <v>0</v>
      </c>
      <c r="V118" s="161">
        <f t="shared" si="45"/>
        <v>0</v>
      </c>
      <c r="W118" s="161"/>
      <c r="X118" s="161"/>
      <c r="Y118" s="161"/>
      <c r="Z118" s="161"/>
      <c r="AA118" s="161"/>
      <c r="AB118" s="160" t="s">
        <v>435</v>
      </c>
      <c r="AC118" s="160">
        <v>746000</v>
      </c>
      <c r="AD118" s="154"/>
      <c r="AE118" s="154"/>
      <c r="AF118" s="154"/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</row>
    <row r="119" spans="1:55" s="164" customFormat="1" ht="30" customHeight="1">
      <c r="A119" s="160">
        <f t="shared" ref="A119:A128" si="46">A118+1</f>
        <v>111</v>
      </c>
      <c r="B119" s="160">
        <v>1908</v>
      </c>
      <c r="C119" s="160" t="s">
        <v>136</v>
      </c>
      <c r="D119" s="161">
        <f>19080000-25504</f>
        <v>19054496</v>
      </c>
      <c r="E119" s="161">
        <v>19080000</v>
      </c>
      <c r="F119" s="161">
        <f t="shared" si="37"/>
        <v>-25504</v>
      </c>
      <c r="G119" s="161">
        <f>12080000+4000000</f>
        <v>16080000</v>
      </c>
      <c r="H119" s="161">
        <v>12703082</v>
      </c>
      <c r="I119" s="161">
        <v>0</v>
      </c>
      <c r="J119" s="161">
        <v>1979662</v>
      </c>
      <c r="K119" s="161">
        <f t="shared" si="38"/>
        <v>1979662</v>
      </c>
      <c r="L119" s="161">
        <f t="shared" si="39"/>
        <v>14682744</v>
      </c>
      <c r="M119" s="161">
        <f t="shared" si="41"/>
        <v>4371752</v>
      </c>
      <c r="N119" s="161"/>
      <c r="O119" s="161">
        <f t="shared" si="40"/>
        <v>0</v>
      </c>
      <c r="P119" s="161">
        <f t="shared" si="21"/>
        <v>1397256</v>
      </c>
      <c r="Q119" s="161">
        <f>7000000-1525504-4000000</f>
        <v>1474496</v>
      </c>
      <c r="R119" s="161">
        <v>1500000</v>
      </c>
      <c r="S119" s="161">
        <f t="shared" si="42"/>
        <v>2974496</v>
      </c>
      <c r="T119" s="161">
        <f t="shared" si="43"/>
        <v>0</v>
      </c>
      <c r="U119" s="161">
        <f t="shared" si="44"/>
        <v>0</v>
      </c>
      <c r="V119" s="161">
        <f t="shared" si="45"/>
        <v>0</v>
      </c>
      <c r="W119" s="161"/>
      <c r="X119" s="161"/>
      <c r="Y119" s="161"/>
      <c r="Z119" s="161"/>
      <c r="AA119" s="161"/>
      <c r="AB119" s="272" t="s">
        <v>2347</v>
      </c>
      <c r="AC119" s="160">
        <v>810000</v>
      </c>
      <c r="AD119" s="154"/>
      <c r="AE119" s="154"/>
      <c r="AF119" s="154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</row>
    <row r="120" spans="1:55" ht="30" customHeight="1">
      <c r="A120" s="160">
        <f t="shared" si="46"/>
        <v>112</v>
      </c>
      <c r="B120" s="267">
        <v>1909</v>
      </c>
      <c r="C120" s="160" t="s">
        <v>585</v>
      </c>
      <c r="D120" s="161">
        <v>184500000</v>
      </c>
      <c r="E120" s="161">
        <v>184500000</v>
      </c>
      <c r="F120" s="161">
        <f t="shared" si="37"/>
        <v>0</v>
      </c>
      <c r="G120" s="161">
        <f>41650000+4000000</f>
        <v>45650000</v>
      </c>
      <c r="H120" s="161">
        <v>43462587</v>
      </c>
      <c r="I120" s="161">
        <v>0</v>
      </c>
      <c r="J120" s="161">
        <v>1485767</v>
      </c>
      <c r="K120" s="161">
        <f t="shared" si="38"/>
        <v>1485767</v>
      </c>
      <c r="L120" s="161">
        <f t="shared" si="39"/>
        <v>44948354</v>
      </c>
      <c r="M120" s="161">
        <f t="shared" si="41"/>
        <v>17806856</v>
      </c>
      <c r="N120" s="161">
        <f>102850000-60000000+40000000</f>
        <v>82850000</v>
      </c>
      <c r="O120" s="161">
        <f t="shared" si="40"/>
        <v>38894790</v>
      </c>
      <c r="P120" s="161">
        <f t="shared" si="21"/>
        <v>701646</v>
      </c>
      <c r="Q120" s="161">
        <f>40000000-18894790-4000000</f>
        <v>17105210</v>
      </c>
      <c r="R120" s="161"/>
      <c r="S120" s="161">
        <f t="shared" si="42"/>
        <v>17105210</v>
      </c>
      <c r="T120" s="161">
        <f t="shared" si="43"/>
        <v>0</v>
      </c>
      <c r="U120" s="161">
        <f t="shared" si="44"/>
        <v>82850000</v>
      </c>
      <c r="V120" s="161">
        <f t="shared" si="45"/>
        <v>63646245</v>
      </c>
      <c r="W120" s="161"/>
      <c r="X120" s="161"/>
      <c r="Y120" s="161"/>
      <c r="Z120" s="161"/>
      <c r="AA120" s="161">
        <f>15389730+3814025-15389730-3814025+15389730+3814025</f>
        <v>19203755</v>
      </c>
      <c r="AB120" s="268" t="s">
        <v>2444</v>
      </c>
      <c r="AC120" s="160">
        <v>810000</v>
      </c>
    </row>
    <row r="121" spans="1:55" ht="30" customHeight="1">
      <c r="A121" s="160">
        <f t="shared" si="46"/>
        <v>113</v>
      </c>
      <c r="B121" s="267">
        <v>1911</v>
      </c>
      <c r="C121" s="160" t="s">
        <v>335</v>
      </c>
      <c r="D121" s="161">
        <v>29050000</v>
      </c>
      <c r="E121" s="161">
        <v>29050000</v>
      </c>
      <c r="F121" s="161">
        <f t="shared" si="37"/>
        <v>0</v>
      </c>
      <c r="G121" s="161">
        <f>18332067+5717933</f>
        <v>24050000</v>
      </c>
      <c r="H121" s="161">
        <v>19323086</v>
      </c>
      <c r="I121" s="161">
        <v>0</v>
      </c>
      <c r="J121" s="161">
        <v>1960706</v>
      </c>
      <c r="K121" s="161">
        <f t="shared" si="38"/>
        <v>1960706</v>
      </c>
      <c r="L121" s="161">
        <f t="shared" si="39"/>
        <v>21283792</v>
      </c>
      <c r="M121" s="161">
        <f t="shared" si="41"/>
        <v>5952448</v>
      </c>
      <c r="N121" s="161"/>
      <c r="O121" s="161">
        <f t="shared" si="40"/>
        <v>1813760</v>
      </c>
      <c r="P121" s="161">
        <f t="shared" si="21"/>
        <v>2766208</v>
      </c>
      <c r="Q121" s="161">
        <f>10717933-3813760-5717933</f>
        <v>1186240</v>
      </c>
      <c r="R121" s="161">
        <v>2000000</v>
      </c>
      <c r="S121" s="161">
        <f t="shared" si="42"/>
        <v>3186240</v>
      </c>
      <c r="T121" s="161">
        <f t="shared" si="43"/>
        <v>0</v>
      </c>
      <c r="U121" s="161">
        <f t="shared" si="44"/>
        <v>0</v>
      </c>
      <c r="V121" s="161">
        <f t="shared" si="45"/>
        <v>0</v>
      </c>
      <c r="W121" s="161"/>
      <c r="X121" s="161"/>
      <c r="Y121" s="161"/>
      <c r="Z121" s="161"/>
      <c r="AA121" s="161"/>
      <c r="AB121" s="268" t="s">
        <v>2346</v>
      </c>
      <c r="AC121" s="160">
        <v>810000</v>
      </c>
    </row>
    <row r="122" spans="1:55" ht="48" customHeight="1">
      <c r="A122" s="160">
        <f t="shared" si="46"/>
        <v>114</v>
      </c>
      <c r="B122" s="267">
        <v>1912</v>
      </c>
      <c r="C122" s="160" t="s">
        <v>528</v>
      </c>
      <c r="D122" s="161">
        <f>451150000-141150000</f>
        <v>310000000</v>
      </c>
      <c r="E122" s="161">
        <v>310000000</v>
      </c>
      <c r="F122" s="161">
        <f t="shared" si="37"/>
        <v>0</v>
      </c>
      <c r="G122" s="161">
        <f>43500000+15000000</f>
        <v>58500000</v>
      </c>
      <c r="H122" s="161">
        <v>50080194</v>
      </c>
      <c r="I122" s="161">
        <v>0</v>
      </c>
      <c r="J122" s="161">
        <v>2502018</v>
      </c>
      <c r="K122" s="161">
        <f t="shared" si="38"/>
        <v>2502018</v>
      </c>
      <c r="L122" s="161">
        <f t="shared" si="39"/>
        <v>52582212</v>
      </c>
      <c r="M122" s="161">
        <f t="shared" si="41"/>
        <v>20710708</v>
      </c>
      <c r="N122" s="161">
        <f>180000000-100000000+20000000</f>
        <v>100000000</v>
      </c>
      <c r="O122" s="161">
        <f t="shared" si="40"/>
        <v>136707080</v>
      </c>
      <c r="P122" s="161">
        <f t="shared" si="21"/>
        <v>5917788</v>
      </c>
      <c r="Q122" s="161">
        <f>45000000-15207080-15000000</f>
        <v>14792920</v>
      </c>
      <c r="R122" s="161"/>
      <c r="S122" s="161">
        <f t="shared" si="42"/>
        <v>14792920</v>
      </c>
      <c r="T122" s="161">
        <f t="shared" si="43"/>
        <v>0</v>
      </c>
      <c r="U122" s="161">
        <f t="shared" si="44"/>
        <v>100000000</v>
      </c>
      <c r="V122" s="161">
        <f t="shared" si="45"/>
        <v>25371057</v>
      </c>
      <c r="W122" s="161"/>
      <c r="X122" s="161"/>
      <c r="Y122" s="161">
        <v>9000000</v>
      </c>
      <c r="Z122" s="161"/>
      <c r="AA122" s="161">
        <f>22696905+27417258+15514780-22696905-27417258-15514780+22696905+27417258+15514780</f>
        <v>65628943</v>
      </c>
      <c r="AB122" s="268" t="s">
        <v>2471</v>
      </c>
      <c r="AC122" s="160">
        <v>810000</v>
      </c>
    </row>
    <row r="123" spans="1:55" ht="30" customHeight="1">
      <c r="A123" s="160">
        <f t="shared" si="46"/>
        <v>115</v>
      </c>
      <c r="B123" s="267">
        <v>1914</v>
      </c>
      <c r="C123" s="160" t="s">
        <v>135</v>
      </c>
      <c r="D123" s="161">
        <v>8100000</v>
      </c>
      <c r="E123" s="161">
        <v>8100000</v>
      </c>
      <c r="F123" s="161">
        <f t="shared" si="37"/>
        <v>0</v>
      </c>
      <c r="G123" s="161">
        <v>8100000</v>
      </c>
      <c r="H123" s="161">
        <v>7471625</v>
      </c>
      <c r="I123" s="161">
        <v>0</v>
      </c>
      <c r="J123" s="161">
        <v>113629</v>
      </c>
      <c r="K123" s="161">
        <f t="shared" si="38"/>
        <v>113629</v>
      </c>
      <c r="L123" s="161">
        <f t="shared" si="39"/>
        <v>7585254</v>
      </c>
      <c r="M123" s="161">
        <f t="shared" si="41"/>
        <v>514746</v>
      </c>
      <c r="N123" s="161"/>
      <c r="O123" s="161">
        <f t="shared" si="40"/>
        <v>0</v>
      </c>
      <c r="P123" s="161">
        <f t="shared" si="21"/>
        <v>514746</v>
      </c>
      <c r="Q123" s="161"/>
      <c r="R123" s="161"/>
      <c r="S123" s="161">
        <f t="shared" si="42"/>
        <v>0</v>
      </c>
      <c r="T123" s="161">
        <f t="shared" si="43"/>
        <v>0</v>
      </c>
      <c r="U123" s="161">
        <f t="shared" si="44"/>
        <v>0</v>
      </c>
      <c r="V123" s="161">
        <f t="shared" si="45"/>
        <v>0</v>
      </c>
      <c r="W123" s="161"/>
      <c r="X123" s="161"/>
      <c r="Y123" s="161"/>
      <c r="Z123" s="161"/>
      <c r="AA123" s="160"/>
      <c r="AB123" s="357" t="s">
        <v>877</v>
      </c>
      <c r="AC123" s="160">
        <v>810000</v>
      </c>
    </row>
    <row r="124" spans="1:55" ht="30" customHeight="1">
      <c r="A124" s="160">
        <f t="shared" si="46"/>
        <v>116</v>
      </c>
      <c r="B124" s="267">
        <v>1919</v>
      </c>
      <c r="C124" s="160" t="s">
        <v>120</v>
      </c>
      <c r="D124" s="161">
        <v>135100000</v>
      </c>
      <c r="E124" s="161">
        <v>135100000</v>
      </c>
      <c r="F124" s="161">
        <f t="shared" si="37"/>
        <v>0</v>
      </c>
      <c r="G124" s="161">
        <v>70359741</v>
      </c>
      <c r="H124" s="161">
        <v>56023508</v>
      </c>
      <c r="I124" s="161">
        <v>0</v>
      </c>
      <c r="J124" s="161">
        <v>2291671</v>
      </c>
      <c r="K124" s="161">
        <f t="shared" si="38"/>
        <v>2291671</v>
      </c>
      <c r="L124" s="161">
        <f t="shared" si="39"/>
        <v>58315179</v>
      </c>
      <c r="M124" s="161">
        <f t="shared" si="41"/>
        <v>13709655</v>
      </c>
      <c r="N124" s="161"/>
      <c r="O124" s="161">
        <f t="shared" si="40"/>
        <v>63075166</v>
      </c>
      <c r="P124" s="161">
        <f t="shared" si="21"/>
        <v>12044562</v>
      </c>
      <c r="Q124" s="161"/>
      <c r="R124" s="161">
        <v>1665093</v>
      </c>
      <c r="S124" s="161">
        <f t="shared" si="42"/>
        <v>1665093</v>
      </c>
      <c r="T124" s="161">
        <f t="shared" si="43"/>
        <v>0</v>
      </c>
      <c r="U124" s="161">
        <f t="shared" si="44"/>
        <v>0</v>
      </c>
      <c r="V124" s="161">
        <f t="shared" si="45"/>
        <v>0</v>
      </c>
      <c r="W124" s="161"/>
      <c r="X124" s="161"/>
      <c r="Y124" s="161"/>
      <c r="Z124" s="161"/>
      <c r="AA124" s="161"/>
      <c r="AB124" s="160" t="s">
        <v>708</v>
      </c>
      <c r="AC124" s="160">
        <v>742000</v>
      </c>
    </row>
    <row r="125" spans="1:55" ht="30" customHeight="1">
      <c r="A125" s="160">
        <f t="shared" si="46"/>
        <v>117</v>
      </c>
      <c r="B125" s="267">
        <v>1960</v>
      </c>
      <c r="C125" s="160" t="s">
        <v>336</v>
      </c>
      <c r="D125" s="161">
        <v>24710000</v>
      </c>
      <c r="E125" s="161">
        <v>24710000</v>
      </c>
      <c r="F125" s="161">
        <f t="shared" si="37"/>
        <v>0</v>
      </c>
      <c r="G125" s="161">
        <f>12710000+3000000</f>
        <v>15710000</v>
      </c>
      <c r="H125" s="161">
        <v>8681711</v>
      </c>
      <c r="I125" s="161">
        <v>0</v>
      </c>
      <c r="J125" s="161">
        <v>3583607</v>
      </c>
      <c r="K125" s="161">
        <f t="shared" si="38"/>
        <v>3583607</v>
      </c>
      <c r="L125" s="161">
        <f t="shared" si="39"/>
        <v>12265318</v>
      </c>
      <c r="M125" s="161">
        <f t="shared" si="41"/>
        <v>10156426</v>
      </c>
      <c r="N125" s="161">
        <v>2288256</v>
      </c>
      <c r="O125" s="161">
        <f t="shared" si="40"/>
        <v>0</v>
      </c>
      <c r="P125" s="161">
        <f t="shared" si="21"/>
        <v>3444682</v>
      </c>
      <c r="Q125" s="161">
        <f>12000000-2288256-3000000</f>
        <v>6711744</v>
      </c>
      <c r="R125" s="161"/>
      <c r="S125" s="161">
        <f t="shared" si="42"/>
        <v>6711744</v>
      </c>
      <c r="T125" s="161">
        <f t="shared" si="43"/>
        <v>0</v>
      </c>
      <c r="U125" s="161">
        <f t="shared" si="44"/>
        <v>2288256</v>
      </c>
      <c r="V125" s="161">
        <f t="shared" si="45"/>
        <v>0</v>
      </c>
      <c r="W125" s="161"/>
      <c r="X125" s="161"/>
      <c r="Y125" s="161"/>
      <c r="Z125" s="161"/>
      <c r="AA125" s="161">
        <v>2288256</v>
      </c>
      <c r="AB125" s="268" t="s">
        <v>2445</v>
      </c>
      <c r="AC125" s="160">
        <v>810000</v>
      </c>
    </row>
    <row r="126" spans="1:55" ht="30" customHeight="1">
      <c r="A126" s="160">
        <f t="shared" si="46"/>
        <v>118</v>
      </c>
      <c r="B126" s="267">
        <v>1962</v>
      </c>
      <c r="C126" s="160" t="s">
        <v>148</v>
      </c>
      <c r="D126" s="161">
        <v>20000000</v>
      </c>
      <c r="E126" s="161">
        <v>20000000</v>
      </c>
      <c r="F126" s="161">
        <f t="shared" si="37"/>
        <v>0</v>
      </c>
      <c r="G126" s="161">
        <v>1000000</v>
      </c>
      <c r="H126" s="161">
        <v>0</v>
      </c>
      <c r="I126" s="161">
        <v>0</v>
      </c>
      <c r="J126" s="161">
        <v>0</v>
      </c>
      <c r="K126" s="161">
        <f t="shared" si="38"/>
        <v>0</v>
      </c>
      <c r="L126" s="161">
        <f t="shared" si="39"/>
        <v>0</v>
      </c>
      <c r="M126" s="161">
        <f>P126+S126-900000</f>
        <v>100000</v>
      </c>
      <c r="N126" s="161"/>
      <c r="O126" s="161">
        <f t="shared" si="40"/>
        <v>19900000</v>
      </c>
      <c r="P126" s="161">
        <f t="shared" si="21"/>
        <v>1000000</v>
      </c>
      <c r="Q126" s="161"/>
      <c r="R126" s="161"/>
      <c r="S126" s="161">
        <f t="shared" si="42"/>
        <v>0</v>
      </c>
      <c r="T126" s="161">
        <f t="shared" si="43"/>
        <v>900000</v>
      </c>
      <c r="U126" s="161">
        <f t="shared" si="44"/>
        <v>-900000</v>
      </c>
      <c r="V126" s="161">
        <f t="shared" si="45"/>
        <v>-900000</v>
      </c>
      <c r="W126" s="161"/>
      <c r="X126" s="161"/>
      <c r="Y126" s="161"/>
      <c r="Z126" s="161"/>
      <c r="AA126" s="160"/>
      <c r="AB126" s="268" t="s">
        <v>709</v>
      </c>
      <c r="AC126" s="160">
        <v>742000</v>
      </c>
    </row>
    <row r="127" spans="1:55" ht="30" customHeight="1">
      <c r="A127" s="160">
        <f t="shared" si="46"/>
        <v>119</v>
      </c>
      <c r="B127" s="160">
        <v>1965</v>
      </c>
      <c r="C127" s="160" t="s">
        <v>337</v>
      </c>
      <c r="D127" s="161">
        <v>35000000</v>
      </c>
      <c r="E127" s="161">
        <v>35000000</v>
      </c>
      <c r="F127" s="161">
        <f t="shared" si="37"/>
        <v>0</v>
      </c>
      <c r="G127" s="161">
        <v>1100000</v>
      </c>
      <c r="H127" s="161">
        <v>221274</v>
      </c>
      <c r="I127" s="161">
        <v>0</v>
      </c>
      <c r="J127" s="161">
        <v>834538</v>
      </c>
      <c r="K127" s="161">
        <f t="shared" si="38"/>
        <v>834538</v>
      </c>
      <c r="L127" s="161">
        <f t="shared" si="39"/>
        <v>1055812</v>
      </c>
      <c r="M127" s="161">
        <f t="shared" si="41"/>
        <v>1044188</v>
      </c>
      <c r="N127" s="161"/>
      <c r="O127" s="161">
        <f t="shared" si="40"/>
        <v>32900000</v>
      </c>
      <c r="P127" s="161">
        <f t="shared" si="21"/>
        <v>44188</v>
      </c>
      <c r="Q127" s="161">
        <v>1000000</v>
      </c>
      <c r="R127" s="161"/>
      <c r="S127" s="161">
        <f t="shared" si="42"/>
        <v>1000000</v>
      </c>
      <c r="T127" s="161">
        <f t="shared" si="43"/>
        <v>0</v>
      </c>
      <c r="U127" s="161">
        <f t="shared" si="44"/>
        <v>0</v>
      </c>
      <c r="V127" s="161">
        <f t="shared" si="45"/>
        <v>0</v>
      </c>
      <c r="W127" s="161"/>
      <c r="X127" s="161"/>
      <c r="Y127" s="161"/>
      <c r="Z127" s="161"/>
      <c r="AA127" s="160"/>
      <c r="AB127" s="357" t="s">
        <v>795</v>
      </c>
      <c r="AC127" s="160">
        <v>810000</v>
      </c>
    </row>
    <row r="128" spans="1:55" s="5" customFormat="1" ht="30" customHeight="1">
      <c r="A128" s="160">
        <f t="shared" si="46"/>
        <v>120</v>
      </c>
      <c r="B128" s="30">
        <v>2186</v>
      </c>
      <c r="C128" s="3" t="s">
        <v>631</v>
      </c>
      <c r="D128" s="4">
        <v>8100000</v>
      </c>
      <c r="E128" s="4">
        <v>8100000</v>
      </c>
      <c r="F128" s="161">
        <f t="shared" si="37"/>
        <v>0</v>
      </c>
      <c r="G128" s="4">
        <v>5811744</v>
      </c>
      <c r="H128" s="4">
        <v>5471192</v>
      </c>
      <c r="I128" s="4">
        <v>0</v>
      </c>
      <c r="J128" s="4">
        <v>146534</v>
      </c>
      <c r="K128" s="161">
        <f t="shared" si="38"/>
        <v>146534</v>
      </c>
      <c r="L128" s="161">
        <f t="shared" si="39"/>
        <v>5617726</v>
      </c>
      <c r="M128" s="161">
        <f t="shared" si="41"/>
        <v>1394018</v>
      </c>
      <c r="N128" s="161"/>
      <c r="O128" s="161">
        <f t="shared" si="40"/>
        <v>1088256</v>
      </c>
      <c r="P128" s="161">
        <f t="shared" si="21"/>
        <v>194018</v>
      </c>
      <c r="Q128" s="161">
        <f>2288256-2288256</f>
        <v>0</v>
      </c>
      <c r="R128" s="161">
        <v>1200000</v>
      </c>
      <c r="S128" s="161">
        <f t="shared" si="42"/>
        <v>1200000</v>
      </c>
      <c r="T128" s="161">
        <f t="shared" si="43"/>
        <v>0</v>
      </c>
      <c r="U128" s="161">
        <f t="shared" si="44"/>
        <v>0</v>
      </c>
      <c r="V128" s="161">
        <f t="shared" si="45"/>
        <v>0</v>
      </c>
      <c r="W128" s="161"/>
      <c r="X128" s="161"/>
      <c r="Y128" s="161"/>
      <c r="Z128" s="161"/>
      <c r="AA128" s="161"/>
      <c r="AB128" s="3" t="s">
        <v>2446</v>
      </c>
      <c r="AC128" s="3">
        <v>810000</v>
      </c>
      <c r="AD128" s="154"/>
      <c r="AE128" s="154"/>
      <c r="AF128" s="154"/>
      <c r="AG128" s="154"/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</row>
    <row r="129" spans="1:55" s="271" customFormat="1" ht="30" customHeight="1">
      <c r="A129" s="166"/>
      <c r="B129" s="270"/>
      <c r="C129" s="166" t="s">
        <v>338</v>
      </c>
      <c r="D129" s="168">
        <f>SUM(D116:D128)</f>
        <v>1020980496</v>
      </c>
      <c r="E129" s="168">
        <f t="shared" ref="E129:AA129" si="47">SUM(E116:E128)</f>
        <v>1021006000</v>
      </c>
      <c r="F129" s="168">
        <f t="shared" si="47"/>
        <v>-25504</v>
      </c>
      <c r="G129" s="168">
        <f t="shared" si="47"/>
        <v>460047787</v>
      </c>
      <c r="H129" s="168">
        <f t="shared" si="47"/>
        <v>385912552</v>
      </c>
      <c r="I129" s="168">
        <f t="shared" si="47"/>
        <v>0</v>
      </c>
      <c r="J129" s="168">
        <f t="shared" si="47"/>
        <v>20601158</v>
      </c>
      <c r="K129" s="168">
        <f t="shared" si="47"/>
        <v>20601158</v>
      </c>
      <c r="L129" s="168">
        <f t="shared" si="47"/>
        <v>406513710</v>
      </c>
      <c r="M129" s="168">
        <f t="shared" si="47"/>
        <v>92269780</v>
      </c>
      <c r="N129" s="168">
        <f t="shared" si="47"/>
        <v>192138256</v>
      </c>
      <c r="O129" s="168">
        <f t="shared" si="47"/>
        <v>330058750</v>
      </c>
      <c r="P129" s="168">
        <f t="shared" si="47"/>
        <v>53534077</v>
      </c>
      <c r="Q129" s="168">
        <f t="shared" si="47"/>
        <v>42270610</v>
      </c>
      <c r="R129" s="168">
        <f t="shared" si="47"/>
        <v>-2634907</v>
      </c>
      <c r="S129" s="168">
        <f t="shared" si="47"/>
        <v>39635703</v>
      </c>
      <c r="T129" s="168">
        <f t="shared" si="47"/>
        <v>900000</v>
      </c>
      <c r="U129" s="168">
        <f t="shared" si="47"/>
        <v>191238256</v>
      </c>
      <c r="V129" s="168">
        <f t="shared" si="47"/>
        <v>91437604</v>
      </c>
      <c r="W129" s="168">
        <f t="shared" si="47"/>
        <v>0</v>
      </c>
      <c r="X129" s="168">
        <f t="shared" si="47"/>
        <v>0</v>
      </c>
      <c r="Y129" s="168">
        <f t="shared" si="47"/>
        <v>9000000</v>
      </c>
      <c r="Z129" s="168">
        <f t="shared" si="47"/>
        <v>0</v>
      </c>
      <c r="AA129" s="168">
        <f t="shared" si="47"/>
        <v>90800652</v>
      </c>
      <c r="AB129" s="157"/>
      <c r="AC129" s="166"/>
      <c r="AD129" s="154"/>
      <c r="AE129" s="154"/>
      <c r="AF129" s="154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</row>
    <row r="130" spans="1:55" s="370" customFormat="1" ht="30" customHeight="1">
      <c r="A130" s="302">
        <f>A128</f>
        <v>120</v>
      </c>
      <c r="B130" s="302"/>
      <c r="C130" s="32" t="s">
        <v>638</v>
      </c>
      <c r="D130" s="369">
        <f>D129+D112</f>
        <v>3217044339</v>
      </c>
      <c r="E130" s="369">
        <f t="shared" ref="E130:AA130" si="48">E129+E112</f>
        <v>3022650187</v>
      </c>
      <c r="F130" s="369">
        <f t="shared" si="48"/>
        <v>194394152</v>
      </c>
      <c r="G130" s="369">
        <f t="shared" si="48"/>
        <v>1377988129</v>
      </c>
      <c r="H130" s="369">
        <f t="shared" si="48"/>
        <v>1147601818</v>
      </c>
      <c r="I130" s="369">
        <f t="shared" si="48"/>
        <v>3316292</v>
      </c>
      <c r="J130" s="369">
        <f t="shared" si="48"/>
        <v>56856826</v>
      </c>
      <c r="K130" s="369">
        <f t="shared" si="48"/>
        <v>60173118</v>
      </c>
      <c r="L130" s="369">
        <f t="shared" si="48"/>
        <v>1207774936</v>
      </c>
      <c r="M130" s="369">
        <f t="shared" si="48"/>
        <v>340006362</v>
      </c>
      <c r="N130" s="369">
        <f t="shared" si="48"/>
        <v>355265805</v>
      </c>
      <c r="O130" s="369">
        <f t="shared" si="48"/>
        <v>1313997236</v>
      </c>
      <c r="P130" s="369">
        <f t="shared" si="48"/>
        <v>170213193</v>
      </c>
      <c r="Q130" s="369">
        <f t="shared" si="48"/>
        <v>167330610</v>
      </c>
      <c r="R130" s="369">
        <f t="shared" si="48"/>
        <v>10226895</v>
      </c>
      <c r="S130" s="369">
        <f t="shared" si="48"/>
        <v>177557505</v>
      </c>
      <c r="T130" s="369">
        <f t="shared" si="48"/>
        <v>7764336</v>
      </c>
      <c r="U130" s="369">
        <f t="shared" si="48"/>
        <v>347501469</v>
      </c>
      <c r="V130" s="369">
        <f t="shared" si="48"/>
        <v>184998584</v>
      </c>
      <c r="W130" s="369">
        <f t="shared" si="48"/>
        <v>1500000</v>
      </c>
      <c r="X130" s="369">
        <f t="shared" si="48"/>
        <v>0</v>
      </c>
      <c r="Y130" s="369">
        <f t="shared" si="48"/>
        <v>9000000</v>
      </c>
      <c r="Z130" s="369">
        <f t="shared" si="48"/>
        <v>7100000</v>
      </c>
      <c r="AA130" s="369">
        <f t="shared" si="48"/>
        <v>144902885</v>
      </c>
      <c r="AB130" s="369"/>
      <c r="AC130" s="835"/>
      <c r="AD130" s="154"/>
      <c r="AE130" s="154"/>
      <c r="AF130" s="154"/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</row>
    <row r="131" spans="1:55" hidden="1">
      <c r="C131" s="261"/>
      <c r="F131" s="274"/>
      <c r="G131" s="274"/>
      <c r="H131" s="274"/>
      <c r="I131" s="274"/>
      <c r="J131" s="274"/>
      <c r="K131" s="274"/>
      <c r="L131" s="274">
        <f>K130+H130</f>
        <v>1207774936</v>
      </c>
      <c r="M131" s="274">
        <f>P131+S130-T130</f>
        <v>340006362</v>
      </c>
      <c r="N131" s="274"/>
      <c r="O131" s="274"/>
      <c r="P131" s="274">
        <f>G130-L131</f>
        <v>170213193</v>
      </c>
      <c r="Q131" s="274"/>
      <c r="R131" s="273"/>
      <c r="S131" s="274"/>
      <c r="T131" s="274">
        <f>P130+S130-M130</f>
        <v>7764336</v>
      </c>
    </row>
    <row r="132" spans="1:55">
      <c r="F132" s="274"/>
      <c r="G132" s="274"/>
      <c r="H132" s="274"/>
      <c r="I132" s="274"/>
      <c r="J132" s="274"/>
      <c r="K132" s="274"/>
      <c r="L132" s="274"/>
      <c r="M132" s="274"/>
      <c r="N132" s="274"/>
      <c r="O132" s="274"/>
      <c r="P132" s="274"/>
      <c r="Q132" s="274"/>
      <c r="R132" s="273"/>
      <c r="S132" s="274"/>
      <c r="T132" s="274"/>
    </row>
    <row r="133" spans="1:55">
      <c r="C133" s="261"/>
      <c r="F133" s="274"/>
      <c r="G133" s="274"/>
      <c r="H133" s="274"/>
      <c r="I133" s="274"/>
      <c r="J133" s="274"/>
      <c r="K133" s="274"/>
      <c r="L133" s="274"/>
      <c r="M133" s="274"/>
      <c r="N133" s="274"/>
      <c r="O133" s="274"/>
      <c r="P133" s="274"/>
      <c r="Q133" s="274"/>
      <c r="R133" s="273"/>
      <c r="S133" s="274"/>
      <c r="T133" s="274"/>
    </row>
    <row r="134" spans="1:55">
      <c r="F134" s="274"/>
      <c r="G134" s="274"/>
      <c r="H134" s="274"/>
      <c r="I134" s="274"/>
      <c r="J134" s="274"/>
      <c r="K134" s="274"/>
      <c r="L134" s="274"/>
      <c r="M134" s="274"/>
      <c r="N134" s="274"/>
      <c r="O134" s="274"/>
      <c r="P134" s="274"/>
      <c r="Q134" s="274"/>
      <c r="R134" s="275"/>
      <c r="S134" s="274"/>
      <c r="T134" s="274"/>
    </row>
    <row r="135" spans="1:55">
      <c r="F135" s="274"/>
      <c r="G135" s="274"/>
      <c r="H135" s="274"/>
      <c r="I135" s="274"/>
      <c r="J135" s="274"/>
      <c r="K135" s="274"/>
      <c r="L135" s="274"/>
      <c r="M135" s="274"/>
      <c r="N135" s="274"/>
      <c r="O135" s="274"/>
      <c r="P135" s="274"/>
      <c r="Q135" s="274"/>
      <c r="R135" s="274"/>
      <c r="S135" s="274"/>
      <c r="T135" s="274"/>
      <c r="U135" s="274"/>
      <c r="V135" s="274"/>
      <c r="W135" s="274"/>
      <c r="X135" s="274"/>
      <c r="Y135" s="274"/>
      <c r="Z135" s="274"/>
      <c r="AA135" s="274"/>
    </row>
    <row r="136" spans="1:55">
      <c r="F136" s="274"/>
      <c r="G136" s="274"/>
      <c r="H136" s="274"/>
      <c r="I136" s="274"/>
      <c r="J136" s="274"/>
      <c r="K136" s="274"/>
      <c r="L136" s="274"/>
      <c r="M136" s="274"/>
      <c r="N136" s="274"/>
      <c r="O136" s="274"/>
      <c r="P136" s="274"/>
      <c r="Q136" s="274"/>
      <c r="R136" s="274"/>
      <c r="S136" s="274"/>
      <c r="T136" s="274"/>
      <c r="U136" s="274"/>
      <c r="V136" s="274"/>
      <c r="W136" s="274"/>
      <c r="X136" s="274"/>
      <c r="Y136" s="274"/>
      <c r="Z136" s="274"/>
      <c r="AA136" s="274"/>
    </row>
    <row r="137" spans="1:55">
      <c r="F137" s="274"/>
      <c r="G137" s="274"/>
      <c r="H137" s="274"/>
      <c r="I137" s="274"/>
      <c r="J137" s="274"/>
      <c r="K137" s="274"/>
      <c r="L137" s="274"/>
      <c r="M137" s="274"/>
      <c r="N137" s="274"/>
      <c r="O137" s="274"/>
      <c r="P137" s="274"/>
      <c r="Q137" s="274"/>
      <c r="R137" s="274"/>
      <c r="S137" s="274"/>
      <c r="T137" s="274"/>
      <c r="U137" s="274"/>
      <c r="V137" s="274"/>
      <c r="W137" s="274"/>
      <c r="X137" s="274"/>
      <c r="Y137" s="274"/>
      <c r="Z137" s="274"/>
      <c r="AA137" s="274"/>
    </row>
    <row r="138" spans="1:55">
      <c r="F138" s="274"/>
      <c r="G138" s="274"/>
      <c r="H138" s="274"/>
      <c r="I138" s="274"/>
      <c r="J138" s="274"/>
      <c r="K138" s="274"/>
      <c r="L138" s="274"/>
      <c r="M138" s="274"/>
      <c r="N138" s="274"/>
      <c r="O138" s="274"/>
      <c r="P138" s="274"/>
      <c r="Q138" s="274"/>
      <c r="R138" s="274"/>
      <c r="S138" s="274"/>
      <c r="T138" s="274"/>
      <c r="U138" s="274"/>
      <c r="V138" s="274"/>
      <c r="W138" s="274"/>
      <c r="X138" s="274"/>
      <c r="Y138" s="274"/>
      <c r="Z138" s="274"/>
      <c r="AA138" s="274"/>
    </row>
    <row r="139" spans="1:55">
      <c r="F139" s="274"/>
      <c r="G139" s="274"/>
      <c r="H139" s="274"/>
      <c r="I139" s="274"/>
      <c r="J139" s="274"/>
      <c r="K139" s="274"/>
      <c r="L139" s="274"/>
      <c r="M139" s="274"/>
      <c r="N139" s="274"/>
      <c r="O139" s="274"/>
      <c r="P139" s="274"/>
      <c r="Q139" s="274"/>
      <c r="R139" s="274"/>
      <c r="S139" s="274"/>
      <c r="T139" s="274"/>
      <c r="U139" s="274"/>
      <c r="V139" s="274"/>
      <c r="W139" s="274"/>
      <c r="X139" s="274"/>
      <c r="Y139" s="274"/>
      <c r="Z139" s="274"/>
      <c r="AA139" s="274"/>
    </row>
    <row r="140" spans="1:55">
      <c r="F140" s="274"/>
      <c r="G140" s="274"/>
      <c r="H140" s="274"/>
      <c r="I140" s="274"/>
      <c r="J140" s="274"/>
      <c r="K140" s="274"/>
      <c r="L140" s="274"/>
      <c r="M140" s="274"/>
      <c r="N140" s="274"/>
      <c r="O140" s="274"/>
      <c r="P140" s="274"/>
      <c r="Q140" s="274"/>
      <c r="R140" s="274"/>
      <c r="S140" s="274"/>
      <c r="T140" s="274"/>
      <c r="U140" s="274"/>
      <c r="V140" s="274"/>
      <c r="W140" s="274"/>
      <c r="X140" s="274"/>
      <c r="Y140" s="274"/>
      <c r="Z140" s="274"/>
      <c r="AA140" s="274"/>
    </row>
    <row r="141" spans="1:55">
      <c r="F141" s="274"/>
      <c r="G141" s="274"/>
      <c r="H141" s="274"/>
      <c r="I141" s="274"/>
      <c r="J141" s="274"/>
      <c r="K141" s="274"/>
      <c r="L141" s="274"/>
      <c r="M141" s="274"/>
      <c r="N141" s="274"/>
      <c r="O141" s="274"/>
      <c r="P141" s="274"/>
      <c r="Q141" s="274"/>
      <c r="R141" s="274"/>
      <c r="S141" s="274"/>
      <c r="T141" s="274"/>
      <c r="U141" s="274"/>
      <c r="V141" s="274"/>
      <c r="W141" s="274"/>
      <c r="X141" s="274"/>
      <c r="Y141" s="274"/>
      <c r="Z141" s="274"/>
      <c r="AA141" s="274"/>
    </row>
    <row r="142" spans="1:55">
      <c r="F142" s="274"/>
      <c r="G142" s="274"/>
      <c r="H142" s="274"/>
      <c r="I142" s="274"/>
      <c r="J142" s="274"/>
      <c r="K142" s="274"/>
      <c r="L142" s="274"/>
      <c r="M142" s="274"/>
      <c r="N142" s="274"/>
      <c r="O142" s="274"/>
      <c r="P142" s="274"/>
      <c r="Q142" s="274"/>
      <c r="R142" s="274"/>
      <c r="S142" s="274"/>
      <c r="T142" s="274"/>
      <c r="U142" s="274"/>
      <c r="V142" s="274"/>
      <c r="W142" s="274"/>
      <c r="X142" s="274"/>
      <c r="Y142" s="274"/>
      <c r="Z142" s="274"/>
      <c r="AA142" s="274"/>
    </row>
    <row r="143" spans="1:55">
      <c r="F143" s="274"/>
      <c r="G143" s="274"/>
      <c r="H143" s="274"/>
      <c r="I143" s="274"/>
      <c r="J143" s="274"/>
      <c r="K143" s="274"/>
      <c r="L143" s="274"/>
      <c r="M143" s="274"/>
      <c r="N143" s="274"/>
      <c r="O143" s="274"/>
      <c r="P143" s="274"/>
      <c r="Q143" s="274"/>
      <c r="R143" s="274"/>
      <c r="S143" s="274"/>
      <c r="T143" s="274"/>
      <c r="U143" s="634"/>
      <c r="V143" s="154" t="s">
        <v>2199</v>
      </c>
    </row>
    <row r="144" spans="1:55">
      <c r="F144" s="274"/>
      <c r="G144" s="274"/>
      <c r="H144" s="274"/>
      <c r="I144" s="274"/>
      <c r="J144" s="274"/>
      <c r="K144" s="274"/>
      <c r="L144" s="274"/>
      <c r="M144" s="274"/>
      <c r="N144" s="274"/>
      <c r="O144" s="274"/>
      <c r="P144" s="274"/>
      <c r="Q144" s="274"/>
      <c r="R144" s="274"/>
      <c r="S144" s="274"/>
      <c r="T144" s="274"/>
      <c r="U144" s="634"/>
    </row>
    <row r="145" spans="6:21">
      <c r="F145" s="274"/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4"/>
      <c r="S145" s="274"/>
      <c r="T145" s="274"/>
      <c r="U145" s="634"/>
    </row>
    <row r="146" spans="6:21">
      <c r="U146" s="634"/>
    </row>
    <row r="147" spans="6:21">
      <c r="U147" s="634"/>
    </row>
    <row r="148" spans="6:21">
      <c r="U148" s="634"/>
    </row>
    <row r="149" spans="6:21">
      <c r="U149" s="634"/>
    </row>
    <row r="150" spans="6:21">
      <c r="U150" s="634"/>
    </row>
    <row r="151" spans="6:21">
      <c r="U151" s="634"/>
    </row>
    <row r="152" spans="6:21">
      <c r="U152" s="634"/>
    </row>
    <row r="153" spans="6:21">
      <c r="U153" s="634"/>
    </row>
    <row r="154" spans="6:21">
      <c r="U154" s="634"/>
    </row>
    <row r="155" spans="6:21">
      <c r="U155" s="634"/>
    </row>
    <row r="156" spans="6:21">
      <c r="U156" s="634"/>
    </row>
    <row r="158" spans="6:21">
      <c r="U158" s="635"/>
    </row>
    <row r="160" spans="6:21">
      <c r="U160" s="635"/>
    </row>
    <row r="161" spans="21:21">
      <c r="U161" s="635"/>
    </row>
  </sheetData>
  <sheetProtection formatCells="0" formatColumns="0" formatRows="0" insertColumns="0" insertRows="0" insertHyperlinks="0" deleteColumns="0" deleteRows="0" sort="0" autoFilter="0" pivotTables="0"/>
  <conditionalFormatting sqref="AB4">
    <cfRule type="cellIs" dxfId="176" priority="12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C161"/>
  <sheetViews>
    <sheetView showZeros="0" rightToLeft="1" zoomScaleNormal="100" workbookViewId="0">
      <pane xSplit="3" ySplit="4" topLeftCell="D23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9.140625" defaultRowHeight="15"/>
  <cols>
    <col min="1" max="1" width="3.5703125" style="261" customWidth="1"/>
    <col min="2" max="2" width="5.42578125" style="262" customWidth="1"/>
    <col min="3" max="3" width="19.28515625" style="170" customWidth="1"/>
    <col min="4" max="4" width="11.7109375" style="155" customWidth="1"/>
    <col min="5" max="5" width="14" style="155" hidden="1" customWidth="1"/>
    <col min="6" max="6" width="11.140625" style="155" hidden="1" customWidth="1"/>
    <col min="7" max="7" width="13.140625" style="155" hidden="1" customWidth="1"/>
    <col min="8" max="8" width="14.28515625" style="155" hidden="1" customWidth="1"/>
    <col min="9" max="11" width="10.7109375" style="155" hidden="1" customWidth="1"/>
    <col min="12" max="12" width="11.5703125" style="155" customWidth="1"/>
    <col min="13" max="13" width="10.85546875" style="155" customWidth="1"/>
    <col min="14" max="14" width="10.42578125" style="155" customWidth="1"/>
    <col min="15" max="15" width="11.7109375" style="155" customWidth="1"/>
    <col min="16" max="17" width="11.140625" style="155" hidden="1" customWidth="1"/>
    <col min="18" max="18" width="10.7109375" style="155" hidden="1" customWidth="1"/>
    <col min="19" max="19" width="13" style="155" hidden="1" customWidth="1"/>
    <col min="20" max="20" width="8.42578125" style="155" customWidth="1"/>
    <col min="21" max="21" width="10.5703125" style="154" bestFit="1" customWidth="1"/>
    <col min="22" max="22" width="10.140625" style="154" customWidth="1"/>
    <col min="23" max="23" width="8.42578125" style="154" customWidth="1"/>
    <col min="24" max="24" width="10.7109375" style="154" hidden="1" customWidth="1"/>
    <col min="25" max="26" width="8.28515625" style="154" customWidth="1"/>
    <col min="27" max="27" width="10.28515625" style="154" customWidth="1"/>
    <col min="28" max="28" width="23.7109375" style="288" customWidth="1"/>
    <col min="29" max="29" width="10.7109375" style="154" hidden="1" customWidth="1"/>
    <col min="30" max="30" width="14" style="154" customWidth="1"/>
    <col min="31" max="31" width="24" style="154" customWidth="1"/>
    <col min="32" max="32" width="7.28515625" style="154" customWidth="1"/>
    <col min="33" max="33" width="7.5703125" style="154" customWidth="1"/>
    <col min="34" max="34" width="7.7109375" style="154" customWidth="1"/>
    <col min="35" max="35" width="8.7109375" style="154" customWidth="1"/>
    <col min="36" max="36" width="8.42578125" style="154" customWidth="1"/>
    <col min="37" max="37" width="9.140625" style="154" customWidth="1"/>
    <col min="38" max="38" width="19.7109375" style="154" customWidth="1"/>
    <col min="39" max="39" width="26.28515625" style="154" customWidth="1"/>
    <col min="40" max="40" width="21.42578125" style="154" customWidth="1"/>
    <col min="41" max="41" width="20" style="154" customWidth="1"/>
    <col min="42" max="42" width="19.28515625" style="154" customWidth="1"/>
    <col min="43" max="43" width="20.28515625" style="154" customWidth="1"/>
    <col min="44" max="44" width="16.140625" style="154" customWidth="1"/>
    <col min="45" max="45" width="25.5703125" style="154" customWidth="1"/>
    <col min="46" max="46" width="25.28515625" style="154" customWidth="1"/>
    <col min="47" max="47" width="22.28515625" style="154" customWidth="1"/>
    <col min="48" max="48" width="23" style="154" customWidth="1"/>
    <col min="49" max="49" width="12.28515625" style="154" customWidth="1"/>
    <col min="50" max="50" width="11.28515625" style="154" customWidth="1"/>
    <col min="51" max="52" width="10.7109375" style="154" customWidth="1"/>
    <col min="53" max="53" width="23" style="154" customWidth="1"/>
    <col min="54" max="54" width="13.140625" style="154" customWidth="1"/>
    <col min="55" max="55" width="17.7109375" style="154" customWidth="1"/>
    <col min="56" max="16384" width="9.140625" style="154"/>
  </cols>
  <sheetData>
    <row r="1" spans="1:55" s="259" customFormat="1" ht="18.75">
      <c r="A1" s="257"/>
      <c r="B1" s="257"/>
      <c r="C1" s="290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60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</row>
    <row r="2" spans="1:55" ht="18.75">
      <c r="A2" s="257" t="s">
        <v>208</v>
      </c>
      <c r="B2" s="257"/>
      <c r="C2" s="290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170"/>
    </row>
    <row r="3" spans="1:55">
      <c r="U3" s="155"/>
    </row>
    <row r="4" spans="1:55" s="263" customFormat="1" ht="75">
      <c r="A4" s="517" t="s">
        <v>1496</v>
      </c>
      <c r="B4" s="157" t="s">
        <v>1</v>
      </c>
      <c r="C4" s="157" t="s">
        <v>2</v>
      </c>
      <c r="D4" s="157" t="s">
        <v>3</v>
      </c>
      <c r="E4" s="157" t="s">
        <v>4</v>
      </c>
      <c r="F4" s="157" t="s">
        <v>5</v>
      </c>
      <c r="G4" s="157" t="s">
        <v>6</v>
      </c>
      <c r="H4" s="157" t="s">
        <v>7</v>
      </c>
      <c r="I4" s="157" t="s">
        <v>9</v>
      </c>
      <c r="J4" s="157" t="s">
        <v>153</v>
      </c>
      <c r="K4" s="157" t="s">
        <v>10</v>
      </c>
      <c r="L4" s="403" t="s">
        <v>11</v>
      </c>
      <c r="M4" s="9" t="s">
        <v>891</v>
      </c>
      <c r="N4" s="9" t="s">
        <v>892</v>
      </c>
      <c r="O4" s="9" t="s">
        <v>893</v>
      </c>
      <c r="P4" s="9" t="s">
        <v>12</v>
      </c>
      <c r="Q4" s="9" t="s">
        <v>894</v>
      </c>
      <c r="R4" s="9" t="s">
        <v>895</v>
      </c>
      <c r="S4" s="9" t="s">
        <v>896</v>
      </c>
      <c r="T4" s="9" t="s">
        <v>897</v>
      </c>
      <c r="U4" s="9" t="s">
        <v>898</v>
      </c>
      <c r="V4" s="16" t="s">
        <v>13</v>
      </c>
      <c r="W4" s="16" t="s">
        <v>14</v>
      </c>
      <c r="X4" s="157" t="s">
        <v>15</v>
      </c>
      <c r="Y4" s="157" t="s">
        <v>265</v>
      </c>
      <c r="Z4" s="157" t="s">
        <v>749</v>
      </c>
      <c r="AA4" s="157" t="s">
        <v>84</v>
      </c>
      <c r="AB4" s="518" t="s">
        <v>304</v>
      </c>
      <c r="AC4" s="157" t="s">
        <v>16</v>
      </c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</row>
    <row r="5" spans="1:55" s="164" customFormat="1" ht="90">
      <c r="A5" s="160">
        <v>1</v>
      </c>
      <c r="B5" s="160">
        <f>'תקציב החברה לפיתוח 2022'!B5</f>
        <v>382</v>
      </c>
      <c r="C5" s="289" t="str">
        <f>'תקציב החברה לפיתוח 2022'!C5</f>
        <v xml:space="preserve">מערכת כבישים   באזור תעשייה מערבי </v>
      </c>
      <c r="D5" s="161">
        <f>'תקציב החברה לפיתוח 2022'!D5</f>
        <v>111381330</v>
      </c>
      <c r="E5" s="161">
        <f>'תקציב החברה לפיתוח 2022'!E5</f>
        <v>72881330</v>
      </c>
      <c r="F5" s="161">
        <f>'תקציב החברה לפיתוח 2022'!F5</f>
        <v>38500000</v>
      </c>
      <c r="G5" s="161">
        <f>'תקציב החברה לפיתוח 2022'!G5</f>
        <v>61381330</v>
      </c>
      <c r="H5" s="161">
        <f>'תקציב החברה לפיתוח 2022'!H5</f>
        <v>56841407</v>
      </c>
      <c r="I5" s="161">
        <f>'תקציב החברה לפיתוח 2022'!I5</f>
        <v>0</v>
      </c>
      <c r="J5" s="161">
        <f>'תקציב החברה לפיתוח 2022'!J5</f>
        <v>1767404</v>
      </c>
      <c r="K5" s="161">
        <f>'תקציב החברה לפיתוח 2022'!K5</f>
        <v>1767404</v>
      </c>
      <c r="L5" s="161">
        <f>'תקציב החברה לפיתוח 2022'!L5</f>
        <v>58608811</v>
      </c>
      <c r="M5" s="161">
        <f>'תקציב החברה לפיתוח 2022'!M5</f>
        <v>2772519</v>
      </c>
      <c r="N5" s="161">
        <f>'תקציב החברה לפיתוח 2022'!N5</f>
        <v>10000000</v>
      </c>
      <c r="O5" s="161">
        <f>'תקציב החברה לפיתוח 2022'!O5</f>
        <v>40000000</v>
      </c>
      <c r="P5" s="161">
        <f>'תקציב החברה לפיתוח 2022'!P5</f>
        <v>2772519</v>
      </c>
      <c r="Q5" s="161">
        <f>'תקציב החברה לפיתוח 2022'!Q5</f>
        <v>0</v>
      </c>
      <c r="R5" s="161">
        <f>'תקציב החברה לפיתוח 2022'!R5</f>
        <v>0</v>
      </c>
      <c r="S5" s="161">
        <f>'תקציב החברה לפיתוח 2022'!S5</f>
        <v>0</v>
      </c>
      <c r="T5" s="161">
        <f>'תקציב החברה לפיתוח 2022'!T5</f>
        <v>0</v>
      </c>
      <c r="U5" s="161">
        <f>'תקציב החברה לפיתוח 2022'!U5</f>
        <v>10000000</v>
      </c>
      <c r="V5" s="161">
        <f>'תקציב החברה לפיתוח 2022'!V5</f>
        <v>10000000</v>
      </c>
      <c r="W5" s="161">
        <f>'תקציב החברה לפיתוח 2022'!W5</f>
        <v>0</v>
      </c>
      <c r="X5" s="161">
        <f>'תקציב החברה לפיתוח 2022'!X5</f>
        <v>0</v>
      </c>
      <c r="Y5" s="161">
        <f>'תקציב החברה לפיתוח 2022'!Y5</f>
        <v>0</v>
      </c>
      <c r="Z5" s="161">
        <f>'תקציב החברה לפיתוח 2022'!Z5</f>
        <v>0</v>
      </c>
      <c r="AA5" s="161">
        <f>'תקציב החברה לפיתוח 2022'!AA5</f>
        <v>0</v>
      </c>
      <c r="AB5" s="289" t="str">
        <f>'תקציב החברה לפיתוח 2022'!AB5</f>
        <v>ביצוע רח' רח' משכית, השלמת תכנון וביצוע כניסה נוספת רח' שנקר, תכנון וביצוע רח' שנקר, המנופים,יוחנן הסנדלר ויד חרוצים.</v>
      </c>
      <c r="AC5" s="160">
        <v>742000</v>
      </c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</row>
    <row r="6" spans="1:55" s="165" customFormat="1" ht="30" customHeight="1">
      <c r="A6" s="160">
        <f>A5+1</f>
        <v>2</v>
      </c>
      <c r="B6" s="160">
        <f>'תקציב החברה לפיתוח 2022'!B6</f>
        <v>532</v>
      </c>
      <c r="C6" s="289" t="str">
        <f>'תקציב החברה לפיתוח 2022'!C6</f>
        <v>פיתוח מתחם המסילה ודב הוז</v>
      </c>
      <c r="D6" s="161">
        <f>'תקציב החברה לפיתוח 2022'!D6</f>
        <v>80090000</v>
      </c>
      <c r="E6" s="161">
        <f>'תקציב החברה לפיתוח 2022'!E6</f>
        <v>80090000</v>
      </c>
      <c r="F6" s="161">
        <f>'תקציב החברה לפיתוח 2022'!F6</f>
        <v>0</v>
      </c>
      <c r="G6" s="161">
        <f>'תקציב החברה לפיתוח 2022'!G6</f>
        <v>77090000</v>
      </c>
      <c r="H6" s="161">
        <f>'תקציב החברה לפיתוח 2022'!H6</f>
        <v>75158968</v>
      </c>
      <c r="I6" s="161">
        <f>'תקציב החברה לפיתוח 2022'!I6</f>
        <v>0</v>
      </c>
      <c r="J6" s="161">
        <f>'תקציב החברה לפיתוח 2022'!J6</f>
        <v>93388</v>
      </c>
      <c r="K6" s="161">
        <f>'תקציב החברה לפיתוח 2022'!K6</f>
        <v>93388</v>
      </c>
      <c r="L6" s="161">
        <f>'תקציב החברה לפיתוח 2022'!L6</f>
        <v>75252356</v>
      </c>
      <c r="M6" s="161">
        <f>'תקציב החברה לפיתוח 2022'!M6</f>
        <v>4837644</v>
      </c>
      <c r="N6" s="161">
        <f>'תקציב החברה לפיתוח 2022'!N6</f>
        <v>0</v>
      </c>
      <c r="O6" s="161">
        <f>'תקציב החברה לפיתוח 2022'!O6</f>
        <v>0</v>
      </c>
      <c r="P6" s="161">
        <f>'תקציב החברה לפיתוח 2022'!P6</f>
        <v>1837644</v>
      </c>
      <c r="Q6" s="161">
        <f>'תקציב החברה לפיתוח 2022'!Q6</f>
        <v>3000000</v>
      </c>
      <c r="R6" s="161">
        <f>'תקציב החברה לפיתוח 2022'!R6</f>
        <v>0</v>
      </c>
      <c r="S6" s="161">
        <f>'תקציב החברה לפיתוח 2022'!S6</f>
        <v>3000000</v>
      </c>
      <c r="T6" s="161">
        <f>'תקציב החברה לפיתוח 2022'!T6</f>
        <v>0</v>
      </c>
      <c r="U6" s="161">
        <f>'תקציב החברה לפיתוח 2022'!U6</f>
        <v>0</v>
      </c>
      <c r="V6" s="161">
        <f>'תקציב החברה לפיתוח 2022'!V6</f>
        <v>0</v>
      </c>
      <c r="W6" s="161">
        <f>'תקציב החברה לפיתוח 2022'!W6</f>
        <v>0</v>
      </c>
      <c r="X6" s="161">
        <f>'תקציב החברה לפיתוח 2022'!X6</f>
        <v>0</v>
      </c>
      <c r="Y6" s="161">
        <f>'תקציב החברה לפיתוח 2022'!Y6</f>
        <v>0</v>
      </c>
      <c r="Z6" s="161">
        <f>'תקציב החברה לפיתוח 2022'!Z6</f>
        <v>0</v>
      </c>
      <c r="AA6" s="161">
        <f>'תקציב החברה לפיתוח 2022'!AA6</f>
        <v>0</v>
      </c>
      <c r="AB6" s="289" t="str">
        <f>'תקציב החברה לפיתוח 2022'!AB6</f>
        <v xml:space="preserve">עבודות השלמת שצ"פים וגינת כלבים. </v>
      </c>
      <c r="AC6" s="160">
        <v>742000</v>
      </c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</row>
    <row r="7" spans="1:55" s="165" customFormat="1" ht="45">
      <c r="A7" s="160">
        <f t="shared" ref="A7:A70" si="0">A6+1</f>
        <v>3</v>
      </c>
      <c r="B7" s="160">
        <f>'תקציב החברה לפיתוח 2022'!B7</f>
        <v>576</v>
      </c>
      <c r="C7" s="289" t="str">
        <f>'תקציב החברה לפיתוח 2022'!C7</f>
        <v>בית העלמין החדש</v>
      </c>
      <c r="D7" s="161">
        <f>'תקציב החברה לפיתוח 2022'!D7</f>
        <v>76913000</v>
      </c>
      <c r="E7" s="161">
        <f>'תקציב החברה לפיתוח 2022'!E7</f>
        <v>76913000</v>
      </c>
      <c r="F7" s="161">
        <f>'תקציב החברה לפיתוח 2022'!F7</f>
        <v>0</v>
      </c>
      <c r="G7" s="161">
        <f>'תקציב החברה לפיתוח 2022'!G7</f>
        <v>58113000</v>
      </c>
      <c r="H7" s="161">
        <f>'תקציב החברה לפיתוח 2022'!H7</f>
        <v>54700908</v>
      </c>
      <c r="I7" s="161">
        <f>'תקציב החברה לפיתוח 2022'!I7</f>
        <v>0</v>
      </c>
      <c r="J7" s="161">
        <f>'תקציב החברה לפיתוח 2022'!J7</f>
        <v>3004295</v>
      </c>
      <c r="K7" s="161">
        <f>'תקציב החברה לפיתוח 2022'!K7</f>
        <v>3004295</v>
      </c>
      <c r="L7" s="161">
        <f>'תקציב החברה לפיתוח 2022'!L7</f>
        <v>57705203</v>
      </c>
      <c r="M7" s="161">
        <f>'תקציב החברה לפיתוח 2022'!M7</f>
        <v>407797</v>
      </c>
      <c r="N7" s="161">
        <f>'תקציב החברה לפיתוח 2022'!N7</f>
        <v>0</v>
      </c>
      <c r="O7" s="161">
        <f>'תקציב החברה לפיתוח 2022'!O7</f>
        <v>18800000</v>
      </c>
      <c r="P7" s="161">
        <f>'תקציב החברה לפיתוח 2022'!P7</f>
        <v>407797</v>
      </c>
      <c r="Q7" s="161">
        <f>'תקציב החברה לפיתוח 2022'!Q7</f>
        <v>0</v>
      </c>
      <c r="R7" s="161">
        <f>'תקציב החברה לפיתוח 2022'!R7</f>
        <v>0</v>
      </c>
      <c r="S7" s="161">
        <f>'תקציב החברה לפיתוח 2022'!S7</f>
        <v>0</v>
      </c>
      <c r="T7" s="161">
        <f>'תקציב החברה לפיתוח 2022'!T7</f>
        <v>0</v>
      </c>
      <c r="U7" s="161">
        <f>'תקציב החברה לפיתוח 2022'!U7</f>
        <v>0</v>
      </c>
      <c r="V7" s="161">
        <f>'תקציב החברה לפיתוח 2022'!V7</f>
        <v>0</v>
      </c>
      <c r="W7" s="161">
        <f>'תקציב החברה לפיתוח 2022'!W7</f>
        <v>0</v>
      </c>
      <c r="X7" s="161">
        <f>'תקציב החברה לפיתוח 2022'!X7</f>
        <v>0</v>
      </c>
      <c r="Y7" s="161">
        <f>'תקציב החברה לפיתוח 2022'!Y7</f>
        <v>0</v>
      </c>
      <c r="Z7" s="161">
        <f>'תקציב החברה לפיתוח 2022'!Z7</f>
        <v>0</v>
      </c>
      <c r="AA7" s="161">
        <f>'תקציב החברה לפיתוח 2022'!AA7</f>
        <v>0</v>
      </c>
      <c r="AB7" s="289" t="str">
        <f>'תקציב החברה לפיתוח 2022'!AB7</f>
        <v xml:space="preserve">עבודות הרחבת והכשרת חלקות נוספות מס' 3 , 5, בבית העלמין החדש. </v>
      </c>
      <c r="AC7" s="160">
        <v>760000</v>
      </c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</row>
    <row r="8" spans="1:55" s="165" customFormat="1" ht="45">
      <c r="A8" s="160">
        <f t="shared" si="0"/>
        <v>4</v>
      </c>
      <c r="B8" s="160">
        <f>'תקציב החברה לפיתוח 2022'!B8</f>
        <v>634</v>
      </c>
      <c r="C8" s="289" t="str">
        <f>'תקציב החברה לפיתוח 2022'!C8</f>
        <v>מתחם המשתלה  תב"ע 1874</v>
      </c>
      <c r="D8" s="161">
        <f>'תקציב החברה לפיתוח 2022'!D8</f>
        <v>55650000</v>
      </c>
      <c r="E8" s="161">
        <f>'תקציב החברה לפיתוח 2022'!E8</f>
        <v>56350000</v>
      </c>
      <c r="F8" s="161">
        <f>'תקציב החברה לפיתוח 2022'!F8</f>
        <v>-700000</v>
      </c>
      <c r="G8" s="161">
        <f>'תקציב החברה לפיתוח 2022'!G8</f>
        <v>55950000</v>
      </c>
      <c r="H8" s="161">
        <f>'תקציב החברה לפיתוח 2022'!H8</f>
        <v>55561475</v>
      </c>
      <c r="I8" s="161">
        <f>'תקציב החברה לפיתוח 2022'!I8</f>
        <v>0</v>
      </c>
      <c r="J8" s="161">
        <f>'תקציב החברה לפיתוח 2022'!J8</f>
        <v>0</v>
      </c>
      <c r="K8" s="161">
        <f>'תקציב החברה לפיתוח 2022'!K8</f>
        <v>0</v>
      </c>
      <c r="L8" s="161">
        <f>'תקציב החברה לפיתוח 2022'!L8</f>
        <v>55561475</v>
      </c>
      <c r="M8" s="161">
        <f>'תקציב החברה לפיתוח 2022'!M8</f>
        <v>88525</v>
      </c>
      <c r="N8" s="161">
        <f>'תקציב החברה לפיתוח 2022'!N8</f>
        <v>0</v>
      </c>
      <c r="O8" s="161">
        <f>'תקציב החברה לפיתוח 2022'!O8</f>
        <v>0</v>
      </c>
      <c r="P8" s="161">
        <f>'תקציב החברה לפיתוח 2022'!P8</f>
        <v>388525</v>
      </c>
      <c r="Q8" s="161">
        <f>'תקציב החברה לפיתוח 2022'!Q8</f>
        <v>0</v>
      </c>
      <c r="R8" s="161">
        <f>'תקציב החברה לפיתוח 2022'!R8</f>
        <v>0</v>
      </c>
      <c r="S8" s="161">
        <f>'תקציב החברה לפיתוח 2022'!S8</f>
        <v>0</v>
      </c>
      <c r="T8" s="161">
        <f>'תקציב החברה לפיתוח 2022'!T8</f>
        <v>300000</v>
      </c>
      <c r="U8" s="161">
        <f>'תקציב החברה לפיתוח 2022'!U8</f>
        <v>-300000</v>
      </c>
      <c r="V8" s="161">
        <f>'תקציב החברה לפיתוח 2022'!V8</f>
        <v>-300000</v>
      </c>
      <c r="W8" s="161">
        <f>'תקציב החברה לפיתוח 2022'!W8</f>
        <v>0</v>
      </c>
      <c r="X8" s="161">
        <f>'תקציב החברה לפיתוח 2022'!X8</f>
        <v>0</v>
      </c>
      <c r="Y8" s="161">
        <f>'תקציב החברה לפיתוח 2022'!Y8</f>
        <v>0</v>
      </c>
      <c r="Z8" s="161">
        <f>'תקציב החברה לפיתוח 2022'!Z8</f>
        <v>0</v>
      </c>
      <c r="AA8" s="161">
        <f>'תקציב החברה לפיתוח 2022'!AA8</f>
        <v>0</v>
      </c>
      <c r="AB8" s="289" t="str">
        <f>'תקציב החברה לפיתוח 2022'!AB8</f>
        <v>השלמת עבודות גינון ותיקונים במתחם. ח-ן סופיים.</v>
      </c>
      <c r="AC8" s="160">
        <v>732000</v>
      </c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</row>
    <row r="9" spans="1:55" s="164" customFormat="1" ht="30" customHeight="1">
      <c r="A9" s="160">
        <f t="shared" si="0"/>
        <v>5</v>
      </c>
      <c r="B9" s="160">
        <f>'תקציב החברה לפיתוח 2022'!B9</f>
        <v>1067</v>
      </c>
      <c r="C9" s="289" t="str">
        <f>'תקציב החברה לפיתוח 2022'!C9</f>
        <v>עבודות פיתוח קטנות</v>
      </c>
      <c r="D9" s="161">
        <f>'תקציב החברה לפיתוח 2022'!D9</f>
        <v>4725000</v>
      </c>
      <c r="E9" s="161">
        <f>'תקציב החברה לפיתוח 2022'!E9</f>
        <v>4475000</v>
      </c>
      <c r="F9" s="161">
        <f>'תקציב החברה לפיתוח 2022'!F9</f>
        <v>250000</v>
      </c>
      <c r="G9" s="161">
        <f>'תקציב החברה לפיתוח 2022'!G9</f>
        <v>3975000</v>
      </c>
      <c r="H9" s="161">
        <f>'תקציב החברה לפיתוח 2022'!H9</f>
        <v>3381161</v>
      </c>
      <c r="I9" s="161">
        <f>'תקציב החברה לפיתוח 2022'!I9</f>
        <v>0</v>
      </c>
      <c r="J9" s="161">
        <f>'תקציב החברה לפיתוח 2022'!J9</f>
        <v>318521</v>
      </c>
      <c r="K9" s="161">
        <f>'תקציב החברה לפיתוח 2022'!K9</f>
        <v>318521</v>
      </c>
      <c r="L9" s="161">
        <f>'תקציב החברה לפיתוח 2022'!L9</f>
        <v>3699682</v>
      </c>
      <c r="M9" s="161">
        <f>'תקציב החברה לפיתוח 2022'!M9</f>
        <v>775318</v>
      </c>
      <c r="N9" s="161">
        <f>'תקציב החברה לפיתוח 2022'!N9</f>
        <v>250000</v>
      </c>
      <c r="O9" s="161">
        <f>'תקציב החברה לפיתוח 2022'!O9</f>
        <v>0</v>
      </c>
      <c r="P9" s="161">
        <f>'תקציב החברה לפיתוח 2022'!P9</f>
        <v>275318</v>
      </c>
      <c r="Q9" s="161">
        <f>'תקציב החברה לפיתוח 2022'!Q9</f>
        <v>500000</v>
      </c>
      <c r="R9" s="161">
        <f>'תקציב החברה לפיתוח 2022'!R9</f>
        <v>0</v>
      </c>
      <c r="S9" s="161">
        <f>'תקציב החברה לפיתוח 2022'!S9</f>
        <v>500000</v>
      </c>
      <c r="T9" s="161">
        <f>'תקציב החברה לפיתוח 2022'!T9</f>
        <v>0</v>
      </c>
      <c r="U9" s="161">
        <f>'תקציב החברה לפיתוח 2022'!U9</f>
        <v>250000</v>
      </c>
      <c r="V9" s="161">
        <f>'תקציב החברה לפיתוח 2022'!V9</f>
        <v>250000</v>
      </c>
      <c r="W9" s="161">
        <f>'תקציב החברה לפיתוח 2022'!W9</f>
        <v>0</v>
      </c>
      <c r="X9" s="161">
        <f>'תקציב החברה לפיתוח 2022'!X9</f>
        <v>0</v>
      </c>
      <c r="Y9" s="161">
        <f>'תקציב החברה לפיתוח 2022'!Y9</f>
        <v>0</v>
      </c>
      <c r="Z9" s="161">
        <f>'תקציב החברה לפיתוח 2022'!Z9</f>
        <v>0</v>
      </c>
      <c r="AA9" s="161">
        <f>'תקציב החברה לפיתוח 2022'!AA9</f>
        <v>0</v>
      </c>
      <c r="AB9" s="289" t="str">
        <f>'תקציב החברה לפיתוח 2022'!AB9</f>
        <v>סל עבודות קטנות עפ"י דרישה.</v>
      </c>
      <c r="AC9" s="160">
        <v>742000</v>
      </c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</row>
    <row r="10" spans="1:55" s="165" customFormat="1" ht="30">
      <c r="A10" s="160">
        <f t="shared" si="0"/>
        <v>6</v>
      </c>
      <c r="B10" s="160">
        <f>'תקציב החברה לפיתוח 2022'!B10</f>
        <v>1207</v>
      </c>
      <c r="C10" s="289" t="str">
        <f>'תקציב החברה לפיתוח 2022'!C10</f>
        <v>מתחם זרובבל</v>
      </c>
      <c r="D10" s="161">
        <f>'תקציב החברה לפיתוח 2022'!D10</f>
        <v>50650000</v>
      </c>
      <c r="E10" s="161">
        <f>'תקציב החברה לפיתוח 2022'!E10</f>
        <v>50650000</v>
      </c>
      <c r="F10" s="161">
        <f>'תקציב החברה לפיתוח 2022'!F10</f>
        <v>0</v>
      </c>
      <c r="G10" s="161">
        <f>'תקציב החברה לפיתוח 2022'!G10</f>
        <v>45650000</v>
      </c>
      <c r="H10" s="161">
        <f>'תקציב החברה לפיתוח 2022'!H10</f>
        <v>39408214</v>
      </c>
      <c r="I10" s="161">
        <f>'תקציב החברה לפיתוח 2022'!I10</f>
        <v>0</v>
      </c>
      <c r="J10" s="161">
        <f>'תקציב החברה לפיתוח 2022'!J10</f>
        <v>3859618</v>
      </c>
      <c r="K10" s="161">
        <f>'תקציב החברה לפיתוח 2022'!K10</f>
        <v>3859618</v>
      </c>
      <c r="L10" s="161">
        <f>'תקציב החברה לפיתוח 2022'!L10</f>
        <v>43267832</v>
      </c>
      <c r="M10" s="161">
        <f>'תקציב החברה לפיתוח 2022'!M10</f>
        <v>2382168</v>
      </c>
      <c r="N10" s="161">
        <f>'תקציב החברה לפיתוח 2022'!N10</f>
        <v>0</v>
      </c>
      <c r="O10" s="161">
        <f>'תקציב החברה לפיתוח 2022'!O10</f>
        <v>5000000</v>
      </c>
      <c r="P10" s="161">
        <f>'תקציב החברה לפיתוח 2022'!P10</f>
        <v>2382168</v>
      </c>
      <c r="Q10" s="161">
        <f>'תקציב החברה לפיתוח 2022'!Q10</f>
        <v>0</v>
      </c>
      <c r="R10" s="161">
        <f>'תקציב החברה לפיתוח 2022'!R10</f>
        <v>0</v>
      </c>
      <c r="S10" s="161">
        <f>'תקציב החברה לפיתוח 2022'!S10</f>
        <v>0</v>
      </c>
      <c r="T10" s="161">
        <f>'תקציב החברה לפיתוח 2022'!T10</f>
        <v>0</v>
      </c>
      <c r="U10" s="161">
        <f>'תקציב החברה לפיתוח 2022'!U10</f>
        <v>0</v>
      </c>
      <c r="V10" s="161">
        <f>'תקציב החברה לפיתוח 2022'!V10</f>
        <v>0</v>
      </c>
      <c r="W10" s="161">
        <f>'תקציב החברה לפיתוח 2022'!W10</f>
        <v>0</v>
      </c>
      <c r="X10" s="161">
        <f>'תקציב החברה לפיתוח 2022'!X10</f>
        <v>0</v>
      </c>
      <c r="Y10" s="161">
        <f>'תקציב החברה לפיתוח 2022'!Y10</f>
        <v>0</v>
      </c>
      <c r="Z10" s="161">
        <f>'תקציב החברה לפיתוח 2022'!Z10</f>
        <v>0</v>
      </c>
      <c r="AA10" s="161">
        <f>'תקציב החברה לפיתוח 2022'!AA10</f>
        <v>0</v>
      </c>
      <c r="AB10" s="289" t="str">
        <f>'תקציב החברה לפיתוח 2022'!AB10</f>
        <v>המשך עבודות פיתוח במתחם. פיתוח השצ"פ.</v>
      </c>
      <c r="AC10" s="160">
        <v>742000</v>
      </c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</row>
    <row r="11" spans="1:55" s="165" customFormat="1" ht="45">
      <c r="A11" s="160">
        <f t="shared" si="0"/>
        <v>7</v>
      </c>
      <c r="B11" s="160">
        <f>'תקציב החברה לפיתוח 2022'!B11</f>
        <v>1238</v>
      </c>
      <c r="C11" s="289" t="str">
        <f>'תקציב החברה לפיתוח 2022'!C11</f>
        <v>כצלנסון-פיתוח   פארק רבין (*) עדכון שם</v>
      </c>
      <c r="D11" s="161">
        <f>'תקציב החברה לפיתוח 2022'!D11</f>
        <v>40500000</v>
      </c>
      <c r="E11" s="161">
        <f>'תקציב החברה לפיתוח 2022'!E11</f>
        <v>32940000</v>
      </c>
      <c r="F11" s="161">
        <f>'תקציב החברה לפיתוח 2022'!F11</f>
        <v>7560000</v>
      </c>
      <c r="G11" s="161">
        <f>'תקציב החברה לפיתוח 2022'!G11</f>
        <v>25500000</v>
      </c>
      <c r="H11" s="161">
        <f>'תקציב החברה לפיתוח 2022'!H11</f>
        <v>25492352</v>
      </c>
      <c r="I11" s="161">
        <f>'תקציב החברה לפיתוח 2022'!I11</f>
        <v>0</v>
      </c>
      <c r="J11" s="161">
        <f>'תקציב החברה לפיתוח 2022'!J11</f>
        <v>0</v>
      </c>
      <c r="K11" s="161">
        <f>'תקציב החברה לפיתוח 2022'!K11</f>
        <v>0</v>
      </c>
      <c r="L11" s="161">
        <f>'תקציב החברה לפיתוח 2022'!L11</f>
        <v>25492352</v>
      </c>
      <c r="M11" s="161">
        <f>'תקציב החברה לפיתוח 2022'!M11</f>
        <v>7648</v>
      </c>
      <c r="N11" s="161">
        <f>'תקציב החברה לפיתוח 2022'!N11</f>
        <v>2000000</v>
      </c>
      <c r="O11" s="161">
        <f>'תקציב החברה לפיתוח 2022'!O11</f>
        <v>13000000</v>
      </c>
      <c r="P11" s="161">
        <f>'תקציב החברה לפיתוח 2022'!P11</f>
        <v>7648</v>
      </c>
      <c r="Q11" s="161">
        <f>'תקציב החברה לפיתוח 2022'!Q11</f>
        <v>0</v>
      </c>
      <c r="R11" s="161">
        <f>'תקציב החברה לפיתוח 2022'!R11</f>
        <v>0</v>
      </c>
      <c r="S11" s="161">
        <f>'תקציב החברה לפיתוח 2022'!S11</f>
        <v>0</v>
      </c>
      <c r="T11" s="161">
        <f>'תקציב החברה לפיתוח 2022'!T11</f>
        <v>0</v>
      </c>
      <c r="U11" s="161">
        <f>'תקציב החברה לפיתוח 2022'!U11</f>
        <v>2000000</v>
      </c>
      <c r="V11" s="161">
        <f>'תקציב החברה לפיתוח 2022'!V11</f>
        <v>0</v>
      </c>
      <c r="W11" s="161">
        <f>'תקציב החברה לפיתוח 2022'!W11</f>
        <v>0</v>
      </c>
      <c r="X11" s="161">
        <f>'תקציב החברה לפיתוח 2022'!X11</f>
        <v>0</v>
      </c>
      <c r="Y11" s="161">
        <f>'תקציב החברה לפיתוח 2022'!Y11</f>
        <v>0</v>
      </c>
      <c r="Z11" s="161">
        <f>'תקציב החברה לפיתוח 2022'!Z11</f>
        <v>0</v>
      </c>
      <c r="AA11" s="161">
        <f>'תקציב החברה לפיתוח 2022'!AA11</f>
        <v>2000000</v>
      </c>
      <c r="AB11" s="289" t="str">
        <f>'תקציב החברה לפיתוח 2022'!AB11</f>
        <v xml:space="preserve">השלמת ביצוע דרום, ביצוע והשלמת תכנון פארק רבין צפון. מימון מ. הפיס. </v>
      </c>
      <c r="AC11" s="160">
        <v>742000</v>
      </c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</row>
    <row r="12" spans="1:55" s="165" customFormat="1" ht="30" customHeight="1">
      <c r="A12" s="160">
        <f t="shared" si="0"/>
        <v>8</v>
      </c>
      <c r="B12" s="160">
        <f>'תקציב החברה לפיתוח 2022'!B12</f>
        <v>1298</v>
      </c>
      <c r="C12" s="289" t="str">
        <f>'תקציב החברה לפיתוח 2022'!C12</f>
        <v>תכנונים כלליים</v>
      </c>
      <c r="D12" s="161">
        <f>'תקציב החברה לפיתוח 2022'!D12</f>
        <v>5600000</v>
      </c>
      <c r="E12" s="161">
        <f>'תקציב החברה לפיתוח 2022'!E12</f>
        <v>5100000</v>
      </c>
      <c r="F12" s="161">
        <f>'תקציב החברה לפיתוח 2022'!F12</f>
        <v>500000</v>
      </c>
      <c r="G12" s="161">
        <f>'תקציב החברה לפיתוח 2022'!G12</f>
        <v>4800000</v>
      </c>
      <c r="H12" s="161">
        <f>'תקציב החברה לפיתוח 2022'!H12</f>
        <v>4585345</v>
      </c>
      <c r="I12" s="161">
        <f>'תקציב החברה לפיתוח 2022'!I12</f>
        <v>0</v>
      </c>
      <c r="J12" s="161">
        <f>'תקציב החברה לפיתוח 2022'!J12</f>
        <v>9813</v>
      </c>
      <c r="K12" s="161">
        <f>'תקציב החברה לפיתוח 2022'!K12</f>
        <v>9813</v>
      </c>
      <c r="L12" s="161">
        <f>'תקציב החברה לפיתוח 2022'!L12</f>
        <v>4595158</v>
      </c>
      <c r="M12" s="161">
        <f>'תקציב החברה לפיתוח 2022'!M12</f>
        <v>504842</v>
      </c>
      <c r="N12" s="161">
        <f>'תקציב החברה לפיתוח 2022'!N12</f>
        <v>500000</v>
      </c>
      <c r="O12" s="161">
        <f>'תקציב החברה לפיתוח 2022'!O12</f>
        <v>0</v>
      </c>
      <c r="P12" s="161">
        <f>'תקציב החברה לפיתוח 2022'!P12</f>
        <v>204842</v>
      </c>
      <c r="Q12" s="161">
        <f>'תקציב החברה לפיתוח 2022'!Q12</f>
        <v>300000</v>
      </c>
      <c r="R12" s="161">
        <f>'תקציב החברה לפיתוח 2022'!R12</f>
        <v>0</v>
      </c>
      <c r="S12" s="161">
        <f>'תקציב החברה לפיתוח 2022'!S12</f>
        <v>300000</v>
      </c>
      <c r="T12" s="161">
        <f>'תקציב החברה לפיתוח 2022'!T12</f>
        <v>0</v>
      </c>
      <c r="U12" s="161">
        <f>'תקציב החברה לפיתוח 2022'!U12</f>
        <v>500000</v>
      </c>
      <c r="V12" s="161">
        <f>'תקציב החברה לפיתוח 2022'!V12</f>
        <v>500000</v>
      </c>
      <c r="W12" s="161">
        <f>'תקציב החברה לפיתוח 2022'!W12</f>
        <v>0</v>
      </c>
      <c r="X12" s="161">
        <f>'תקציב החברה לפיתוח 2022'!X12</f>
        <v>0</v>
      </c>
      <c r="Y12" s="161">
        <f>'תקציב החברה לפיתוח 2022'!Y12</f>
        <v>0</v>
      </c>
      <c r="Z12" s="161">
        <f>'תקציב החברה לפיתוח 2022'!Z12</f>
        <v>0</v>
      </c>
      <c r="AA12" s="161">
        <f>'תקציב החברה לפיתוח 2022'!AA12</f>
        <v>0</v>
      </c>
      <c r="AB12" s="289" t="str">
        <f>'תקציב החברה לפיתוח 2022'!AB12</f>
        <v>סל עבודות תכנון עפ"י דרישה.</v>
      </c>
      <c r="AC12" s="160">
        <v>742000</v>
      </c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</row>
    <row r="13" spans="1:55" s="164" customFormat="1" ht="30">
      <c r="A13" s="160">
        <f t="shared" si="0"/>
        <v>9</v>
      </c>
      <c r="B13" s="160">
        <f>'תקציב החברה לפיתוח 2022'!B13</f>
        <v>1312</v>
      </c>
      <c r="C13" s="289" t="str">
        <f>'תקציב החברה לפיתוח 2022'!C13</f>
        <v>השלמת מבנה העיריה החדש</v>
      </c>
      <c r="D13" s="161">
        <f>'תקציב החברה לפיתוח 2022'!D13</f>
        <v>105231000</v>
      </c>
      <c r="E13" s="161">
        <f>'תקציב החברה לפיתוח 2022'!E13</f>
        <v>107231000</v>
      </c>
      <c r="F13" s="161">
        <f>'תקציב החברה לפיתוח 2022'!F13</f>
        <v>-2000000</v>
      </c>
      <c r="G13" s="161">
        <f>'תקציב החברה לפיתוח 2022'!G13</f>
        <v>107231000</v>
      </c>
      <c r="H13" s="161">
        <f>'תקציב החברה לפיתוח 2022'!H13</f>
        <v>104424653</v>
      </c>
      <c r="I13" s="161">
        <f>'תקציב החברה לפיתוח 2022'!I13</f>
        <v>0</v>
      </c>
      <c r="J13" s="161">
        <f>'תקציב החברה לפיתוח 2022'!J13</f>
        <v>191551</v>
      </c>
      <c r="K13" s="161">
        <f>'תקציב החברה לפיתוח 2022'!K13</f>
        <v>191551</v>
      </c>
      <c r="L13" s="161">
        <f>'תקציב החברה לפיתוח 2022'!L13</f>
        <v>104616204</v>
      </c>
      <c r="M13" s="161">
        <f>'תקציב החברה לפיתוח 2022'!M13</f>
        <v>614796</v>
      </c>
      <c r="N13" s="161">
        <f>'תקציב החברה לפיתוח 2022'!N13</f>
        <v>0</v>
      </c>
      <c r="O13" s="161">
        <f>'תקציב החברה לפיתוח 2022'!O13</f>
        <v>0</v>
      </c>
      <c r="P13" s="161">
        <f>'תקציב החברה לפיתוח 2022'!P13</f>
        <v>2614796</v>
      </c>
      <c r="Q13" s="161">
        <f>'תקציב החברה לפיתוח 2022'!Q13</f>
        <v>0</v>
      </c>
      <c r="R13" s="161">
        <f>'תקציב החברה לפיתוח 2022'!R13</f>
        <v>0</v>
      </c>
      <c r="S13" s="161">
        <f>'תקציב החברה לפיתוח 2022'!S13</f>
        <v>0</v>
      </c>
      <c r="T13" s="161">
        <f>'תקציב החברה לפיתוח 2022'!T13</f>
        <v>2000000</v>
      </c>
      <c r="U13" s="161">
        <f>'תקציב החברה לפיתוח 2022'!U13</f>
        <v>-2000000</v>
      </c>
      <c r="V13" s="161">
        <f>'תקציב החברה לפיתוח 2022'!V13</f>
        <v>-2000000</v>
      </c>
      <c r="W13" s="161">
        <f>'תקציב החברה לפיתוח 2022'!W13</f>
        <v>0</v>
      </c>
      <c r="X13" s="161">
        <f>'תקציב החברה לפיתוח 2022'!X13</f>
        <v>0</v>
      </c>
      <c r="Y13" s="161">
        <f>'תקציב החברה לפיתוח 2022'!Y13</f>
        <v>0</v>
      </c>
      <c r="Z13" s="161">
        <f>'תקציב החברה לפיתוח 2022'!Z13</f>
        <v>0</v>
      </c>
      <c r="AA13" s="161">
        <f>'תקציב החברה לפיתוח 2022'!AA13</f>
        <v>0</v>
      </c>
      <c r="AB13" s="289" t="str">
        <f>'תקציב החברה לפיתוח 2022'!AB13</f>
        <v xml:space="preserve">בנין העיריה החדש.  </v>
      </c>
      <c r="AC13" s="160">
        <v>930000</v>
      </c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</row>
    <row r="14" spans="1:55" s="5" customFormat="1" ht="60">
      <c r="A14" s="160">
        <f t="shared" si="0"/>
        <v>10</v>
      </c>
      <c r="B14" s="160">
        <f>'תקציב החברה לפיתוח 2022'!B14</f>
        <v>1314</v>
      </c>
      <c r="C14" s="289" t="str">
        <f>'תקציב החברה לפיתוח 2022'!C14</f>
        <v>רח' גבעת החלומות פיתוח</v>
      </c>
      <c r="D14" s="161">
        <f>'תקציב החברה לפיתוח 2022'!D14</f>
        <v>3200000</v>
      </c>
      <c r="E14" s="161">
        <f>'תקציב החברה לפיתוח 2022'!E14</f>
        <v>3200000</v>
      </c>
      <c r="F14" s="161">
        <f>'תקציב החברה לפיתוח 2022'!F14</f>
        <v>0</v>
      </c>
      <c r="G14" s="161">
        <f>'תקציב החברה לפיתוח 2022'!G14</f>
        <v>660000</v>
      </c>
      <c r="H14" s="161">
        <f>'תקציב החברה לפיתוח 2022'!H14</f>
        <v>539291</v>
      </c>
      <c r="I14" s="161">
        <f>'תקציב החברה לפיתוח 2022'!I14</f>
        <v>0</v>
      </c>
      <c r="J14" s="161">
        <f>'תקציב החברה לפיתוח 2022'!J14</f>
        <v>105607</v>
      </c>
      <c r="K14" s="161">
        <f>'תקציב החברה לפיתוח 2022'!K14</f>
        <v>105607</v>
      </c>
      <c r="L14" s="161">
        <f>'תקציב החברה לפיתוח 2022'!L14</f>
        <v>644898</v>
      </c>
      <c r="M14" s="161">
        <f>'תקציב החברה לפיתוח 2022'!M14</f>
        <v>15102</v>
      </c>
      <c r="N14" s="161">
        <f>'תקציב החברה לפיתוח 2022'!N14</f>
        <v>1000000</v>
      </c>
      <c r="O14" s="161">
        <f>'תקציב החברה לפיתוח 2022'!O14</f>
        <v>1540000</v>
      </c>
      <c r="P14" s="161">
        <f>'תקציב החברה לפיתוח 2022'!P14</f>
        <v>15102</v>
      </c>
      <c r="Q14" s="161">
        <f>'תקציב החברה לפיתוח 2022'!Q14</f>
        <v>0</v>
      </c>
      <c r="R14" s="161">
        <f>'תקציב החברה לפיתוח 2022'!R14</f>
        <v>0</v>
      </c>
      <c r="S14" s="161">
        <f>'תקציב החברה לפיתוח 2022'!S14</f>
        <v>0</v>
      </c>
      <c r="T14" s="161">
        <f>'תקציב החברה לפיתוח 2022'!T14</f>
        <v>0</v>
      </c>
      <c r="U14" s="161">
        <f>'תקציב החברה לפיתוח 2022'!U14</f>
        <v>1000000</v>
      </c>
      <c r="V14" s="161">
        <f>'תקציב החברה לפיתוח 2022'!V14</f>
        <v>1000000</v>
      </c>
      <c r="W14" s="161">
        <f>'תקציב החברה לפיתוח 2022'!W14</f>
        <v>0</v>
      </c>
      <c r="X14" s="161">
        <f>'תקציב החברה לפיתוח 2022'!X14</f>
        <v>0</v>
      </c>
      <c r="Y14" s="161">
        <f>'תקציב החברה לפיתוח 2022'!Y14</f>
        <v>0</v>
      </c>
      <c r="Z14" s="161">
        <f>'תקציב החברה לפיתוח 2022'!Z14</f>
        <v>0</v>
      </c>
      <c r="AA14" s="161">
        <f>'תקציב החברה לפיתוח 2022'!AA14</f>
        <v>0</v>
      </c>
      <c r="AB14" s="289" t="str">
        <f>'תקציב החברה לפיתוח 2022'!AB14</f>
        <v xml:space="preserve">פיתוח רחוב גבעת החלומות לרבות עבודות ניקוז ותאורה. עדכון תכנון וביצוע . </v>
      </c>
      <c r="AC14" s="3">
        <v>742000</v>
      </c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</row>
    <row r="15" spans="1:55" s="5" customFormat="1" ht="60">
      <c r="A15" s="160">
        <f t="shared" si="0"/>
        <v>11</v>
      </c>
      <c r="B15" s="160">
        <f>'תקציב החברה לפיתוח 2022'!B15</f>
        <v>1322</v>
      </c>
      <c r="C15" s="289" t="str">
        <f>'תקציב החברה לפיתוח 2022'!C15</f>
        <v>מתחם נוף ים פיתוח</v>
      </c>
      <c r="D15" s="161">
        <f>'תקציב החברה לפיתוח 2022'!D15</f>
        <v>18500000</v>
      </c>
      <c r="E15" s="161">
        <f>'תקציב החברה לפיתוח 2022'!E15</f>
        <v>18500000</v>
      </c>
      <c r="F15" s="161">
        <f>'תקציב החברה לפיתוח 2022'!F15</f>
        <v>0</v>
      </c>
      <c r="G15" s="161">
        <f>'תקציב החברה לפיתוח 2022'!G15</f>
        <v>10850000</v>
      </c>
      <c r="H15" s="161">
        <f>'תקציב החברה לפיתוח 2022'!H15</f>
        <v>9799391</v>
      </c>
      <c r="I15" s="161">
        <f>'תקציב החברה לפיתוח 2022'!I15</f>
        <v>0</v>
      </c>
      <c r="J15" s="161">
        <f>'תקציב החברה לפיתוח 2022'!J15</f>
        <v>12508</v>
      </c>
      <c r="K15" s="161">
        <f>'תקציב החברה לפיתוח 2022'!K15</f>
        <v>12508</v>
      </c>
      <c r="L15" s="161">
        <f>'תקציב החברה לפיתוח 2022'!L15</f>
        <v>9811899</v>
      </c>
      <c r="M15" s="161">
        <f>'תקציב החברה לפיתוח 2022'!M15</f>
        <v>1038101</v>
      </c>
      <c r="N15" s="161">
        <f>'תקציב החברה לפיתוח 2022'!N15</f>
        <v>1200000</v>
      </c>
      <c r="O15" s="161">
        <f>'תקציב החברה לפיתוח 2022'!O15</f>
        <v>6450000</v>
      </c>
      <c r="P15" s="161">
        <f>'תקציב החברה לפיתוח 2022'!P15</f>
        <v>1038101</v>
      </c>
      <c r="Q15" s="161">
        <f>'תקציב החברה לפיתוח 2022'!Q15</f>
        <v>0</v>
      </c>
      <c r="R15" s="161">
        <f>'תקציב החברה לפיתוח 2022'!R15</f>
        <v>0</v>
      </c>
      <c r="S15" s="161">
        <f>'תקציב החברה לפיתוח 2022'!S15</f>
        <v>0</v>
      </c>
      <c r="T15" s="161">
        <f>'תקציב החברה לפיתוח 2022'!T15</f>
        <v>0</v>
      </c>
      <c r="U15" s="161">
        <f>'תקציב החברה לפיתוח 2022'!U15</f>
        <v>1200000</v>
      </c>
      <c r="V15" s="161">
        <f>'תקציב החברה לפיתוח 2022'!V15</f>
        <v>1200000</v>
      </c>
      <c r="W15" s="161">
        <f>'תקציב החברה לפיתוח 2022'!W15</f>
        <v>0</v>
      </c>
      <c r="X15" s="161">
        <f>'תקציב החברה לפיתוח 2022'!X15</f>
        <v>0</v>
      </c>
      <c r="Y15" s="161">
        <f>'תקציב החברה לפיתוח 2022'!Y15</f>
        <v>0</v>
      </c>
      <c r="Z15" s="161">
        <f>'תקציב החברה לפיתוח 2022'!Z15</f>
        <v>0</v>
      </c>
      <c r="AA15" s="161">
        <f>'תקציב החברה לפיתוח 2022'!AA15</f>
        <v>0</v>
      </c>
      <c r="AB15" s="289" t="str">
        <f>'תקציב החברה לפיתוח 2022'!AB15</f>
        <v>ביצוע תשתיות רח' הנשיא מחיבורו לשער הים עד הצומת רח' הפועל התאנה כולל הטמנת רשת חשמל.</v>
      </c>
      <c r="AC15" s="3">
        <v>742000</v>
      </c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</row>
    <row r="16" spans="1:55" s="5" customFormat="1" ht="30">
      <c r="A16" s="160">
        <f t="shared" si="0"/>
        <v>12</v>
      </c>
      <c r="B16" s="160">
        <f>'תקציב החברה לפיתוח 2022'!B16</f>
        <v>1357</v>
      </c>
      <c r="C16" s="289" t="str">
        <f>'תקציב החברה לפיתוח 2022'!C16</f>
        <v>ספורטק שלב ג'</v>
      </c>
      <c r="D16" s="161">
        <f>'תקציב החברה לפיתוח 2022'!D16</f>
        <v>25000000</v>
      </c>
      <c r="E16" s="161">
        <f>'תקציב החברה לפיתוח 2022'!E16</f>
        <v>25000000</v>
      </c>
      <c r="F16" s="161">
        <f>'תקציב החברה לפיתוח 2022'!F16</f>
        <v>0</v>
      </c>
      <c r="G16" s="161">
        <f>'תקציב החברה לפיתוח 2022'!G16</f>
        <v>18062000</v>
      </c>
      <c r="H16" s="161">
        <f>'תקציב החברה לפיתוח 2022'!H16</f>
        <v>16695866</v>
      </c>
      <c r="I16" s="161">
        <f>'תקציב החברה לפיתוח 2022'!I16</f>
        <v>0</v>
      </c>
      <c r="J16" s="161">
        <f>'תקציב החברה לפיתוח 2022'!J16</f>
        <v>1054598</v>
      </c>
      <c r="K16" s="161">
        <f>'תקציב החברה לפיתוח 2022'!K16</f>
        <v>1054598</v>
      </c>
      <c r="L16" s="161">
        <f>'תקציב החברה לפיתוח 2022'!L16</f>
        <v>17750464</v>
      </c>
      <c r="M16" s="161">
        <f>'תקציב החברה לפיתוח 2022'!M16</f>
        <v>361536</v>
      </c>
      <c r="N16" s="161">
        <f>'תקציב החברה לפיתוח 2022'!N16</f>
        <v>700000</v>
      </c>
      <c r="O16" s="161">
        <f>'תקציב החברה לפיתוח 2022'!O16</f>
        <v>6188000</v>
      </c>
      <c r="P16" s="161">
        <f>'תקציב החברה לפיתוח 2022'!P16</f>
        <v>311536</v>
      </c>
      <c r="Q16" s="161">
        <f>'תקציב החברה לפיתוח 2022'!Q16</f>
        <v>50000</v>
      </c>
      <c r="R16" s="161">
        <f>'תקציב החברה לפיתוח 2022'!R16</f>
        <v>0</v>
      </c>
      <c r="S16" s="161">
        <f>'תקציב החברה לפיתוח 2022'!S16</f>
        <v>50000</v>
      </c>
      <c r="T16" s="161">
        <f>'תקציב החברה לפיתוח 2022'!T16</f>
        <v>0</v>
      </c>
      <c r="U16" s="161">
        <f>'תקציב החברה לפיתוח 2022'!U16</f>
        <v>700000</v>
      </c>
      <c r="V16" s="161">
        <f>'תקציב החברה לפיתוח 2022'!V16</f>
        <v>700000</v>
      </c>
      <c r="W16" s="161">
        <f>'תקציב החברה לפיתוח 2022'!W16</f>
        <v>0</v>
      </c>
      <c r="X16" s="161">
        <f>'תקציב החברה לפיתוח 2022'!X16</f>
        <v>0</v>
      </c>
      <c r="Y16" s="161">
        <f>'תקציב החברה לפיתוח 2022'!Y16</f>
        <v>0</v>
      </c>
      <c r="Z16" s="161">
        <f>'תקציב החברה לפיתוח 2022'!Z16</f>
        <v>0</v>
      </c>
      <c r="AA16" s="161">
        <f>'תקציב החברה לפיתוח 2022'!AA16</f>
        <v>0</v>
      </c>
      <c r="AB16" s="289" t="str">
        <f>'תקציב החברה לפיתוח 2022'!AB16</f>
        <v>עבודות מבנה מועדון פטנג. בספורטק.</v>
      </c>
      <c r="AC16" s="3">
        <v>829000</v>
      </c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</row>
    <row r="17" spans="1:55" s="164" customFormat="1" ht="30">
      <c r="A17" s="160">
        <f t="shared" si="0"/>
        <v>13</v>
      </c>
      <c r="B17" s="160">
        <f>'תקציב החברה לפיתוח 2022'!B17</f>
        <v>1375</v>
      </c>
      <c r="C17" s="289" t="str">
        <f>'תקציב החברה לפיתוח 2022'!C17</f>
        <v>הקמת בריכה ומרכז לאומנויות לחימה</v>
      </c>
      <c r="D17" s="161">
        <f>'תקציב החברה לפיתוח 2022'!D17</f>
        <v>40150000</v>
      </c>
      <c r="E17" s="161">
        <f>'תקציב החברה לפיתוח 2022'!E17</f>
        <v>40150000</v>
      </c>
      <c r="F17" s="161">
        <f>'תקציב החברה לפיתוח 2022'!F17</f>
        <v>0</v>
      </c>
      <c r="G17" s="161">
        <f>'תקציב החברה לפיתוח 2022'!G17</f>
        <v>30150000</v>
      </c>
      <c r="H17" s="161">
        <f>'תקציב החברה לפיתוח 2022'!H17</f>
        <v>29602392</v>
      </c>
      <c r="I17" s="161">
        <f>'תקציב החברה לפיתוח 2022'!I17</f>
        <v>0</v>
      </c>
      <c r="J17" s="161">
        <f>'תקציב החברה לפיתוח 2022'!J17</f>
        <v>110367</v>
      </c>
      <c r="K17" s="161">
        <f>'תקציב החברה לפיתוח 2022'!K17</f>
        <v>110367</v>
      </c>
      <c r="L17" s="161">
        <f>'תקציב החברה לפיתוח 2022'!L17</f>
        <v>29712759</v>
      </c>
      <c r="M17" s="161">
        <f>'תקציב החברה לפיתוח 2022'!M17</f>
        <v>437241</v>
      </c>
      <c r="N17" s="161">
        <f>'תקציב החברה לפיתוח 2022'!N17</f>
        <v>0</v>
      </c>
      <c r="O17" s="161">
        <f>'תקציב החברה לפיתוח 2022'!O17</f>
        <v>10000000</v>
      </c>
      <c r="P17" s="161">
        <f>'תקציב החברה לפיתוח 2022'!P17</f>
        <v>437241</v>
      </c>
      <c r="Q17" s="161">
        <f>'תקציב החברה לפיתוח 2022'!Q17</f>
        <v>0</v>
      </c>
      <c r="R17" s="161">
        <f>'תקציב החברה לפיתוח 2022'!R17</f>
        <v>0</v>
      </c>
      <c r="S17" s="161">
        <f>'תקציב החברה לפיתוח 2022'!S17</f>
        <v>0</v>
      </c>
      <c r="T17" s="161">
        <f>'תקציב החברה לפיתוח 2022'!T17</f>
        <v>0</v>
      </c>
      <c r="U17" s="161">
        <f>'תקציב החברה לפיתוח 2022'!U17</f>
        <v>0</v>
      </c>
      <c r="V17" s="161">
        <f>'תקציב החברה לפיתוח 2022'!V17</f>
        <v>0</v>
      </c>
      <c r="W17" s="161">
        <f>'תקציב החברה לפיתוח 2022'!W17</f>
        <v>0</v>
      </c>
      <c r="X17" s="161">
        <f>'תקציב החברה לפיתוח 2022'!X17</f>
        <v>0</v>
      </c>
      <c r="Y17" s="161">
        <f>'תקציב החברה לפיתוח 2022'!Y17</f>
        <v>0</v>
      </c>
      <c r="Z17" s="161">
        <f>'תקציב החברה לפיתוח 2022'!Z17</f>
        <v>0</v>
      </c>
      <c r="AA17" s="161">
        <f>'תקציב החברה לפיתוח 2022'!AA17</f>
        <v>0</v>
      </c>
      <c r="AB17" s="289" t="str">
        <f>'תקציב החברה לפיתוח 2022'!AB17</f>
        <v>תוספת קומה והקמת חדרי פעילויות .</v>
      </c>
      <c r="AC17" s="160">
        <v>747000</v>
      </c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</row>
    <row r="18" spans="1:55" s="164" customFormat="1" ht="30">
      <c r="A18" s="160">
        <f t="shared" si="0"/>
        <v>14</v>
      </c>
      <c r="B18" s="160">
        <f>'תקציב החברה לפיתוח 2022'!B18</f>
        <v>1443</v>
      </c>
      <c r="C18" s="289" t="str">
        <f>'תקציב החברה לפיתוח 2022'!C18</f>
        <v>עבודות פינוי ומיחזור הר' 1903</v>
      </c>
      <c r="D18" s="161">
        <f>'תקציב החברה לפיתוח 2022'!D18</f>
        <v>78500000</v>
      </c>
      <c r="E18" s="161">
        <f>'תקציב החברה לפיתוח 2022'!E18</f>
        <v>78500000</v>
      </c>
      <c r="F18" s="161">
        <f>'תקציב החברה לפיתוח 2022'!F18</f>
        <v>0</v>
      </c>
      <c r="G18" s="161">
        <f>'תקציב החברה לפיתוח 2022'!G18</f>
        <v>53840000</v>
      </c>
      <c r="H18" s="161">
        <f>'תקציב החברה לפיתוח 2022'!H18</f>
        <v>53697797</v>
      </c>
      <c r="I18" s="161">
        <f>'תקציב החברה לפיתוח 2022'!I18</f>
        <v>0</v>
      </c>
      <c r="J18" s="161">
        <f>'תקציב החברה לפיתוח 2022'!J18</f>
        <v>0</v>
      </c>
      <c r="K18" s="161">
        <f>'תקציב החברה לפיתוח 2022'!K18</f>
        <v>0</v>
      </c>
      <c r="L18" s="161">
        <f>'תקציב החברה לפיתוח 2022'!L18</f>
        <v>53697797</v>
      </c>
      <c r="M18" s="161">
        <f>'תקציב החברה לפיתוח 2022'!M18</f>
        <v>13004005</v>
      </c>
      <c r="N18" s="161">
        <f>'תקציב החברה לפיתוח 2022'!N18</f>
        <v>0</v>
      </c>
      <c r="O18" s="161">
        <f>'תקציב החברה לפיתוח 2022'!O18</f>
        <v>11798198</v>
      </c>
      <c r="P18" s="161">
        <f>'תקציב החברה לפיתוח 2022'!P18</f>
        <v>142203</v>
      </c>
      <c r="Q18" s="161">
        <f>'תקציב החברה לפיתוח 2022'!Q18</f>
        <v>0</v>
      </c>
      <c r="R18" s="161">
        <f>'תקציב החברה לפיתוח 2022'!R18</f>
        <v>12861802</v>
      </c>
      <c r="S18" s="161">
        <f>'תקציב החברה לפיתוח 2022'!S18</f>
        <v>12861802</v>
      </c>
      <c r="T18" s="161">
        <f>'תקציב החברה לפיתוח 2022'!T18</f>
        <v>0</v>
      </c>
      <c r="U18" s="161">
        <f>'תקציב החברה לפיתוח 2022'!U18</f>
        <v>0</v>
      </c>
      <c r="V18" s="161">
        <f>'תקציב החברה לפיתוח 2022'!V18</f>
        <v>0</v>
      </c>
      <c r="W18" s="161">
        <f>'תקציב החברה לפיתוח 2022'!W18</f>
        <v>0</v>
      </c>
      <c r="X18" s="161">
        <f>'תקציב החברה לפיתוח 2022'!X18</f>
        <v>0</v>
      </c>
      <c r="Y18" s="161">
        <f>'תקציב החברה לפיתוח 2022'!Y18</f>
        <v>0</v>
      </c>
      <c r="Z18" s="161">
        <f>'תקציב החברה לפיתוח 2022'!Z18</f>
        <v>0</v>
      </c>
      <c r="AA18" s="161">
        <f>'תקציב החברה לפיתוח 2022'!AA18</f>
        <v>0</v>
      </c>
      <c r="AB18" s="289">
        <f>'תקציב החברה לפיתוח 2022'!AB18</f>
        <v>0</v>
      </c>
      <c r="AC18" s="160">
        <v>749000</v>
      </c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</row>
    <row r="19" spans="1:55" s="164" customFormat="1" ht="75">
      <c r="A19" s="160">
        <f t="shared" si="0"/>
        <v>15</v>
      </c>
      <c r="B19" s="160">
        <f>'תקציב החברה לפיתוח 2022'!B19</f>
        <v>1446</v>
      </c>
      <c r="C19" s="289" t="str">
        <f>'תקציב החברה לפיתוח 2022'!C19</f>
        <v xml:space="preserve">מתחם נוריות  </v>
      </c>
      <c r="D19" s="161">
        <f>'תקציב החברה לפיתוח 2022'!D19</f>
        <v>11250000</v>
      </c>
      <c r="E19" s="161">
        <f>'תקציב החברה לפיתוח 2022'!E19</f>
        <v>14250000</v>
      </c>
      <c r="F19" s="161">
        <f>'תקציב החברה לפיתוח 2022'!F19</f>
        <v>-3000000</v>
      </c>
      <c r="G19" s="161">
        <f>'תקציב החברה לפיתוח 2022'!G19</f>
        <v>14250000</v>
      </c>
      <c r="H19" s="161">
        <f>'תקציב החברה לפיתוח 2022'!H19</f>
        <v>9566469</v>
      </c>
      <c r="I19" s="161">
        <f>'תקציב החברה לפיתוח 2022'!I19</f>
        <v>0</v>
      </c>
      <c r="J19" s="161">
        <f>'תקציב החברה לפיתוח 2022'!J19</f>
        <v>377656</v>
      </c>
      <c r="K19" s="161">
        <f>'תקציב החברה לפיתוח 2022'!K19</f>
        <v>377656</v>
      </c>
      <c r="L19" s="161">
        <f>'תקציב החברה לפיתוח 2022'!L19</f>
        <v>9944125</v>
      </c>
      <c r="M19" s="161">
        <f>'תקציב החברה לפיתוח 2022'!M19</f>
        <v>1305875</v>
      </c>
      <c r="N19" s="161">
        <f>'תקציב החברה לפיתוח 2022'!N19</f>
        <v>0</v>
      </c>
      <c r="O19" s="161">
        <f>'תקציב החברה לפיתוח 2022'!O19</f>
        <v>0</v>
      </c>
      <c r="P19" s="161">
        <f>'תקציב החברה לפיתוח 2022'!P19</f>
        <v>4305875</v>
      </c>
      <c r="Q19" s="161">
        <f>'תקציב החברה לפיתוח 2022'!Q19</f>
        <v>0</v>
      </c>
      <c r="R19" s="161">
        <f>'תקציב החברה לפיתוח 2022'!R19</f>
        <v>0</v>
      </c>
      <c r="S19" s="161">
        <f>'תקציב החברה לפיתוח 2022'!S19</f>
        <v>0</v>
      </c>
      <c r="T19" s="161">
        <f>'תקציב החברה לפיתוח 2022'!T19</f>
        <v>3000000</v>
      </c>
      <c r="U19" s="161">
        <f>'תקציב החברה לפיתוח 2022'!U19</f>
        <v>-3000000</v>
      </c>
      <c r="V19" s="161">
        <f>'תקציב החברה לפיתוח 2022'!V19</f>
        <v>-3000000</v>
      </c>
      <c r="W19" s="161">
        <f>'תקציב החברה לפיתוח 2022'!W19</f>
        <v>0</v>
      </c>
      <c r="X19" s="161">
        <f>'תקציב החברה לפיתוח 2022'!X19</f>
        <v>0</v>
      </c>
      <c r="Y19" s="161">
        <f>'תקציב החברה לפיתוח 2022'!Y19</f>
        <v>0</v>
      </c>
      <c r="Z19" s="161">
        <f>'תקציב החברה לפיתוח 2022'!Z19</f>
        <v>0</v>
      </c>
      <c r="AA19" s="161">
        <f>'תקציב החברה לפיתוח 2022'!AA19</f>
        <v>0</v>
      </c>
      <c r="AB19" s="289" t="str">
        <f>'תקציב החברה לפיתוח 2022'!AB19</f>
        <v>המשך עבודות פיתוח במתחם הרחובות הנוריות, אנצו סירני , דב גרונר , שלמה בן יוסף , חביבה רייך. ח-ן סופיים.</v>
      </c>
      <c r="AC19" s="160">
        <v>742000</v>
      </c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</row>
    <row r="20" spans="1:55" s="164" customFormat="1" ht="23.45" customHeight="1">
      <c r="A20" s="160">
        <f t="shared" si="0"/>
        <v>16</v>
      </c>
      <c r="B20" s="160">
        <f>'תקציב החברה לפיתוח 2022'!B20</f>
        <v>1539</v>
      </c>
      <c r="C20" s="289" t="str">
        <f>'תקציב החברה לפיתוח 2022'!C20</f>
        <v>רחוב בר כוכבא</v>
      </c>
      <c r="D20" s="161">
        <f>'תקציב החברה לפיתוח 2022'!D20</f>
        <v>15150000</v>
      </c>
      <c r="E20" s="161">
        <f>'תקציב החברה לפיתוח 2022'!E20</f>
        <v>16300000</v>
      </c>
      <c r="F20" s="161">
        <f>'תקציב החברה לפיתוח 2022'!F20</f>
        <v>-1150000</v>
      </c>
      <c r="G20" s="161">
        <f>'תקציב החברה לפיתוח 2022'!G20</f>
        <v>15300000</v>
      </c>
      <c r="H20" s="161">
        <f>'תקציב החברה לפיתוח 2022'!H20</f>
        <v>14749061</v>
      </c>
      <c r="I20" s="161">
        <f>'תקציב החברה לפיתוח 2022'!I20</f>
        <v>54264</v>
      </c>
      <c r="J20" s="161">
        <f>'תקציב החברה לפיתוח 2022'!J20</f>
        <v>92533</v>
      </c>
      <c r="K20" s="161">
        <f>'תקציב החברה לפיתוח 2022'!K20</f>
        <v>146797</v>
      </c>
      <c r="L20" s="161">
        <f>'תקציב החברה לפיתוח 2022'!L20</f>
        <v>14895858</v>
      </c>
      <c r="M20" s="161">
        <f>'תקציב החברה לפיתוח 2022'!M20</f>
        <v>254142</v>
      </c>
      <c r="N20" s="161">
        <f>'תקציב החברה לפיתוח 2022'!N20</f>
        <v>0</v>
      </c>
      <c r="O20" s="161">
        <f>'תקציב החברה לפיתוח 2022'!O20</f>
        <v>0</v>
      </c>
      <c r="P20" s="161">
        <f>'תקציב החברה לפיתוח 2022'!P20</f>
        <v>404142</v>
      </c>
      <c r="Q20" s="161">
        <f>'תקציב החברה לפיתוח 2022'!Q20</f>
        <v>0</v>
      </c>
      <c r="R20" s="161">
        <f>'תקציב החברה לפיתוח 2022'!R20</f>
        <v>0</v>
      </c>
      <c r="S20" s="161">
        <f>'תקציב החברה לפיתוח 2022'!S20</f>
        <v>0</v>
      </c>
      <c r="T20" s="161">
        <f>'תקציב החברה לפיתוח 2022'!T20</f>
        <v>150000</v>
      </c>
      <c r="U20" s="161">
        <f>'תקציב החברה לפיתוח 2022'!U20</f>
        <v>-150000</v>
      </c>
      <c r="V20" s="161">
        <f>'תקציב החברה לפיתוח 2022'!V20</f>
        <v>-150000</v>
      </c>
      <c r="W20" s="161">
        <f>'תקציב החברה לפיתוח 2022'!W20</f>
        <v>0</v>
      </c>
      <c r="X20" s="161">
        <f>'תקציב החברה לפיתוח 2022'!X20</f>
        <v>0</v>
      </c>
      <c r="Y20" s="161">
        <f>'תקציב החברה לפיתוח 2022'!Y20</f>
        <v>0</v>
      </c>
      <c r="Z20" s="161">
        <f>'תקציב החברה לפיתוח 2022'!Z20</f>
        <v>0</v>
      </c>
      <c r="AA20" s="161">
        <f>'תקציב החברה לפיתוח 2022'!AA20</f>
        <v>0</v>
      </c>
      <c r="AB20" s="289" t="str">
        <f>'תקציב החברה לפיתוח 2022'!AB20</f>
        <v>פיתוח תשתיות. ח-ן סופיים.</v>
      </c>
      <c r="AC20" s="160">
        <v>742000</v>
      </c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</row>
    <row r="21" spans="1:55" s="164" customFormat="1" ht="30" customHeight="1">
      <c r="A21" s="160">
        <f t="shared" si="0"/>
        <v>17</v>
      </c>
      <c r="B21" s="160">
        <f>'תקציב החברה לפיתוח 2022'!B21</f>
        <v>1588</v>
      </c>
      <c r="C21" s="289" t="str">
        <f>'תקציב החברה לפיתוח 2022'!C21</f>
        <v>פיתוח מתחם אלוני ים הר' 2030</v>
      </c>
      <c r="D21" s="161">
        <f>'תקציב החברה לפיתוח 2022'!D21</f>
        <v>50500000</v>
      </c>
      <c r="E21" s="161">
        <f>'תקציב החברה לפיתוח 2022'!E21</f>
        <v>50500000</v>
      </c>
      <c r="F21" s="161">
        <f>'תקציב החברה לפיתוח 2022'!F21</f>
        <v>0</v>
      </c>
      <c r="G21" s="161">
        <f>'תקציב החברה לפיתוח 2022'!G21</f>
        <v>45500000</v>
      </c>
      <c r="H21" s="161">
        <f>'תקציב החברה לפיתוח 2022'!H21</f>
        <v>35984164</v>
      </c>
      <c r="I21" s="161">
        <f>'תקציב החברה לפיתוח 2022'!I21</f>
        <v>0</v>
      </c>
      <c r="J21" s="161">
        <f>'תקציב החברה לפיתוח 2022'!J21</f>
        <v>959113</v>
      </c>
      <c r="K21" s="161">
        <f>'תקציב החברה לפיתוח 2022'!K21</f>
        <v>959113</v>
      </c>
      <c r="L21" s="161">
        <f>'תקציב החברה לפיתוח 2022'!L21</f>
        <v>36943277</v>
      </c>
      <c r="M21" s="161">
        <f>'תקציב החברה לפיתוח 2022'!M21</f>
        <v>8556723</v>
      </c>
      <c r="N21" s="161">
        <f>'תקציב החברה לפיתוח 2022'!N21</f>
        <v>4000000</v>
      </c>
      <c r="O21" s="161">
        <f>'תקציב החברה לפיתוח 2022'!O21</f>
        <v>1000000</v>
      </c>
      <c r="P21" s="161">
        <f>'תקציב החברה לפיתוח 2022'!P21</f>
        <v>8556723</v>
      </c>
      <c r="Q21" s="161">
        <f>'תקציב החברה לפיתוח 2022'!Q21</f>
        <v>0</v>
      </c>
      <c r="R21" s="161">
        <f>'תקציב החברה לפיתוח 2022'!R21</f>
        <v>0</v>
      </c>
      <c r="S21" s="161">
        <f>'תקציב החברה לפיתוח 2022'!S21</f>
        <v>0</v>
      </c>
      <c r="T21" s="161">
        <f>'תקציב החברה לפיתוח 2022'!T21</f>
        <v>0</v>
      </c>
      <c r="U21" s="161">
        <f>'תקציב החברה לפיתוח 2022'!U21</f>
        <v>4000000</v>
      </c>
      <c r="V21" s="161">
        <f>'תקציב החברה לפיתוח 2022'!V21</f>
        <v>4000000</v>
      </c>
      <c r="W21" s="161">
        <f>'תקציב החברה לפיתוח 2022'!W21</f>
        <v>0</v>
      </c>
      <c r="X21" s="161">
        <f>'תקציב החברה לפיתוח 2022'!X21</f>
        <v>0</v>
      </c>
      <c r="Y21" s="161">
        <f>'תקציב החברה לפיתוח 2022'!Y21</f>
        <v>0</v>
      </c>
      <c r="Z21" s="161">
        <f>'תקציב החברה לפיתוח 2022'!Z21</f>
        <v>0</v>
      </c>
      <c r="AA21" s="161">
        <f>'תקציב החברה לפיתוח 2022'!AA21</f>
        <v>0</v>
      </c>
      <c r="AB21" s="289" t="str">
        <f>'תקציב החברה לפיתוח 2022'!AB21</f>
        <v xml:space="preserve">המשך עבודות פיתוח שצ"פ במתחם אלוני ים הר' 2030 . </v>
      </c>
      <c r="AC21" s="160">
        <v>742000</v>
      </c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</row>
    <row r="22" spans="1:55" s="164" customFormat="1" ht="45">
      <c r="A22" s="160">
        <f t="shared" si="0"/>
        <v>18</v>
      </c>
      <c r="B22" s="160">
        <f>'תקציב החברה לפיתוח 2022'!B22</f>
        <v>1614</v>
      </c>
      <c r="C22" s="289" t="str">
        <f>'תקציב החברה לפיתוח 2022'!C22</f>
        <v>שצ"פ רבי עקיבא דרומה (השביל הירוק)</v>
      </c>
      <c r="D22" s="161">
        <f>'תקציב החברה לפיתוח 2022'!D22</f>
        <v>7200000</v>
      </c>
      <c r="E22" s="161">
        <f>'תקציב החברה לפיתוח 2022'!E22</f>
        <v>7200000</v>
      </c>
      <c r="F22" s="161">
        <f>'תקציב החברה לפיתוח 2022'!F22</f>
        <v>0</v>
      </c>
      <c r="G22" s="161">
        <f>'תקציב החברה לפיתוח 2022'!G22</f>
        <v>5680000</v>
      </c>
      <c r="H22" s="161">
        <f>'תקציב החברה לפיתוח 2022'!H22</f>
        <v>4993741</v>
      </c>
      <c r="I22" s="161">
        <f>'תקציב החברה לפיתוח 2022'!I22</f>
        <v>0</v>
      </c>
      <c r="J22" s="161">
        <f>'תקציב החברה לפיתוח 2022'!J22</f>
        <v>61352</v>
      </c>
      <c r="K22" s="161">
        <f>'תקציב החברה לפיתוח 2022'!K22</f>
        <v>61352</v>
      </c>
      <c r="L22" s="161">
        <f>'תקציב החברה לפיתוח 2022'!L22</f>
        <v>5055093</v>
      </c>
      <c r="M22" s="161">
        <f>'תקציב החברה לפיתוח 2022'!M22</f>
        <v>624907</v>
      </c>
      <c r="N22" s="161">
        <f>'תקציב החברה לפיתוח 2022'!N22</f>
        <v>0</v>
      </c>
      <c r="O22" s="161">
        <f>'תקציב החברה לפיתוח 2022'!O22</f>
        <v>1520000</v>
      </c>
      <c r="P22" s="161">
        <f>'תקציב החברה לפיתוח 2022'!P22</f>
        <v>624907</v>
      </c>
      <c r="Q22" s="161">
        <f>'תקציב החברה לפיתוח 2022'!Q22</f>
        <v>0</v>
      </c>
      <c r="R22" s="161">
        <f>'תקציב החברה לפיתוח 2022'!R22</f>
        <v>0</v>
      </c>
      <c r="S22" s="161">
        <f>'תקציב החברה לפיתוח 2022'!S22</f>
        <v>0</v>
      </c>
      <c r="T22" s="161">
        <f>'תקציב החברה לפיתוח 2022'!T22</f>
        <v>0</v>
      </c>
      <c r="U22" s="161">
        <f>'תקציב החברה לפיתוח 2022'!U22</f>
        <v>0</v>
      </c>
      <c r="V22" s="161">
        <f>'תקציב החברה לפיתוח 2022'!V22</f>
        <v>0</v>
      </c>
      <c r="W22" s="161">
        <f>'תקציב החברה לפיתוח 2022'!W22</f>
        <v>0</v>
      </c>
      <c r="X22" s="161">
        <f>'תקציב החברה לפיתוח 2022'!X22</f>
        <v>0</v>
      </c>
      <c r="Y22" s="161">
        <f>'תקציב החברה לפיתוח 2022'!Y22</f>
        <v>0</v>
      </c>
      <c r="Z22" s="161">
        <f>'תקציב החברה לפיתוח 2022'!Z22</f>
        <v>0</v>
      </c>
      <c r="AA22" s="161">
        <f>'תקציב החברה לפיתוח 2022'!AA22</f>
        <v>0</v>
      </c>
      <c r="AB22" s="289" t="str">
        <f>'תקציב החברה לפיתוח 2022'!AB22</f>
        <v>המשך עבודות פיתוח שצ"פ בשכונת צמרות והשלמת עבודות ליד המשתלה.</v>
      </c>
      <c r="AC22" s="160">
        <v>742000</v>
      </c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</row>
    <row r="23" spans="1:55" s="164" customFormat="1" ht="30">
      <c r="A23" s="160">
        <f t="shared" si="0"/>
        <v>19</v>
      </c>
      <c r="B23" s="160">
        <f>'תקציב החברה לפיתוח 2022'!B23</f>
        <v>1615</v>
      </c>
      <c r="C23" s="289" t="str">
        <f>'תקציב החברה לפיתוח 2022'!C23</f>
        <v>פיתוח מתחם הר' 1903</v>
      </c>
      <c r="D23" s="161">
        <f>'תקציב החברה לפיתוח 2022'!D23</f>
        <v>27700000</v>
      </c>
      <c r="E23" s="161">
        <f>'תקציב החברה לפיתוח 2022'!E23</f>
        <v>27700000</v>
      </c>
      <c r="F23" s="161">
        <f>'תקציב החברה לפיתוח 2022'!F23</f>
        <v>0</v>
      </c>
      <c r="G23" s="161">
        <f>'תקציב החברה לפיתוח 2022'!G23</f>
        <v>21700000</v>
      </c>
      <c r="H23" s="161">
        <f>'תקציב החברה לפיתוח 2022'!H23</f>
        <v>20717959</v>
      </c>
      <c r="I23" s="161">
        <f>'תקציב החברה לפיתוח 2022'!I23</f>
        <v>0</v>
      </c>
      <c r="J23" s="161">
        <f>'תקציב החברה לפיתוח 2022'!J23</f>
        <v>933879</v>
      </c>
      <c r="K23" s="161">
        <f>'תקציב החברה לפיתוח 2022'!K23</f>
        <v>933879</v>
      </c>
      <c r="L23" s="161">
        <f>'תקציב החברה לפיתוח 2022'!L23</f>
        <v>21651838</v>
      </c>
      <c r="M23" s="161">
        <f>'תקציב החברה לפיתוח 2022'!M23</f>
        <v>2048162</v>
      </c>
      <c r="N23" s="161">
        <f>'תקציב החברה לפיתוח 2022'!N23</f>
        <v>300000</v>
      </c>
      <c r="O23" s="161">
        <f>'תקציב החברה לפיתוח 2022'!O23</f>
        <v>3700000</v>
      </c>
      <c r="P23" s="161">
        <f>'תקציב החברה לפיתוח 2022'!P23</f>
        <v>48162</v>
      </c>
      <c r="Q23" s="161">
        <f>'תקציב החברה לפיתוח 2022'!Q23</f>
        <v>2000000</v>
      </c>
      <c r="R23" s="161">
        <f>'תקציב החברה לפיתוח 2022'!R23</f>
        <v>0</v>
      </c>
      <c r="S23" s="161">
        <f>'תקציב החברה לפיתוח 2022'!S23</f>
        <v>2000000</v>
      </c>
      <c r="T23" s="161">
        <f>'תקציב החברה לפיתוח 2022'!T23</f>
        <v>0</v>
      </c>
      <c r="U23" s="161">
        <f>'תקציב החברה לפיתוח 2022'!U23</f>
        <v>300000</v>
      </c>
      <c r="V23" s="161">
        <f>'תקציב החברה לפיתוח 2022'!V23</f>
        <v>300000</v>
      </c>
      <c r="W23" s="161">
        <f>'תקציב החברה לפיתוח 2022'!W23</f>
        <v>0</v>
      </c>
      <c r="X23" s="161">
        <f>'תקציב החברה לפיתוח 2022'!X23</f>
        <v>0</v>
      </c>
      <c r="Y23" s="161">
        <f>'תקציב החברה לפיתוח 2022'!Y23</f>
        <v>0</v>
      </c>
      <c r="Z23" s="161">
        <f>'תקציב החברה לפיתוח 2022'!Z23</f>
        <v>0</v>
      </c>
      <c r="AA23" s="161">
        <f>'תקציב החברה לפיתוח 2022'!AA23</f>
        <v>0</v>
      </c>
      <c r="AB23" s="289" t="str">
        <f>'תקציב החברה לפיתוח 2022'!AB23</f>
        <v>טיפול בשב"צ+גינת כלבים. ב - 2022: גינת כלבים.</v>
      </c>
      <c r="AC23" s="160">
        <v>742000</v>
      </c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</row>
    <row r="24" spans="1:55" s="164" customFormat="1" ht="45">
      <c r="A24" s="160">
        <f t="shared" si="0"/>
        <v>20</v>
      </c>
      <c r="B24" s="160">
        <f>'תקציב החברה לפיתוח 2022'!B24</f>
        <v>1657</v>
      </c>
      <c r="C24" s="289" t="str">
        <f>'תקציב החברה לפיתוח 2022'!C24</f>
        <v>פיתוח מתחם "מרינה לי"</v>
      </c>
      <c r="D24" s="161">
        <f>'תקציב החברה לפיתוח 2022'!D24</f>
        <v>60000000</v>
      </c>
      <c r="E24" s="161">
        <f>'תקציב החברה לפיתוח 2022'!E24</f>
        <v>60000000</v>
      </c>
      <c r="F24" s="161">
        <f>'תקציב החברה לפיתוח 2022'!F24</f>
        <v>0</v>
      </c>
      <c r="G24" s="161">
        <f>'תקציב החברה לפיתוח 2022'!G24</f>
        <v>21200000</v>
      </c>
      <c r="H24" s="161">
        <f>'תקציב החברה לפיתוח 2022'!H24</f>
        <v>18382673</v>
      </c>
      <c r="I24" s="161">
        <f>'תקציב החברה לפיתוח 2022'!I24</f>
        <v>0</v>
      </c>
      <c r="J24" s="161">
        <f>'תקציב החברה לפיתוח 2022'!J24</f>
        <v>676653</v>
      </c>
      <c r="K24" s="161">
        <f>'תקציב החברה לפיתוח 2022'!K24</f>
        <v>676653</v>
      </c>
      <c r="L24" s="161">
        <f>'תקציב החברה לפיתוח 2022'!L24</f>
        <v>19059326</v>
      </c>
      <c r="M24" s="161">
        <f>'תקציב החברה לפיתוח 2022'!M24</f>
        <v>17140674</v>
      </c>
      <c r="N24" s="161">
        <f>'תקציב החברה לפיתוח 2022'!N24</f>
        <v>2000000</v>
      </c>
      <c r="O24" s="161">
        <f>'תקציב החברה לפיתוח 2022'!O24</f>
        <v>21800000</v>
      </c>
      <c r="P24" s="161">
        <f>'תקציב החברה לפיתוח 2022'!P24</f>
        <v>2140674</v>
      </c>
      <c r="Q24" s="161">
        <f>'תקציב החברה לפיתוח 2022'!Q24</f>
        <v>15000000</v>
      </c>
      <c r="R24" s="161">
        <f>'תקציב החברה לפיתוח 2022'!R24</f>
        <v>0</v>
      </c>
      <c r="S24" s="161">
        <f>'תקציב החברה לפיתוח 2022'!S24</f>
        <v>15000000</v>
      </c>
      <c r="T24" s="161">
        <f>'תקציב החברה לפיתוח 2022'!T24</f>
        <v>0</v>
      </c>
      <c r="U24" s="161">
        <f>'תקציב החברה לפיתוח 2022'!U24</f>
        <v>2000000</v>
      </c>
      <c r="V24" s="161">
        <f>'תקציב החברה לפיתוח 2022'!V24</f>
        <v>2000000</v>
      </c>
      <c r="W24" s="161">
        <f>'תקציב החברה לפיתוח 2022'!W24</f>
        <v>0</v>
      </c>
      <c r="X24" s="161">
        <f>'תקציב החברה לפיתוח 2022'!X24</f>
        <v>0</v>
      </c>
      <c r="Y24" s="161">
        <f>'תקציב החברה לפיתוח 2022'!Y24</f>
        <v>0</v>
      </c>
      <c r="Z24" s="161">
        <f>'תקציב החברה לפיתוח 2022'!Z24</f>
        <v>0</v>
      </c>
      <c r="AA24" s="161">
        <f>'תקציב החברה לפיתוח 2022'!AA24</f>
        <v>0</v>
      </c>
      <c r="AB24" s="289" t="str">
        <f>'תקציב החברה לפיתוח 2022'!AB24</f>
        <v>ביצוע פיתוח ותשתית במתחם "מרינה לי". ביצוע שלב ב'.</v>
      </c>
      <c r="AC24" s="160">
        <v>742000</v>
      </c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</row>
    <row r="25" spans="1:55" s="5" customFormat="1" ht="60">
      <c r="A25" s="160">
        <f t="shared" si="0"/>
        <v>21</v>
      </c>
      <c r="B25" s="160">
        <f>'תקציב החברה לפיתוח 2022'!B25</f>
        <v>1670</v>
      </c>
      <c r="C25" s="289" t="str">
        <f>'תקציב החברה לפיתוח 2022'!C25</f>
        <v>פתוח מתחם הר' 1972 תחנה מרכזית</v>
      </c>
      <c r="D25" s="161">
        <f>'תקציב החברה לפיתוח 2022'!D25</f>
        <v>17800000</v>
      </c>
      <c r="E25" s="161">
        <f>'תקציב החברה לפיתוח 2022'!E25</f>
        <v>17800000</v>
      </c>
      <c r="F25" s="161">
        <f>'תקציב החברה לפיתוח 2022'!F25</f>
        <v>0</v>
      </c>
      <c r="G25" s="161">
        <f>'תקציב החברה לפיתוח 2022'!G25</f>
        <v>1550000</v>
      </c>
      <c r="H25" s="161">
        <f>'תקציב החברה לפיתוח 2022'!H25</f>
        <v>211785</v>
      </c>
      <c r="I25" s="161">
        <f>'תקציב החברה לפיתוח 2022'!I25</f>
        <v>590150</v>
      </c>
      <c r="J25" s="161">
        <f>'תקציב החברה לפיתוח 2022'!J25</f>
        <v>145182</v>
      </c>
      <c r="K25" s="161">
        <f>'תקציב החברה לפיתוח 2022'!K25</f>
        <v>735332</v>
      </c>
      <c r="L25" s="161">
        <f>'תקציב החברה לפיתוח 2022'!L25</f>
        <v>947117</v>
      </c>
      <c r="M25" s="161">
        <f>'תקציב החברה לפיתוח 2022'!M25</f>
        <v>602883</v>
      </c>
      <c r="N25" s="161">
        <f>'תקציב החברה לפיתוח 2022'!N25</f>
        <v>1000000</v>
      </c>
      <c r="O25" s="161">
        <f>'תקציב החברה לפיתוח 2022'!O25</f>
        <v>15250000</v>
      </c>
      <c r="P25" s="161">
        <f>'תקציב החברה לפיתוח 2022'!P25</f>
        <v>602883</v>
      </c>
      <c r="Q25" s="161">
        <f>'תקציב החברה לפיתוח 2022'!Q25</f>
        <v>0</v>
      </c>
      <c r="R25" s="161">
        <f>'תקציב החברה לפיתוח 2022'!R25</f>
        <v>0</v>
      </c>
      <c r="S25" s="161">
        <f>'תקציב החברה לפיתוח 2022'!S25</f>
        <v>0</v>
      </c>
      <c r="T25" s="161">
        <f>'תקציב החברה לפיתוח 2022'!T25</f>
        <v>0</v>
      </c>
      <c r="U25" s="161">
        <f>'תקציב החברה לפיתוח 2022'!U25</f>
        <v>1000000</v>
      </c>
      <c r="V25" s="161">
        <f>'תקציב החברה לפיתוח 2022'!V25</f>
        <v>1000000</v>
      </c>
      <c r="W25" s="161">
        <f>'תקציב החברה לפיתוח 2022'!W25</f>
        <v>0</v>
      </c>
      <c r="X25" s="161">
        <f>'תקציב החברה לפיתוח 2022'!X25</f>
        <v>0</v>
      </c>
      <c r="Y25" s="161">
        <f>'תקציב החברה לפיתוח 2022'!Y25</f>
        <v>0</v>
      </c>
      <c r="Z25" s="161">
        <f>'תקציב החברה לפיתוח 2022'!Z25</f>
        <v>0</v>
      </c>
      <c r="AA25" s="161">
        <f>'תקציב החברה לפיתוח 2022'!AA25</f>
        <v>0</v>
      </c>
      <c r="AB25" s="289" t="str">
        <f>'תקציב החברה לפיתוח 2022'!AB25</f>
        <v xml:space="preserve">תכנון פיתוח מתחם "ניצבא" כולל פיתוח רחוב העצמאות מבן גוריון עד קהילת ציון. </v>
      </c>
      <c r="AC25" s="3">
        <v>742000</v>
      </c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</row>
    <row r="26" spans="1:55" s="5" customFormat="1" ht="75">
      <c r="A26" s="160">
        <f t="shared" si="0"/>
        <v>22</v>
      </c>
      <c r="B26" s="160">
        <f>'תקציב החברה לפיתוח 2022'!B26</f>
        <v>1693</v>
      </c>
      <c r="C26" s="289" t="str">
        <f>'תקציב החברה לפיתוח 2022'!C26</f>
        <v xml:space="preserve">פינוי בינוי צומת כדורי </v>
      </c>
      <c r="D26" s="161">
        <f>'תקציב החברה לפיתוח 2022'!D26</f>
        <v>4500000</v>
      </c>
      <c r="E26" s="161">
        <f>'תקציב החברה לפיתוח 2022'!E26</f>
        <v>4500000</v>
      </c>
      <c r="F26" s="161">
        <f>'תקציב החברה לפיתוח 2022'!F26</f>
        <v>0</v>
      </c>
      <c r="G26" s="161">
        <f>'תקציב החברה לפיתוח 2022'!G26</f>
        <v>2235481</v>
      </c>
      <c r="H26" s="161">
        <f>'תקציב החברה לפיתוח 2022'!H26</f>
        <v>312539</v>
      </c>
      <c r="I26" s="161">
        <f>'תקציב החברה לפיתוח 2022'!I26</f>
        <v>567525</v>
      </c>
      <c r="J26" s="161">
        <f>'תקציב החברה לפיתוח 2022'!J26</f>
        <v>321876</v>
      </c>
      <c r="K26" s="161">
        <f>'תקציב החברה לפיתוח 2022'!K26</f>
        <v>889401</v>
      </c>
      <c r="L26" s="161">
        <f>'תקציב החברה לפיתוח 2022'!L26</f>
        <v>1201940</v>
      </c>
      <c r="M26" s="161">
        <f>'תקציב החברה לפיתוח 2022'!M26</f>
        <v>1033541</v>
      </c>
      <c r="N26" s="161">
        <f>'תקציב החברה לפיתוח 2022'!N26</f>
        <v>181222</v>
      </c>
      <c r="O26" s="161">
        <f>'תקציב החברה לפיתוח 2022'!O26</f>
        <v>2083297</v>
      </c>
      <c r="P26" s="161">
        <f>'תקציב החברה לפיתוח 2022'!P26</f>
        <v>1033541</v>
      </c>
      <c r="Q26" s="161">
        <f>'תקציב החברה לפיתוח 2022'!Q26</f>
        <v>0</v>
      </c>
      <c r="R26" s="161">
        <f>'תקציב החברה לפיתוח 2022'!R26</f>
        <v>0</v>
      </c>
      <c r="S26" s="161">
        <f>'תקציב החברה לפיתוח 2022'!S26</f>
        <v>0</v>
      </c>
      <c r="T26" s="161">
        <f>'תקציב החברה לפיתוח 2022'!T26</f>
        <v>0</v>
      </c>
      <c r="U26" s="161">
        <f>'תקציב החברה לפיתוח 2022'!U26</f>
        <v>181222</v>
      </c>
      <c r="V26" s="161">
        <f>'תקציב החברה לפיתוח 2022'!V26</f>
        <v>0</v>
      </c>
      <c r="W26" s="161">
        <f>'תקציב החברה לפיתוח 2022'!W26</f>
        <v>0</v>
      </c>
      <c r="X26" s="161">
        <f>'תקציב החברה לפיתוח 2022'!X26</f>
        <v>0</v>
      </c>
      <c r="Y26" s="161">
        <f>'תקציב החברה לפיתוח 2022'!Y26</f>
        <v>0</v>
      </c>
      <c r="Z26" s="161">
        <f>'תקציב החברה לפיתוח 2022'!Z26</f>
        <v>0</v>
      </c>
      <c r="AA26" s="161">
        <f>'תקציב החברה לפיתוח 2022'!AA26</f>
        <v>181222</v>
      </c>
      <c r="AB26" s="289" t="str">
        <f>'תקציב החברה לפיתוח 2022'!AB26</f>
        <v>תכנון מתחם צומת כדורי לפינוי ובינוי.התוכנית בשלב של הנעת התכנון לשלבים סטטוטוריים. מימון מ. הבינוי.</v>
      </c>
      <c r="AC26" s="3">
        <v>732000</v>
      </c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</row>
    <row r="27" spans="1:55" s="164" customFormat="1" ht="60">
      <c r="A27" s="160">
        <f t="shared" si="0"/>
        <v>23</v>
      </c>
      <c r="B27" s="160">
        <f>'תקציב החברה לפיתוח 2022'!B27</f>
        <v>1723</v>
      </c>
      <c r="C27" s="289" t="str">
        <f>'תקציב החברה לפיתוח 2022'!C27</f>
        <v>מרכז תחבורה חדש</v>
      </c>
      <c r="D27" s="161">
        <f>'תקציב החברה לפיתוח 2022'!D27</f>
        <v>2378521</v>
      </c>
      <c r="E27" s="161">
        <f>'תקציב החברה לפיתוח 2022'!E27</f>
        <v>2442857</v>
      </c>
      <c r="F27" s="161">
        <f>'תקציב החברה לפיתוח 2022'!F27</f>
        <v>-64336</v>
      </c>
      <c r="G27" s="161">
        <f>'תקציב החברה לפיתוח 2022'!G27</f>
        <v>2442857</v>
      </c>
      <c r="H27" s="161">
        <f>'תקציב החברה לפיתוח 2022'!H27</f>
        <v>1578260</v>
      </c>
      <c r="I27" s="161">
        <f>'תקציב החברה לפיתוח 2022'!I27</f>
        <v>0</v>
      </c>
      <c r="J27" s="161">
        <f>'תקציב החברה לפיתוח 2022'!J27</f>
        <v>94054</v>
      </c>
      <c r="K27" s="161">
        <f>'תקציב החברה לפיתוח 2022'!K27</f>
        <v>94054</v>
      </c>
      <c r="L27" s="161">
        <f>'תקציב החברה לפיתוח 2022'!L27</f>
        <v>1672314</v>
      </c>
      <c r="M27" s="161">
        <f>'תקציב החברה לפיתוח 2022'!M27</f>
        <v>706207</v>
      </c>
      <c r="N27" s="161">
        <f>'תקציב החברה לפיתוח 2022'!N27</f>
        <v>0</v>
      </c>
      <c r="O27" s="161">
        <f>'תקציב החברה לפיתוח 2022'!O27</f>
        <v>0</v>
      </c>
      <c r="P27" s="161">
        <f>'תקציב החברה לפיתוח 2022'!P27</f>
        <v>770543</v>
      </c>
      <c r="Q27" s="161">
        <f>'תקציב החברה לפיתוח 2022'!Q27</f>
        <v>0</v>
      </c>
      <c r="R27" s="161">
        <f>'תקציב החברה לפיתוח 2022'!R27</f>
        <v>0</v>
      </c>
      <c r="S27" s="161">
        <f>'תקציב החברה לפיתוח 2022'!S27</f>
        <v>0</v>
      </c>
      <c r="T27" s="161">
        <f>'תקציב החברה לפיתוח 2022'!T27</f>
        <v>64336</v>
      </c>
      <c r="U27" s="161">
        <f>'תקציב החברה לפיתוח 2022'!U27</f>
        <v>-64336</v>
      </c>
      <c r="V27" s="161">
        <f>'תקציב החברה לפיתוח 2022'!V27</f>
        <v>0</v>
      </c>
      <c r="W27" s="161">
        <f>'תקציב החברה לפיתוח 2022'!W27</f>
        <v>0</v>
      </c>
      <c r="X27" s="161">
        <f>'תקציב החברה לפיתוח 2022'!X27</f>
        <v>0</v>
      </c>
      <c r="Y27" s="161">
        <f>'תקציב החברה לפיתוח 2022'!Y27</f>
        <v>0</v>
      </c>
      <c r="Z27" s="161">
        <f>'תקציב החברה לפיתוח 2022'!Z27</f>
        <v>0</v>
      </c>
      <c r="AA27" s="161">
        <f>'תקציב החברה לפיתוח 2022'!AA27</f>
        <v>-64336</v>
      </c>
      <c r="AB27" s="289" t="str">
        <f>'תקציב החברה לפיתוח 2022'!AB27</f>
        <v>השלמת תכנון עד להיתר לחניון אוטובוסים. ח-ן סופיים. יתרת מימון מ. התחבורה.</v>
      </c>
      <c r="AC27" s="160">
        <v>732000</v>
      </c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</row>
    <row r="28" spans="1:55" s="5" customFormat="1" ht="30" customHeight="1">
      <c r="A28" s="160">
        <f t="shared" si="0"/>
        <v>24</v>
      </c>
      <c r="B28" s="160">
        <f>'תקציב החברה לפיתוח 2022'!B28</f>
        <v>1773</v>
      </c>
      <c r="C28" s="289" t="str">
        <f>'תקציב החברה לפיתוח 2022'!C28</f>
        <v>שיקום האגם בפארק</v>
      </c>
      <c r="D28" s="161">
        <f>'תקציב החברה לפיתוח 2022'!D28</f>
        <v>1500000</v>
      </c>
      <c r="E28" s="161">
        <f>'תקציב החברה לפיתוח 2022'!E28</f>
        <v>1500000</v>
      </c>
      <c r="F28" s="161">
        <f>'תקציב החברה לפיתוח 2022'!F28</f>
        <v>0</v>
      </c>
      <c r="G28" s="161">
        <f>'תקציב החברה לפיתוח 2022'!G28</f>
        <v>1500000</v>
      </c>
      <c r="H28" s="161">
        <f>'תקציב החברה לפיתוח 2022'!H28</f>
        <v>212004</v>
      </c>
      <c r="I28" s="161">
        <f>'תקציב החברה לפיתוח 2022'!I28</f>
        <v>17401</v>
      </c>
      <c r="J28" s="161">
        <f>'תקציב החברה לפיתוח 2022'!J28</f>
        <v>0</v>
      </c>
      <c r="K28" s="161">
        <f>'תקציב החברה לפיתוח 2022'!K28</f>
        <v>17401</v>
      </c>
      <c r="L28" s="161">
        <f>'תקציב החברה לפיתוח 2022'!L28</f>
        <v>229405</v>
      </c>
      <c r="M28" s="161">
        <f>'תקציב החברה לפיתוח 2022'!M28</f>
        <v>1270595</v>
      </c>
      <c r="N28" s="161">
        <f>'תקציב החברה לפיתוח 2022'!N28</f>
        <v>0</v>
      </c>
      <c r="O28" s="161">
        <f>'תקציב החברה לפיתוח 2022'!O28</f>
        <v>0</v>
      </c>
      <c r="P28" s="161">
        <f>'תקציב החברה לפיתוח 2022'!P28</f>
        <v>1270595</v>
      </c>
      <c r="Q28" s="161">
        <f>'תקציב החברה לפיתוח 2022'!Q28</f>
        <v>0</v>
      </c>
      <c r="R28" s="161">
        <f>'תקציב החברה לפיתוח 2022'!R28</f>
        <v>0</v>
      </c>
      <c r="S28" s="161">
        <f>'תקציב החברה לפיתוח 2022'!S28</f>
        <v>0</v>
      </c>
      <c r="T28" s="161">
        <f>'תקציב החברה לפיתוח 2022'!T28</f>
        <v>0</v>
      </c>
      <c r="U28" s="161">
        <f>'תקציב החברה לפיתוח 2022'!U28</f>
        <v>0</v>
      </c>
      <c r="V28" s="161">
        <f>'תקציב החברה לפיתוח 2022'!V28</f>
        <v>0</v>
      </c>
      <c r="W28" s="161">
        <f>'תקציב החברה לפיתוח 2022'!W28</f>
        <v>0</v>
      </c>
      <c r="X28" s="161">
        <f>'תקציב החברה לפיתוח 2022'!X28</f>
        <v>0</v>
      </c>
      <c r="Y28" s="161">
        <f>'תקציב החברה לפיתוח 2022'!Y28</f>
        <v>0</v>
      </c>
      <c r="Z28" s="161">
        <f>'תקציב החברה לפיתוח 2022'!Z28</f>
        <v>0</v>
      </c>
      <c r="AA28" s="161">
        <f>'תקציב החברה לפיתוח 2022'!AA28</f>
        <v>0</v>
      </c>
      <c r="AB28" s="289" t="str">
        <f>'תקציב החברה לפיתוח 2022'!AB28</f>
        <v>עבודות שיקום לשיפור איכות ומראה המים באגם.</v>
      </c>
      <c r="AC28" s="3">
        <v>746000</v>
      </c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</row>
    <row r="29" spans="1:55" ht="30" customHeight="1">
      <c r="A29" s="160">
        <f t="shared" si="0"/>
        <v>25</v>
      </c>
      <c r="B29" s="160">
        <f>'תקציב החברה לפיתוח 2022'!B29</f>
        <v>1819</v>
      </c>
      <c r="C29" s="289" t="str">
        <f>'תקציב החברה לפיתוח 2022'!C29</f>
        <v>פיתוח רח' צ.ה.ל</v>
      </c>
      <c r="D29" s="161">
        <f>'תקציב החברה לפיתוח 2022'!D29</f>
        <v>18000000</v>
      </c>
      <c r="E29" s="161">
        <f>'תקציב החברה לפיתוח 2022'!E29</f>
        <v>18000000</v>
      </c>
      <c r="F29" s="161">
        <f>'תקציב החברה לפיתוח 2022'!F29</f>
        <v>0</v>
      </c>
      <c r="G29" s="161">
        <f>'תקציב החברה לפיתוח 2022'!G29</f>
        <v>16000000</v>
      </c>
      <c r="H29" s="161">
        <f>'תקציב החברה לפיתוח 2022'!H29</f>
        <v>7600833</v>
      </c>
      <c r="I29" s="161">
        <f>'תקציב החברה לפיתוח 2022'!I29</f>
        <v>0</v>
      </c>
      <c r="J29" s="161">
        <f>'תקציב החברה לפיתוח 2022'!J29</f>
        <v>950121</v>
      </c>
      <c r="K29" s="161">
        <f>'תקציב החברה לפיתוח 2022'!K29</f>
        <v>950121</v>
      </c>
      <c r="L29" s="161">
        <f>'תקציב החברה לפיתוח 2022'!L29</f>
        <v>8550954</v>
      </c>
      <c r="M29" s="161">
        <f>'תקציב החברה לפיתוח 2022'!M29</f>
        <v>9449046</v>
      </c>
      <c r="N29" s="161">
        <f>'תקציב החברה לפיתוח 2022'!N29</f>
        <v>0</v>
      </c>
      <c r="O29" s="161">
        <f>'תקציב החברה לפיתוח 2022'!O29</f>
        <v>0</v>
      </c>
      <c r="P29" s="161">
        <f>'תקציב החברה לפיתוח 2022'!P29</f>
        <v>7449046</v>
      </c>
      <c r="Q29" s="161">
        <f>'תקציב החברה לפיתוח 2022'!Q29</f>
        <v>2000000</v>
      </c>
      <c r="R29" s="161">
        <f>'תקציב החברה לפיתוח 2022'!R29</f>
        <v>0</v>
      </c>
      <c r="S29" s="161">
        <f>'תקציב החברה לפיתוח 2022'!S29</f>
        <v>2000000</v>
      </c>
      <c r="T29" s="161">
        <f>'תקציב החברה לפיתוח 2022'!T29</f>
        <v>0</v>
      </c>
      <c r="U29" s="161">
        <f>'תקציב החברה לפיתוח 2022'!U29</f>
        <v>0</v>
      </c>
      <c r="V29" s="161">
        <f>'תקציב החברה לפיתוח 2022'!V29</f>
        <v>0</v>
      </c>
      <c r="W29" s="161">
        <f>'תקציב החברה לפיתוח 2022'!W29</f>
        <v>0</v>
      </c>
      <c r="X29" s="161">
        <f>'תקציב החברה לפיתוח 2022'!X29</f>
        <v>0</v>
      </c>
      <c r="Y29" s="161">
        <f>'תקציב החברה לפיתוח 2022'!Y29</f>
        <v>0</v>
      </c>
      <c r="Z29" s="161">
        <f>'תקציב החברה לפיתוח 2022'!Z29</f>
        <v>0</v>
      </c>
      <c r="AA29" s="161">
        <f>'תקציב החברה לפיתוח 2022'!AA29</f>
        <v>0</v>
      </c>
      <c r="AB29" s="289" t="str">
        <f>'תקציב החברה לפיתוח 2022'!AB29</f>
        <v>המשך פיתוח רחוב צ.ה.ל .</v>
      </c>
      <c r="AC29" s="160">
        <v>742000</v>
      </c>
    </row>
    <row r="30" spans="1:55" ht="30" customHeight="1">
      <c r="A30" s="160">
        <f t="shared" si="0"/>
        <v>26</v>
      </c>
      <c r="B30" s="160">
        <f>'תקציב החברה לפיתוח 2022'!B30</f>
        <v>1833</v>
      </c>
      <c r="C30" s="289" t="str">
        <f>'תקציב החברה לפיתוח 2022'!C30</f>
        <v>אולם ספורט חטיבת זאב</v>
      </c>
      <c r="D30" s="161">
        <f>'תקציב החברה לפיתוח 2022'!D30</f>
        <v>29000000</v>
      </c>
      <c r="E30" s="161">
        <f>'תקציב החברה לפיתוח 2022'!E30</f>
        <v>29000000</v>
      </c>
      <c r="F30" s="161">
        <f>'תקציב החברה לפיתוח 2022'!F30</f>
        <v>0</v>
      </c>
      <c r="G30" s="161">
        <f>'תקציב החברה לפיתוח 2022'!G30</f>
        <v>26500000</v>
      </c>
      <c r="H30" s="161">
        <f>'תקציב החברה לפיתוח 2022'!H30</f>
        <v>21214144</v>
      </c>
      <c r="I30" s="161">
        <f>'תקציב החברה לפיתוח 2022'!I30</f>
        <v>0</v>
      </c>
      <c r="J30" s="161">
        <f>'תקציב החברה לפיתוח 2022'!J30</f>
        <v>52508</v>
      </c>
      <c r="K30" s="161">
        <f>'תקציב החברה לפיתוח 2022'!K30</f>
        <v>52508</v>
      </c>
      <c r="L30" s="161">
        <f>'תקציב החברה לפיתוח 2022'!L30</f>
        <v>21266652</v>
      </c>
      <c r="M30" s="161">
        <f>'תקציב החברה לפיתוח 2022'!M30</f>
        <v>7733348</v>
      </c>
      <c r="N30" s="161">
        <f>'תקציב החברה לפיתוח 2022'!N30</f>
        <v>0</v>
      </c>
      <c r="O30" s="161">
        <f>'תקציב החברה לפיתוח 2022'!O30</f>
        <v>0</v>
      </c>
      <c r="P30" s="161">
        <f>'תקציב החברה לפיתוח 2022'!P30</f>
        <v>5233348</v>
      </c>
      <c r="Q30" s="161">
        <f>'תקציב החברה לפיתוח 2022'!Q30</f>
        <v>2500000</v>
      </c>
      <c r="R30" s="161">
        <f>'תקציב החברה לפיתוח 2022'!R30</f>
        <v>0</v>
      </c>
      <c r="S30" s="161">
        <f>'תקציב החברה לפיתוח 2022'!S30</f>
        <v>2500000</v>
      </c>
      <c r="T30" s="161">
        <f>'תקציב החברה לפיתוח 2022'!T30</f>
        <v>0</v>
      </c>
      <c r="U30" s="161">
        <f>'תקציב החברה לפיתוח 2022'!U30</f>
        <v>0</v>
      </c>
      <c r="V30" s="161">
        <f>'תקציב החברה לפיתוח 2022'!V30</f>
        <v>0</v>
      </c>
      <c r="W30" s="161">
        <f>'תקציב החברה לפיתוח 2022'!W30</f>
        <v>0</v>
      </c>
      <c r="X30" s="161">
        <f>'תקציב החברה לפיתוח 2022'!X30</f>
        <v>0</v>
      </c>
      <c r="Y30" s="161">
        <f>'תקציב החברה לפיתוח 2022'!Y30</f>
        <v>0</v>
      </c>
      <c r="Z30" s="161">
        <f>'תקציב החברה לפיתוח 2022'!Z30</f>
        <v>0</v>
      </c>
      <c r="AA30" s="161">
        <f>'תקציב החברה לפיתוח 2022'!AA30</f>
        <v>0</v>
      </c>
      <c r="AB30" s="289" t="str">
        <f>'תקציב החברה לפיתוח 2022'!AB30</f>
        <v xml:space="preserve">בניית אולם ספורט חדש בחטיבה. </v>
      </c>
      <c r="AC30" s="160">
        <v>829000</v>
      </c>
    </row>
    <row r="31" spans="1:55" s="164" customFormat="1" ht="75">
      <c r="A31" s="160">
        <f t="shared" si="0"/>
        <v>27</v>
      </c>
      <c r="B31" s="160">
        <f>'תקציב החברה לפיתוח 2022'!B31</f>
        <v>1834</v>
      </c>
      <c r="C31" s="289" t="str">
        <f>'תקציב החברה לפיתוח 2022'!C31</f>
        <v>מתנ"ס נווה ישראל</v>
      </c>
      <c r="D31" s="161">
        <f>'תקציב החברה לפיתוח 2022'!D31</f>
        <v>60000000</v>
      </c>
      <c r="E31" s="161">
        <f>'תקציב החברה לפיתוח 2022'!E31</f>
        <v>60000000</v>
      </c>
      <c r="F31" s="161">
        <f>'תקציב החברה לפיתוח 2022'!F31</f>
        <v>0</v>
      </c>
      <c r="G31" s="161">
        <f>'תקציב החברה לפיתוח 2022'!G31</f>
        <v>19462673</v>
      </c>
      <c r="H31" s="161">
        <f>'תקציב החברה לפיתוח 2022'!H31</f>
        <v>12564840</v>
      </c>
      <c r="I31" s="161">
        <f>'תקציב החברה לפיתוח 2022'!I31</f>
        <v>0</v>
      </c>
      <c r="J31" s="161">
        <f>'תקציב החברה לפיתוח 2022'!J31</f>
        <v>2402402</v>
      </c>
      <c r="K31" s="161">
        <f>'תקציב החברה לפיתוח 2022'!K31</f>
        <v>2402402</v>
      </c>
      <c r="L31" s="161">
        <f>'תקציב החברה לפיתוח 2022'!L31</f>
        <v>14967242</v>
      </c>
      <c r="M31" s="161">
        <f>'תקציב החברה לפיתוח 2022'!M31</f>
        <v>29495431</v>
      </c>
      <c r="N31" s="161">
        <f>'תקציב החברה לפיתוח 2022'!N31</f>
        <v>13037327</v>
      </c>
      <c r="O31" s="161">
        <f>'תקציב החברה לפיתוח 2022'!O31</f>
        <v>2500000</v>
      </c>
      <c r="P31" s="161">
        <f>'תקציב החברה לפיתוח 2022'!P31</f>
        <v>4495431</v>
      </c>
      <c r="Q31" s="161">
        <f>'תקציב החברה לפיתוח 2022'!Q31</f>
        <v>25000000</v>
      </c>
      <c r="R31" s="161">
        <f>'תקציב החברה לפיתוח 2022'!R31</f>
        <v>0</v>
      </c>
      <c r="S31" s="161">
        <f>'תקציב החברה לפיתוח 2022'!S31</f>
        <v>25000000</v>
      </c>
      <c r="T31" s="161">
        <f>'תקציב החברה לפיתוח 2022'!T31</f>
        <v>0</v>
      </c>
      <c r="U31" s="161">
        <f>'תקציב החברה לפיתוח 2022'!U31</f>
        <v>13037327</v>
      </c>
      <c r="V31" s="161">
        <f>'תקציב החברה לפיתוח 2022'!V31</f>
        <v>13037327</v>
      </c>
      <c r="W31" s="161">
        <f>'תקציב החברה לפיתוח 2022'!W31</f>
        <v>0</v>
      </c>
      <c r="X31" s="161">
        <f>'תקציב החברה לפיתוח 2022'!X31</f>
        <v>0</v>
      </c>
      <c r="Y31" s="161">
        <f>'תקציב החברה לפיתוח 2022'!Y31</f>
        <v>0</v>
      </c>
      <c r="Z31" s="161">
        <f>'תקציב החברה לפיתוח 2022'!Z31</f>
        <v>0</v>
      </c>
      <c r="AA31" s="161">
        <f>'תקציב החברה לפיתוח 2022'!AA31</f>
        <v>0</v>
      </c>
      <c r="AB31" s="289" t="str">
        <f>'תקציב החברה לפיתוח 2022'!AB31</f>
        <v>מתנ"ס קהילתי  בשטח של כ-4000 מ"ר הכולל גלריה מקומית, ספרייה חדשה,  חדרי חוגים, מועדון לגמלאים ובית קפה.</v>
      </c>
      <c r="AC31" s="160">
        <v>824000</v>
      </c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</row>
    <row r="32" spans="1:55" s="164" customFormat="1" ht="60">
      <c r="A32" s="160">
        <f t="shared" si="0"/>
        <v>28</v>
      </c>
      <c r="B32" s="160">
        <f>'תקציב החברה לפיתוח 2022'!B32</f>
        <v>1835</v>
      </c>
      <c r="C32" s="289" t="str">
        <f>'תקציב החברה לפיתוח 2022'!C32</f>
        <v>פיתוח מתחם מתנ"ס נווה עמל ומגרשי טניס</v>
      </c>
      <c r="D32" s="161">
        <f>'תקציב החברה לפיתוח 2022'!D32</f>
        <v>51500000</v>
      </c>
      <c r="E32" s="161">
        <f>'תקציב החברה לפיתוח 2022'!E32</f>
        <v>70000000</v>
      </c>
      <c r="F32" s="161">
        <f>'תקציב החברה לפיתוח 2022'!F32</f>
        <v>-18500000</v>
      </c>
      <c r="G32" s="161">
        <f>'תקציב החברה לפיתוח 2022'!G32</f>
        <v>20900000</v>
      </c>
      <c r="H32" s="161">
        <f>'תקציב החברה לפיתוח 2022'!H32</f>
        <v>13162880</v>
      </c>
      <c r="I32" s="161">
        <f>'תקציב החברה לפיתוח 2022'!I32</f>
        <v>0</v>
      </c>
      <c r="J32" s="161">
        <f>'תקציב החברה לפיתוח 2022'!J32</f>
        <v>3301140</v>
      </c>
      <c r="K32" s="161">
        <f>'תקציב החברה לפיתוח 2022'!K32</f>
        <v>3301140</v>
      </c>
      <c r="L32" s="161">
        <f>'תקציב החברה לפיתוח 2022'!L32</f>
        <v>16464020</v>
      </c>
      <c r="M32" s="161">
        <f>'תקציב החברה לפיתוח 2022'!M32</f>
        <v>5435980</v>
      </c>
      <c r="N32" s="161">
        <f>'תקציב החברה לפיתוח 2022'!N32</f>
        <v>500000</v>
      </c>
      <c r="O32" s="161">
        <f>'תקציב החברה לפיתוח 2022'!O32</f>
        <v>29100000</v>
      </c>
      <c r="P32" s="161">
        <f>'תקציב החברה לפיתוח 2022'!P32</f>
        <v>4435980</v>
      </c>
      <c r="Q32" s="161">
        <f>'תקציב החברה לפיתוח 2022'!Q32</f>
        <v>1000000</v>
      </c>
      <c r="R32" s="161">
        <f>'תקציב החברה לפיתוח 2022'!R32</f>
        <v>0</v>
      </c>
      <c r="S32" s="161">
        <f>'תקציב החברה לפיתוח 2022'!S32</f>
        <v>1000000</v>
      </c>
      <c r="T32" s="161">
        <f>'תקציב החברה לפיתוח 2022'!T32</f>
        <v>0</v>
      </c>
      <c r="U32" s="161">
        <f>'תקציב החברה לפיתוח 2022'!U32</f>
        <v>500000</v>
      </c>
      <c r="V32" s="161">
        <f>'תקציב החברה לפיתוח 2022'!V32</f>
        <v>500000</v>
      </c>
      <c r="W32" s="161">
        <f>'תקציב החברה לפיתוח 2022'!W32</f>
        <v>0</v>
      </c>
      <c r="X32" s="161">
        <f>'תקציב החברה לפיתוח 2022'!X32</f>
        <v>0</v>
      </c>
      <c r="Y32" s="161">
        <f>'תקציב החברה לפיתוח 2022'!Y32</f>
        <v>0</v>
      </c>
      <c r="Z32" s="161">
        <f>'תקציב החברה לפיתוח 2022'!Z32</f>
        <v>0</v>
      </c>
      <c r="AA32" s="161">
        <f>'תקציב החברה לפיתוח 2022'!AA32</f>
        <v>0</v>
      </c>
      <c r="AB32" s="289" t="str">
        <f>'תקציב החברה לפיתוח 2022'!AB32</f>
        <v xml:space="preserve"> הקמת מבנה טניס חדש, שיפוץ מבני מתנ"ס קיים קירוי 2 מגרשי טניס ופיתוח סביבתי למתחם .</v>
      </c>
      <c r="AC32" s="160">
        <v>824000</v>
      </c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</row>
    <row r="33" spans="1:55" ht="60">
      <c r="A33" s="160">
        <f t="shared" si="0"/>
        <v>29</v>
      </c>
      <c r="B33" s="160">
        <f>'תקציב החברה לפיתוח 2022'!B33</f>
        <v>1845</v>
      </c>
      <c r="C33" s="289" t="str">
        <f>'תקציב החברה לפיתוח 2022'!C33</f>
        <v>חניונים הר'1900 -שינוי תב"ע</v>
      </c>
      <c r="D33" s="161">
        <f>'תקציב החברה לפיתוח 2022'!D33</f>
        <v>6000000</v>
      </c>
      <c r="E33" s="161">
        <f>'תקציב החברה לפיתוח 2022'!E33</f>
        <v>6000000</v>
      </c>
      <c r="F33" s="161">
        <f>'תקציב החברה לפיתוח 2022'!F33</f>
        <v>0</v>
      </c>
      <c r="G33" s="161">
        <f>'תקציב החברה לפיתוח 2022'!G33</f>
        <v>1240000</v>
      </c>
      <c r="H33" s="161">
        <f>'תקציב החברה לפיתוח 2022'!H33</f>
        <v>792387</v>
      </c>
      <c r="I33" s="161">
        <f>'תקציב החברה לפיתוח 2022'!I33</f>
        <v>0</v>
      </c>
      <c r="J33" s="161">
        <f>'תקציב החברה לפיתוח 2022'!J33</f>
        <v>251192</v>
      </c>
      <c r="K33" s="161">
        <f>'תקציב החברה לפיתוח 2022'!K33</f>
        <v>251192</v>
      </c>
      <c r="L33" s="161">
        <f>'תקציב החברה לפיתוח 2022'!L33</f>
        <v>1043579</v>
      </c>
      <c r="M33" s="161">
        <f>'תקציב החברה לפיתוח 2022'!M33</f>
        <v>696421</v>
      </c>
      <c r="N33" s="161">
        <f>'תקציב החברה לפיתוח 2022'!N33</f>
        <v>700000</v>
      </c>
      <c r="O33" s="161">
        <f>'תקציב החברה לפיתוח 2022'!O33</f>
        <v>3560000</v>
      </c>
      <c r="P33" s="161">
        <f>'תקציב החברה לפיתוח 2022'!P33</f>
        <v>196421</v>
      </c>
      <c r="Q33" s="161">
        <f>'תקציב החברה לפיתוח 2022'!Q33</f>
        <v>500000</v>
      </c>
      <c r="R33" s="161">
        <f>'תקציב החברה לפיתוח 2022'!R33</f>
        <v>0</v>
      </c>
      <c r="S33" s="161">
        <f>'תקציב החברה לפיתוח 2022'!S33</f>
        <v>500000</v>
      </c>
      <c r="T33" s="161">
        <f>'תקציב החברה לפיתוח 2022'!T33</f>
        <v>0</v>
      </c>
      <c r="U33" s="161">
        <f>'תקציב החברה לפיתוח 2022'!U33</f>
        <v>700000</v>
      </c>
      <c r="V33" s="161">
        <f>'תקציב החברה לפיתוח 2022'!V33</f>
        <v>700000</v>
      </c>
      <c r="W33" s="161">
        <f>'תקציב החברה לפיתוח 2022'!W33</f>
        <v>0</v>
      </c>
      <c r="X33" s="161">
        <f>'תקציב החברה לפיתוח 2022'!X33</f>
        <v>0</v>
      </c>
      <c r="Y33" s="161">
        <f>'תקציב החברה לפיתוח 2022'!Y33</f>
        <v>0</v>
      </c>
      <c r="Z33" s="161">
        <f>'תקציב החברה לפיתוח 2022'!Z33</f>
        <v>0</v>
      </c>
      <c r="AA33" s="161">
        <f>'תקציב החברה לפיתוח 2022'!AA33</f>
        <v>0</v>
      </c>
      <c r="AB33" s="289" t="str">
        <f>'תקציב החברה לפיתוח 2022'!AB33</f>
        <v>תכנון במסגרת שינוי תב"ע חניונים הר' 1900. חניונים: משכית (תכנון מפורט), גלגלי הפלדה.</v>
      </c>
      <c r="AC33" s="160">
        <v>742000</v>
      </c>
    </row>
    <row r="34" spans="1:55" s="5" customFormat="1" ht="45">
      <c r="A34" s="160">
        <f t="shared" si="0"/>
        <v>30</v>
      </c>
      <c r="B34" s="160">
        <f>'תקציב החברה לפיתוח 2022'!B34</f>
        <v>1882</v>
      </c>
      <c r="C34" s="289" t="str">
        <f>'תקציב החברה לפיתוח 2022'!C34</f>
        <v>פיתוח מתחם אולפני הרצליה</v>
      </c>
      <c r="D34" s="161">
        <f>'תקציב החברה לפיתוח 2022'!D34</f>
        <v>14300000</v>
      </c>
      <c r="E34" s="161">
        <f>'תקציב החברה לפיתוח 2022'!E34</f>
        <v>14300000</v>
      </c>
      <c r="F34" s="161">
        <f>'תקציב החברה לפיתוח 2022'!F34</f>
        <v>0</v>
      </c>
      <c r="G34" s="161">
        <f>'תקציב החברה לפיתוח 2022'!G34</f>
        <v>200000</v>
      </c>
      <c r="H34" s="161">
        <f>'תקציב החברה לפיתוח 2022'!H34</f>
        <v>0</v>
      </c>
      <c r="I34" s="161">
        <f>'תקציב החברה לפיתוח 2022'!I34</f>
        <v>0</v>
      </c>
      <c r="J34" s="161">
        <f>'תקציב החברה לפיתוח 2022'!J34</f>
        <v>0</v>
      </c>
      <c r="K34" s="161">
        <f>'תקציב החברה לפיתוח 2022'!K34</f>
        <v>0</v>
      </c>
      <c r="L34" s="161">
        <f>'תקציב החברה לפיתוח 2022'!L34</f>
        <v>0</v>
      </c>
      <c r="M34" s="161">
        <f>'תקציב החברה לפיתוח 2022'!M34</f>
        <v>200000</v>
      </c>
      <c r="N34" s="161">
        <f>'תקציב החברה לפיתוח 2022'!N34</f>
        <v>0</v>
      </c>
      <c r="O34" s="161">
        <f>'תקציב החברה לפיתוח 2022'!O34</f>
        <v>14100000</v>
      </c>
      <c r="P34" s="161">
        <f>'תקציב החברה לפיתוח 2022'!P34</f>
        <v>200000</v>
      </c>
      <c r="Q34" s="161">
        <f>'תקציב החברה לפיתוח 2022'!Q34</f>
        <v>0</v>
      </c>
      <c r="R34" s="161">
        <f>'תקציב החברה לפיתוח 2022'!R34</f>
        <v>0</v>
      </c>
      <c r="S34" s="161">
        <f>'תקציב החברה לפיתוח 2022'!S34</f>
        <v>0</v>
      </c>
      <c r="T34" s="161">
        <f>'תקציב החברה לפיתוח 2022'!T34</f>
        <v>0</v>
      </c>
      <c r="U34" s="161">
        <f>'תקציב החברה לפיתוח 2022'!U34</f>
        <v>0</v>
      </c>
      <c r="V34" s="161">
        <f>'תקציב החברה לפיתוח 2022'!V34</f>
        <v>0</v>
      </c>
      <c r="W34" s="161">
        <f>'תקציב החברה לפיתוח 2022'!W34</f>
        <v>0</v>
      </c>
      <c r="X34" s="161">
        <f>'תקציב החברה לפיתוח 2022'!X34</f>
        <v>0</v>
      </c>
      <c r="Y34" s="161">
        <f>'תקציב החברה לפיתוח 2022'!Y34</f>
        <v>0</v>
      </c>
      <c r="Z34" s="161">
        <f>'תקציב החברה לפיתוח 2022'!Z34</f>
        <v>0</v>
      </c>
      <c r="AA34" s="161">
        <f>'תקציב החברה לפיתוח 2022'!AA34</f>
        <v>0</v>
      </c>
      <c r="AB34" s="289" t="str">
        <f>'תקציב החברה לפיתוח 2022'!AB34</f>
        <v xml:space="preserve">פיתוח מתחם אולפני הרצליה תב"ע הר' 2180. תכנון. </v>
      </c>
      <c r="AC34" s="30">
        <v>742000</v>
      </c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</row>
    <row r="35" spans="1:55" ht="30">
      <c r="A35" s="160">
        <f t="shared" si="0"/>
        <v>31</v>
      </c>
      <c r="B35" s="160">
        <f>'תקציב החברה לפיתוח 2022'!B35</f>
        <v>1896</v>
      </c>
      <c r="C35" s="289" t="str">
        <f>'תקציב החברה לפיתוח 2022'!C35</f>
        <v>קירוי והצללה מגרשי ספורט עירוניים</v>
      </c>
      <c r="D35" s="161">
        <f>'תקציב החברה לפיתוח 2022'!D35</f>
        <v>7800000</v>
      </c>
      <c r="E35" s="161">
        <f>'תקציב החברה לפיתוח 2022'!E35</f>
        <v>18560000</v>
      </c>
      <c r="F35" s="161">
        <f>'תקציב החברה לפיתוח 2022'!F35</f>
        <v>-10760000</v>
      </c>
      <c r="G35" s="161">
        <f>'תקציב החברה לפיתוח 2022'!G35</f>
        <v>7800000</v>
      </c>
      <c r="H35" s="161">
        <f>'תקציב החברה לפיתוח 2022'!H35</f>
        <v>1264688</v>
      </c>
      <c r="I35" s="161">
        <f>'תקציב החברה לפיתוח 2022'!I35</f>
        <v>1828643</v>
      </c>
      <c r="J35" s="161">
        <f>'תקציב החברה לפיתוח 2022'!J35</f>
        <v>133740</v>
      </c>
      <c r="K35" s="161">
        <f>'תקציב החברה לפיתוח 2022'!K35</f>
        <v>1962383</v>
      </c>
      <c r="L35" s="161">
        <f>'תקציב החברה לפיתוח 2022'!L35</f>
        <v>3227071</v>
      </c>
      <c r="M35" s="161">
        <f>'תקציב החברה לפיתוח 2022'!M35</f>
        <v>4572929</v>
      </c>
      <c r="N35" s="161">
        <f>'תקציב החברה לפיתוח 2022'!N35</f>
        <v>0</v>
      </c>
      <c r="O35" s="161">
        <f>'תקציב החברה לפיתוח 2022'!O35</f>
        <v>0</v>
      </c>
      <c r="P35" s="161">
        <f>'תקציב החברה לפיתוח 2022'!P35</f>
        <v>4572929</v>
      </c>
      <c r="Q35" s="161">
        <f>'תקציב החברה לפיתוח 2022'!Q35</f>
        <v>0</v>
      </c>
      <c r="R35" s="161">
        <f>'תקציב החברה לפיתוח 2022'!R35</f>
        <v>0</v>
      </c>
      <c r="S35" s="161">
        <f>'תקציב החברה לפיתוח 2022'!S35</f>
        <v>0</v>
      </c>
      <c r="T35" s="161">
        <f>'תקציב החברה לפיתוח 2022'!T35</f>
        <v>0</v>
      </c>
      <c r="U35" s="161">
        <f>'תקציב החברה לפיתוח 2022'!U35</f>
        <v>0</v>
      </c>
      <c r="V35" s="161">
        <f>'תקציב החברה לפיתוח 2022'!V35</f>
        <v>0</v>
      </c>
      <c r="W35" s="161">
        <f>'תקציב החברה לפיתוח 2022'!W35</f>
        <v>0</v>
      </c>
      <c r="X35" s="161">
        <f>'תקציב החברה לפיתוח 2022'!X35</f>
        <v>0</v>
      </c>
      <c r="Y35" s="161">
        <f>'תקציב החברה לפיתוח 2022'!Y35</f>
        <v>0</v>
      </c>
      <c r="Z35" s="161">
        <f>'תקציב החברה לפיתוח 2022'!Z35</f>
        <v>0</v>
      </c>
      <c r="AA35" s="161">
        <f>'תקציב החברה לפיתוח 2022'!AA35</f>
        <v>0</v>
      </c>
      <c r="AB35" s="289" t="str">
        <f>'תקציב החברה לפיתוח 2022'!AB35</f>
        <v>התקנת קירוי קשיח במגרשי ספורט .</v>
      </c>
      <c r="AC35" s="160">
        <v>829000</v>
      </c>
    </row>
    <row r="36" spans="1:55" s="164" customFormat="1" ht="45">
      <c r="A36" s="160">
        <f t="shared" si="0"/>
        <v>32</v>
      </c>
      <c r="B36" s="160">
        <f>'תקציב החברה לפיתוח 2022'!B36</f>
        <v>1904</v>
      </c>
      <c r="C36" s="289" t="str">
        <f>'תקציב החברה לפיתוח 2022'!C36</f>
        <v>קו ניקוז שער הים</v>
      </c>
      <c r="D36" s="161">
        <f>'תקציב החברה לפיתוח 2022'!D36</f>
        <v>4500000</v>
      </c>
      <c r="E36" s="161">
        <f>'תקציב החברה לפיתוח 2022'!E36</f>
        <v>5700000</v>
      </c>
      <c r="F36" s="161">
        <f>'תקציב החברה לפיתוח 2022'!F36</f>
        <v>-1200000</v>
      </c>
      <c r="G36" s="161">
        <f>'תקציב החברה לפיתוח 2022'!G36</f>
        <v>4800000</v>
      </c>
      <c r="H36" s="161">
        <f>'תקציב החברה לפיתוח 2022'!H36</f>
        <v>4325712</v>
      </c>
      <c r="I36" s="161">
        <f>'תקציב החברה לפיתוח 2022'!I36</f>
        <v>0</v>
      </c>
      <c r="J36" s="161">
        <f>'תקציב החברה לפיתוח 2022'!J36</f>
        <v>88853</v>
      </c>
      <c r="K36" s="161">
        <f>'תקציב החברה לפיתוח 2022'!K36</f>
        <v>88853</v>
      </c>
      <c r="L36" s="161">
        <f>'תקציב החברה לפיתוח 2022'!L36</f>
        <v>4414565</v>
      </c>
      <c r="M36" s="161">
        <f>'תקציב החברה לפיתוח 2022'!M36</f>
        <v>85435</v>
      </c>
      <c r="N36" s="161">
        <f>'תקציב החברה לפיתוח 2022'!N36</f>
        <v>0</v>
      </c>
      <c r="O36" s="161">
        <f>'תקציב החברה לפיתוח 2022'!O36</f>
        <v>0</v>
      </c>
      <c r="P36" s="161">
        <f>'תקציב החברה לפיתוח 2022'!P36</f>
        <v>385435</v>
      </c>
      <c r="Q36" s="161">
        <f>'תקציב החברה לפיתוח 2022'!Q36</f>
        <v>0</v>
      </c>
      <c r="R36" s="161">
        <f>'תקציב החברה לפיתוח 2022'!R36</f>
        <v>0</v>
      </c>
      <c r="S36" s="161">
        <f>'תקציב החברה לפיתוח 2022'!S36</f>
        <v>0</v>
      </c>
      <c r="T36" s="161">
        <f>'תקציב החברה לפיתוח 2022'!T36</f>
        <v>300000</v>
      </c>
      <c r="U36" s="161">
        <f>'תקציב החברה לפיתוח 2022'!U36</f>
        <v>-300000</v>
      </c>
      <c r="V36" s="161">
        <f>'תקציב החברה לפיתוח 2022'!V36</f>
        <v>-300000</v>
      </c>
      <c r="W36" s="161">
        <f>'תקציב החברה לפיתוח 2022'!W36</f>
        <v>0</v>
      </c>
      <c r="X36" s="161">
        <f>'תקציב החברה לפיתוח 2022'!X36</f>
        <v>0</v>
      </c>
      <c r="Y36" s="161">
        <f>'תקציב החברה לפיתוח 2022'!Y36</f>
        <v>0</v>
      </c>
      <c r="Z36" s="161">
        <f>'תקציב החברה לפיתוח 2022'!Z36</f>
        <v>0</v>
      </c>
      <c r="AA36" s="161">
        <f>'תקציב החברה לפיתוח 2022'!AA36</f>
        <v>0</v>
      </c>
      <c r="AB36" s="289" t="str">
        <f>'תקציב החברה לפיתוח 2022'!AB36</f>
        <v>עבודות פיתוח כולל קו ניקוז רחוב שער הים. ח-ן סופיים.</v>
      </c>
      <c r="AC36" s="160">
        <v>742000</v>
      </c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</row>
    <row r="37" spans="1:55" ht="45">
      <c r="A37" s="160">
        <f t="shared" si="0"/>
        <v>33</v>
      </c>
      <c r="B37" s="160">
        <f>'תקציב החברה לפיתוח 2022'!B37</f>
        <v>1921</v>
      </c>
      <c r="C37" s="289" t="str">
        <f>'תקציב החברה לפיתוח 2022'!C37</f>
        <v>עבודות הרחבה התאמה איצטדיון</v>
      </c>
      <c r="D37" s="161">
        <f>'תקציב החברה לפיתוח 2022'!D37</f>
        <v>9716000</v>
      </c>
      <c r="E37" s="161">
        <f>'תקציב החברה לפיתוח 2022'!E37</f>
        <v>9716000</v>
      </c>
      <c r="F37" s="161">
        <f>'תקציב החברה לפיתוח 2022'!F37</f>
        <v>0</v>
      </c>
      <c r="G37" s="161">
        <f>'תקציב החברה לפיתוח 2022'!G37</f>
        <v>9716000</v>
      </c>
      <c r="H37" s="161">
        <f>'תקציב החברה לפיתוח 2022'!H37</f>
        <v>8784692</v>
      </c>
      <c r="I37" s="161">
        <f>'תקציב החברה לפיתוח 2022'!I37</f>
        <v>0</v>
      </c>
      <c r="J37" s="161">
        <f>'תקציב החברה לפיתוח 2022'!J37</f>
        <v>530373</v>
      </c>
      <c r="K37" s="161">
        <f>'תקציב החברה לפיתוח 2022'!K37</f>
        <v>530373</v>
      </c>
      <c r="L37" s="161">
        <f>'תקציב החברה לפיתוח 2022'!L37</f>
        <v>9315065</v>
      </c>
      <c r="M37" s="161">
        <f>'תקציב החברה לפיתוח 2022'!M37</f>
        <v>400935</v>
      </c>
      <c r="N37" s="161">
        <f>'תקציב החברה לפיתוח 2022'!N37</f>
        <v>0</v>
      </c>
      <c r="O37" s="161">
        <f>'תקציב החברה לפיתוח 2022'!O37</f>
        <v>0</v>
      </c>
      <c r="P37" s="161">
        <f>'תקציב החברה לפיתוח 2022'!P37</f>
        <v>400935</v>
      </c>
      <c r="Q37" s="161">
        <f>'תקציב החברה לפיתוח 2022'!Q37</f>
        <v>0</v>
      </c>
      <c r="R37" s="161">
        <f>'תקציב החברה לפיתוח 2022'!R37</f>
        <v>0</v>
      </c>
      <c r="S37" s="161">
        <f>'תקציב החברה לפיתוח 2022'!S37</f>
        <v>0</v>
      </c>
      <c r="T37" s="161">
        <f>'תקציב החברה לפיתוח 2022'!T37</f>
        <v>0</v>
      </c>
      <c r="U37" s="161">
        <f>'תקציב החברה לפיתוח 2022'!U37</f>
        <v>0</v>
      </c>
      <c r="V37" s="161">
        <f>'תקציב החברה לפיתוח 2022'!V37</f>
        <v>0</v>
      </c>
      <c r="W37" s="161">
        <f>'תקציב החברה לפיתוח 2022'!W37</f>
        <v>0</v>
      </c>
      <c r="X37" s="161">
        <f>'תקציב החברה לפיתוח 2022'!X37</f>
        <v>0</v>
      </c>
      <c r="Y37" s="161">
        <f>'תקציב החברה לפיתוח 2022'!Y37</f>
        <v>0</v>
      </c>
      <c r="Z37" s="161">
        <f>'תקציב החברה לפיתוח 2022'!Z37</f>
        <v>0</v>
      </c>
      <c r="AA37" s="161">
        <f>'תקציב החברה לפיתוח 2022'!AA37</f>
        <v>0</v>
      </c>
      <c r="AB37" s="289" t="str">
        <f>'תקציב החברה לפיתוח 2022'!AB37</f>
        <v xml:space="preserve">העבודות:מבנים יבילים, טריבונות, ארונות שחקנים, עבודות בטיחות. </v>
      </c>
      <c r="AC37" s="160">
        <v>829000</v>
      </c>
    </row>
    <row r="38" spans="1:55" ht="45">
      <c r="A38" s="160">
        <f t="shared" si="0"/>
        <v>34</v>
      </c>
      <c r="B38" s="160">
        <f>'תקציב החברה לפיתוח 2022'!B38</f>
        <v>1953</v>
      </c>
      <c r="C38" s="289" t="str">
        <f>'תקציב החברה לפיתוח 2022'!C38</f>
        <v>השקעה בתשתיות והרחבת  חניונים</v>
      </c>
      <c r="D38" s="161">
        <f>'תקציב החברה לפיתוח 2022'!D38</f>
        <v>5300000</v>
      </c>
      <c r="E38" s="161">
        <f>'תקציב החברה לפיתוח 2022'!E38</f>
        <v>5300000</v>
      </c>
      <c r="F38" s="161">
        <f>'תקציב החברה לפיתוח 2022'!F38</f>
        <v>0</v>
      </c>
      <c r="G38" s="161">
        <f>'תקציב החברה לפיתוח 2022'!G38</f>
        <v>5300000</v>
      </c>
      <c r="H38" s="161">
        <f>'תקציב החברה לפיתוח 2022'!H38</f>
        <v>4859191</v>
      </c>
      <c r="I38" s="161">
        <f>'תקציב החברה לפיתוח 2022'!I38</f>
        <v>0</v>
      </c>
      <c r="J38" s="161">
        <f>'תקציב החברה לפיתוח 2022'!J38</f>
        <v>106604</v>
      </c>
      <c r="K38" s="161">
        <f>'תקציב החברה לפיתוח 2022'!K38</f>
        <v>106604</v>
      </c>
      <c r="L38" s="161">
        <f>'תקציב החברה לפיתוח 2022'!L38</f>
        <v>4965795</v>
      </c>
      <c r="M38" s="161">
        <f>'תקציב החברה לפיתוח 2022'!M38</f>
        <v>334205</v>
      </c>
      <c r="N38" s="161">
        <f>'תקציב החברה לפיתוח 2022'!N38</f>
        <v>0</v>
      </c>
      <c r="O38" s="161">
        <f>'תקציב החברה לפיתוח 2022'!O38</f>
        <v>0</v>
      </c>
      <c r="P38" s="161">
        <f>'תקציב החברה לפיתוח 2022'!P38</f>
        <v>334205</v>
      </c>
      <c r="Q38" s="161">
        <f>'תקציב החברה לפיתוח 2022'!Q38</f>
        <v>0</v>
      </c>
      <c r="R38" s="161">
        <f>'תקציב החברה לפיתוח 2022'!R38</f>
        <v>0</v>
      </c>
      <c r="S38" s="161">
        <f>'תקציב החברה לפיתוח 2022'!S38</f>
        <v>0</v>
      </c>
      <c r="T38" s="161">
        <f>'תקציב החברה לפיתוח 2022'!T38</f>
        <v>0</v>
      </c>
      <c r="U38" s="161">
        <f>'תקציב החברה לפיתוח 2022'!U38</f>
        <v>0</v>
      </c>
      <c r="V38" s="161">
        <f>'תקציב החברה לפיתוח 2022'!V38</f>
        <v>0</v>
      </c>
      <c r="W38" s="161">
        <f>'תקציב החברה לפיתוח 2022'!W38</f>
        <v>0</v>
      </c>
      <c r="X38" s="161">
        <f>'תקציב החברה לפיתוח 2022'!X38</f>
        <v>0</v>
      </c>
      <c r="Y38" s="161">
        <f>'תקציב החברה לפיתוח 2022'!Y38</f>
        <v>0</v>
      </c>
      <c r="Z38" s="161">
        <f>'תקציב החברה לפיתוח 2022'!Z38</f>
        <v>0</v>
      </c>
      <c r="AA38" s="161">
        <f>'תקציב החברה לפיתוח 2022'!AA38</f>
        <v>0</v>
      </c>
      <c r="AB38" s="289" t="str">
        <f>'תקציב החברה לפיתוח 2022'!AB38</f>
        <v>השקעה בתשתיות ובמערכות מיכון בחניונים ברחבי העיר.</v>
      </c>
      <c r="AC38" s="160">
        <v>742000</v>
      </c>
    </row>
    <row r="39" spans="1:55" s="164" customFormat="1" ht="30">
      <c r="A39" s="160">
        <f t="shared" si="0"/>
        <v>35</v>
      </c>
      <c r="B39" s="160">
        <f>'תקציב החברה לפיתוח 2022'!B39</f>
        <v>1954</v>
      </c>
      <c r="C39" s="289" t="str">
        <f>'תקציב החברה לפיתוח 2022'!C39</f>
        <v xml:space="preserve">חניון המוסכים-תכנון </v>
      </c>
      <c r="D39" s="161">
        <f>'תקציב החברה לפיתוח 2022'!D39</f>
        <v>2000000</v>
      </c>
      <c r="E39" s="161">
        <f>'תקציב החברה לפיתוח 2022'!E39</f>
        <v>2000000</v>
      </c>
      <c r="F39" s="161">
        <f>'תקציב החברה לפיתוח 2022'!F39</f>
        <v>0</v>
      </c>
      <c r="G39" s="161">
        <f>'תקציב החברה לפיתוח 2022'!G39</f>
        <v>2000000</v>
      </c>
      <c r="H39" s="161">
        <f>'תקציב החברה לפיתוח 2022'!H39</f>
        <v>1675077</v>
      </c>
      <c r="I39" s="161">
        <f>'תקציב החברה לפיתוח 2022'!I39</f>
        <v>0</v>
      </c>
      <c r="J39" s="161">
        <f>'תקציב החברה לפיתוח 2022'!J39</f>
        <v>193587</v>
      </c>
      <c r="K39" s="161">
        <f>'תקציב החברה לפיתוח 2022'!K39</f>
        <v>193587</v>
      </c>
      <c r="L39" s="161">
        <f>'תקציב החברה לפיתוח 2022'!L39</f>
        <v>1868664</v>
      </c>
      <c r="M39" s="161">
        <f>'תקציב החברה לפיתוח 2022'!M39</f>
        <v>131336</v>
      </c>
      <c r="N39" s="161">
        <f>'תקציב החברה לפיתוח 2022'!N39</f>
        <v>0</v>
      </c>
      <c r="O39" s="161">
        <f>'תקציב החברה לפיתוח 2022'!O39</f>
        <v>0</v>
      </c>
      <c r="P39" s="161">
        <f>'תקציב החברה לפיתוח 2022'!P39</f>
        <v>131336</v>
      </c>
      <c r="Q39" s="161">
        <f>'תקציב החברה לפיתוח 2022'!Q39</f>
        <v>0</v>
      </c>
      <c r="R39" s="161">
        <f>'תקציב החברה לפיתוח 2022'!R39</f>
        <v>0</v>
      </c>
      <c r="S39" s="161">
        <f>'תקציב החברה לפיתוח 2022'!S39</f>
        <v>0</v>
      </c>
      <c r="T39" s="161">
        <f>'תקציב החברה לפיתוח 2022'!T39</f>
        <v>0</v>
      </c>
      <c r="U39" s="161">
        <f>'תקציב החברה לפיתוח 2022'!U39</f>
        <v>0</v>
      </c>
      <c r="V39" s="161">
        <f>'תקציב החברה לפיתוח 2022'!V39</f>
        <v>0</v>
      </c>
      <c r="W39" s="161">
        <f>'תקציב החברה לפיתוח 2022'!W39</f>
        <v>0</v>
      </c>
      <c r="X39" s="161">
        <f>'תקציב החברה לפיתוח 2022'!X39</f>
        <v>0</v>
      </c>
      <c r="Y39" s="161">
        <f>'תקציב החברה לפיתוח 2022'!Y39</f>
        <v>0</v>
      </c>
      <c r="Z39" s="161">
        <f>'תקציב החברה לפיתוח 2022'!Z39</f>
        <v>0</v>
      </c>
      <c r="AA39" s="161">
        <f>'תקציב החברה לפיתוח 2022'!AA39</f>
        <v>0</v>
      </c>
      <c r="AB39" s="289" t="str">
        <f>'תקציב החברה לפיתוח 2022'!AB39</f>
        <v>המשך תכנון חניון ברח' מדינת היהודים.</v>
      </c>
      <c r="AC39" s="160">
        <v>742000</v>
      </c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</row>
    <row r="40" spans="1:55" ht="45">
      <c r="A40" s="160">
        <f t="shared" si="0"/>
        <v>36</v>
      </c>
      <c r="B40" s="160">
        <f>'תקציב החברה לפיתוח 2022'!B40</f>
        <v>1957</v>
      </c>
      <c r="C40" s="289" t="str">
        <f>'תקציב החברה לפיתוח 2022'!C40</f>
        <v>מתחם קמפוס הרצליה (יד גיורא)</v>
      </c>
      <c r="D40" s="161">
        <f>'תקציב החברה לפיתוח 2022'!D40</f>
        <v>60000000</v>
      </c>
      <c r="E40" s="161">
        <f>'תקציב החברה לפיתוח 2022'!E40</f>
        <v>60000000</v>
      </c>
      <c r="F40" s="161">
        <f>'תקציב החברה לפיתוח 2022'!F40</f>
        <v>0</v>
      </c>
      <c r="G40" s="161">
        <f>'תקציב החברה לפיתוח 2022'!G40</f>
        <v>4420000</v>
      </c>
      <c r="H40" s="161">
        <f>'תקציב החברה לפיתוח 2022'!H40</f>
        <v>3654334</v>
      </c>
      <c r="I40" s="161">
        <f>'תקציב החברה לפיתוח 2022'!I40</f>
        <v>0</v>
      </c>
      <c r="J40" s="161">
        <f>'תקציב החברה לפיתוח 2022'!J40</f>
        <v>370583</v>
      </c>
      <c r="K40" s="161">
        <f>'תקציב החברה לפיתוח 2022'!K40</f>
        <v>370583</v>
      </c>
      <c r="L40" s="161">
        <f>'תקציב החברה לפיתוח 2022'!L40</f>
        <v>4024917</v>
      </c>
      <c r="M40" s="161">
        <f>'תקציב החברה לפיתוח 2022'!M40</f>
        <v>1395083</v>
      </c>
      <c r="N40" s="161">
        <f>'תקציב החברה לפיתוח 2022'!N40</f>
        <v>30000000</v>
      </c>
      <c r="O40" s="161">
        <f>'תקציב החברה לפיתוח 2022'!O40</f>
        <v>24580000</v>
      </c>
      <c r="P40" s="161">
        <f>'תקציב החברה לפיתוח 2022'!P40</f>
        <v>395083</v>
      </c>
      <c r="Q40" s="161">
        <f>'תקציב החברה לפיתוח 2022'!Q40</f>
        <v>1000000</v>
      </c>
      <c r="R40" s="161">
        <f>'תקציב החברה לפיתוח 2022'!R40</f>
        <v>0</v>
      </c>
      <c r="S40" s="161">
        <f>'תקציב החברה לפיתוח 2022'!S40</f>
        <v>1000000</v>
      </c>
      <c r="T40" s="161">
        <f>'תקציב החברה לפיתוח 2022'!T40</f>
        <v>0</v>
      </c>
      <c r="U40" s="161">
        <f>'תקציב החברה לפיתוח 2022'!U40</f>
        <v>30000000</v>
      </c>
      <c r="V40" s="161">
        <f>'תקציב החברה לפיתוח 2022'!V40</f>
        <v>0</v>
      </c>
      <c r="W40" s="161">
        <f>'תקציב החברה לפיתוח 2022'!W40</f>
        <v>0</v>
      </c>
      <c r="X40" s="161">
        <f>'תקציב החברה לפיתוח 2022'!X40</f>
        <v>0</v>
      </c>
      <c r="Y40" s="161">
        <f>'תקציב החברה לפיתוח 2022'!Y40</f>
        <v>0</v>
      </c>
      <c r="Z40" s="161">
        <f>'תקציב החברה לפיתוח 2022'!Z40</f>
        <v>0</v>
      </c>
      <c r="AA40" s="161">
        <f>'תקציב החברה לפיתוח 2022'!AA40</f>
        <v>30000000</v>
      </c>
      <c r="AB40" s="289" t="str">
        <f>'תקציב החברה לפיתוח 2022'!AB40</f>
        <v>הקמת קמפוס מדעים:בי"ס להנדסאים ותיכון חדש. מימון מ. החינוך.</v>
      </c>
      <c r="AC40" s="160">
        <v>810000</v>
      </c>
    </row>
    <row r="41" spans="1:55" ht="60">
      <c r="A41" s="160">
        <f t="shared" si="0"/>
        <v>37</v>
      </c>
      <c r="B41" s="160">
        <f>'תקציב החברה לפיתוח 2022'!B41</f>
        <v>1961</v>
      </c>
      <c r="C41" s="289" t="str">
        <f>'תקציב החברה לפיתוח 2022'!C41</f>
        <v>גשר מעל כביש 20</v>
      </c>
      <c r="D41" s="161">
        <f>'תקציב החברה לפיתוח 2022'!D41</f>
        <v>128000000</v>
      </c>
      <c r="E41" s="161">
        <f>'תקציב החברה לפיתוח 2022'!E41</f>
        <v>128000000</v>
      </c>
      <c r="F41" s="161">
        <f>'תקציב החברה לפיתוח 2022'!F41</f>
        <v>0</v>
      </c>
      <c r="G41" s="161">
        <f>'תקציב החברה לפיתוח 2022'!G41</f>
        <v>500000</v>
      </c>
      <c r="H41" s="161">
        <f>'תקציב החברה לפיתוח 2022'!H41</f>
        <v>0</v>
      </c>
      <c r="I41" s="161">
        <f>'תקציב החברה לפיתוח 2022'!I41</f>
        <v>0</v>
      </c>
      <c r="J41" s="161">
        <f>'תקציב החברה לפיתוח 2022'!J41</f>
        <v>0</v>
      </c>
      <c r="K41" s="161">
        <f>'תקציב החברה לפיתוח 2022'!K41</f>
        <v>0</v>
      </c>
      <c r="L41" s="161">
        <f>'תקציב החברה לפיתוח 2022'!L41</f>
        <v>0</v>
      </c>
      <c r="M41" s="161">
        <f>'תקציב החברה לפיתוח 2022'!M41</f>
        <v>500000</v>
      </c>
      <c r="N41" s="161">
        <f>'תקציב החברה לפיתוח 2022'!N41</f>
        <v>500000</v>
      </c>
      <c r="O41" s="161">
        <f>'תקציב החברה לפיתוח 2022'!O41</f>
        <v>127000000</v>
      </c>
      <c r="P41" s="161">
        <f>'תקציב החברה לפיתוח 2022'!P41</f>
        <v>500000</v>
      </c>
      <c r="Q41" s="161">
        <f>'תקציב החברה לפיתוח 2022'!Q41</f>
        <v>0</v>
      </c>
      <c r="R41" s="161">
        <f>'תקציב החברה לפיתוח 2022'!R41</f>
        <v>0</v>
      </c>
      <c r="S41" s="161">
        <f>'תקציב החברה לפיתוח 2022'!S41</f>
        <v>0</v>
      </c>
      <c r="T41" s="161">
        <f>'תקציב החברה לפיתוח 2022'!T41</f>
        <v>0</v>
      </c>
      <c r="U41" s="161">
        <f>'תקציב החברה לפיתוח 2022'!U41</f>
        <v>500000</v>
      </c>
      <c r="V41" s="161">
        <f>'תקציב החברה לפיתוח 2022'!V41</f>
        <v>500000</v>
      </c>
      <c r="W41" s="161">
        <f>'תקציב החברה לפיתוח 2022'!W41</f>
        <v>0</v>
      </c>
      <c r="X41" s="161">
        <f>'תקציב החברה לפיתוח 2022'!X41</f>
        <v>0</v>
      </c>
      <c r="Y41" s="161">
        <f>'תקציב החברה לפיתוח 2022'!Y41</f>
        <v>0</v>
      </c>
      <c r="Z41" s="161">
        <f>'תקציב החברה לפיתוח 2022'!Z41</f>
        <v>0</v>
      </c>
      <c r="AA41" s="161">
        <f>'תקציב החברה לפיתוח 2022'!AA41</f>
        <v>0</v>
      </c>
      <c r="AB41" s="289" t="str">
        <f>'תקציב החברה לפיתוח 2022'!AB41</f>
        <v>פיתוח הגשר מעל כביש 20 איזור גליל ים.  ב - 2022 : תכנון. בשלבי בחירת מנהל פרויקט.</v>
      </c>
      <c r="AC41" s="160">
        <v>742000</v>
      </c>
    </row>
    <row r="42" spans="1:55" ht="30">
      <c r="A42" s="160">
        <f t="shared" si="0"/>
        <v>38</v>
      </c>
      <c r="B42" s="160">
        <f>'תקציב החברה לפיתוח 2022'!B42</f>
        <v>1972</v>
      </c>
      <c r="C42" s="289" t="str">
        <f>'תקציב החברה לפיתוח 2022'!C42</f>
        <v>פיתוח חורשת הפרחים</v>
      </c>
      <c r="D42" s="161">
        <f>'תקציב החברה לפיתוח 2022'!D42</f>
        <v>4420000</v>
      </c>
      <c r="E42" s="161">
        <f>'תקציב החברה לפיתוח 2022'!E42</f>
        <v>4470000</v>
      </c>
      <c r="F42" s="161">
        <f>'תקציב החברה לפיתוח 2022'!F42</f>
        <v>-50000</v>
      </c>
      <c r="G42" s="161">
        <f>'תקציב החברה לפיתוח 2022'!G42</f>
        <v>4470000</v>
      </c>
      <c r="H42" s="161">
        <f>'תקציב החברה לפיתוח 2022'!H42</f>
        <v>4073430</v>
      </c>
      <c r="I42" s="161">
        <f>'תקציב החברה לפיתוח 2022'!I42</f>
        <v>0</v>
      </c>
      <c r="J42" s="161">
        <f>'תקציב החברה לפיתוח 2022'!J42</f>
        <v>256833</v>
      </c>
      <c r="K42" s="161">
        <f>'תקציב החברה לפיתוח 2022'!K42</f>
        <v>256833</v>
      </c>
      <c r="L42" s="161">
        <f>'תקציב החברה לפיתוח 2022'!L42</f>
        <v>4330263</v>
      </c>
      <c r="M42" s="161">
        <f>'תקציב החברה לפיתוח 2022'!M42</f>
        <v>89737</v>
      </c>
      <c r="N42" s="161">
        <f>'תקציב החברה לפיתוח 2022'!N42</f>
        <v>0</v>
      </c>
      <c r="O42" s="161">
        <f>'תקציב החברה לפיתוח 2022'!O42</f>
        <v>0</v>
      </c>
      <c r="P42" s="161">
        <f>'תקציב החברה לפיתוח 2022'!P42</f>
        <v>139737</v>
      </c>
      <c r="Q42" s="161">
        <f>'תקציב החברה לפיתוח 2022'!Q42</f>
        <v>0</v>
      </c>
      <c r="R42" s="161">
        <f>'תקציב החברה לפיתוח 2022'!R42</f>
        <v>0</v>
      </c>
      <c r="S42" s="161">
        <f>'תקציב החברה לפיתוח 2022'!S42</f>
        <v>0</v>
      </c>
      <c r="T42" s="161">
        <f>'תקציב החברה לפיתוח 2022'!T42</f>
        <v>50000</v>
      </c>
      <c r="U42" s="161">
        <f>'תקציב החברה לפיתוח 2022'!U42</f>
        <v>-50000</v>
      </c>
      <c r="V42" s="161">
        <f>'תקציב החברה לפיתוח 2022'!V42</f>
        <v>-50000</v>
      </c>
      <c r="W42" s="161">
        <f>'תקציב החברה לפיתוח 2022'!W42</f>
        <v>0</v>
      </c>
      <c r="X42" s="161">
        <f>'תקציב החברה לפיתוח 2022'!X42</f>
        <v>0</v>
      </c>
      <c r="Y42" s="161">
        <f>'תקציב החברה לפיתוח 2022'!Y42</f>
        <v>0</v>
      </c>
      <c r="Z42" s="161">
        <f>'תקציב החברה לפיתוח 2022'!Z42</f>
        <v>0</v>
      </c>
      <c r="AA42" s="161">
        <f>'תקציב החברה לפיתוח 2022'!AA42</f>
        <v>0</v>
      </c>
      <c r="AB42" s="289" t="str">
        <f>'תקציב החברה לפיתוח 2022'!AB42</f>
        <v xml:space="preserve">פיתוח שצ"פ בגבעת הפרחים כולל הנגשה. ח-ן סופיים. </v>
      </c>
      <c r="AC42" s="160">
        <v>746000</v>
      </c>
    </row>
    <row r="43" spans="1:55" s="170" customFormat="1" ht="90">
      <c r="A43" s="160">
        <f t="shared" si="0"/>
        <v>39</v>
      </c>
      <c r="B43" s="160">
        <f>'תקציב החברה לפיתוח 2022'!B43</f>
        <v>1998</v>
      </c>
      <c r="C43" s="289" t="str">
        <f>'תקציב החברה לפיתוח 2022'!C43</f>
        <v>פרויקט השכרת אופניים</v>
      </c>
      <c r="D43" s="161">
        <f>'תקציב החברה לפיתוח 2022'!D43</f>
        <v>4630000</v>
      </c>
      <c r="E43" s="161">
        <f>'תקציב החברה לפיתוח 2022'!E43</f>
        <v>4630000</v>
      </c>
      <c r="F43" s="161">
        <f>'תקציב החברה לפיתוח 2022'!F43</f>
        <v>0</v>
      </c>
      <c r="G43" s="161">
        <f>'תקציב החברה לפיתוח 2022'!G43</f>
        <v>150000</v>
      </c>
      <c r="H43" s="161">
        <f>'תקציב החברה לפיתוח 2022'!H43</f>
        <v>12799</v>
      </c>
      <c r="I43" s="161">
        <f>'תקציב החברה לפיתוח 2022'!I43</f>
        <v>0</v>
      </c>
      <c r="J43" s="161">
        <f>'תקציב החברה לפיתוח 2022'!J43</f>
        <v>0</v>
      </c>
      <c r="K43" s="161">
        <f>'תקציב החברה לפיתוח 2022'!K43</f>
        <v>0</v>
      </c>
      <c r="L43" s="161">
        <f>'תקציב החברה לפיתוח 2022'!L43</f>
        <v>12799</v>
      </c>
      <c r="M43" s="161">
        <f>'תקציב החברה לפיתוח 2022'!M43</f>
        <v>337201</v>
      </c>
      <c r="N43" s="161">
        <f>'תקציב החברה לפיתוח 2022'!N43</f>
        <v>1000000</v>
      </c>
      <c r="O43" s="161">
        <f>'תקציב החברה לפיתוח 2022'!O43</f>
        <v>3280000</v>
      </c>
      <c r="P43" s="161">
        <f>'תקציב החברה לפיתוח 2022'!P43</f>
        <v>137201</v>
      </c>
      <c r="Q43" s="161">
        <f>'תקציב החברה לפיתוח 2022'!Q43</f>
        <v>200000</v>
      </c>
      <c r="R43" s="161">
        <f>'תקציב החברה לפיתוח 2022'!R43</f>
        <v>0</v>
      </c>
      <c r="S43" s="161">
        <f>'תקציב החברה לפיתוח 2022'!S43</f>
        <v>200000</v>
      </c>
      <c r="T43" s="161">
        <f>'תקציב החברה לפיתוח 2022'!T43</f>
        <v>0</v>
      </c>
      <c r="U43" s="161">
        <f>'תקציב החברה לפיתוח 2022'!U43</f>
        <v>1000000</v>
      </c>
      <c r="V43" s="161">
        <f>'תקציב החברה לפיתוח 2022'!V43</f>
        <v>1000000</v>
      </c>
      <c r="W43" s="161">
        <f>'תקציב החברה לפיתוח 2022'!W43</f>
        <v>0</v>
      </c>
      <c r="X43" s="161">
        <f>'תקציב החברה לפיתוח 2022'!X43</f>
        <v>0</v>
      </c>
      <c r="Y43" s="161">
        <f>'תקציב החברה לפיתוח 2022'!Y43</f>
        <v>0</v>
      </c>
      <c r="Z43" s="161">
        <f>'תקציב החברה לפיתוח 2022'!Z43</f>
        <v>0</v>
      </c>
      <c r="AA43" s="161">
        <f>'תקציב החברה לפיתוח 2022'!AA43</f>
        <v>0</v>
      </c>
      <c r="AB43" s="289" t="str">
        <f>'תקציב החברה לפיתוח 2022'!AB43</f>
        <v>הקמת מע.השכרת אופניים ברחבי העיר ובאיזור התעסוקה, חלק מתוכנית אב להפחתת פליטות גזי חממה. מימון מ.להגנת הסביבה.</v>
      </c>
      <c r="AC43" s="833">
        <v>870000</v>
      </c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</row>
    <row r="44" spans="1:55" s="170" customFormat="1" ht="45">
      <c r="A44" s="160">
        <f t="shared" si="0"/>
        <v>40</v>
      </c>
      <c r="B44" s="160">
        <f>'תקציב החברה לפיתוח 2022'!B44</f>
        <v>2002</v>
      </c>
      <c r="C44" s="289" t="str">
        <f>'תקציב החברה לפיתוח 2022'!C44</f>
        <v>הכשרת חניון העוגן</v>
      </c>
      <c r="D44" s="161">
        <f>'תקציב החברה לפיתוח 2022'!D44</f>
        <v>1500000</v>
      </c>
      <c r="E44" s="161">
        <f>'תקציב החברה לפיתוח 2022'!E44</f>
        <v>1500000</v>
      </c>
      <c r="F44" s="161">
        <f>'תקציב החברה לפיתוח 2022'!F44</f>
        <v>0</v>
      </c>
      <c r="G44" s="161">
        <f>'תקציב החברה לפיתוח 2022'!G44</f>
        <v>400000</v>
      </c>
      <c r="H44" s="161">
        <f>'תקציב החברה לפיתוח 2022'!H44</f>
        <v>133342</v>
      </c>
      <c r="I44" s="161">
        <f>'תקציב החברה לפיתוח 2022'!I44</f>
        <v>0</v>
      </c>
      <c r="J44" s="161">
        <f>'תקציב החברה לפיתוח 2022'!J44</f>
        <v>0</v>
      </c>
      <c r="K44" s="161">
        <f>'תקציב החברה לפיתוח 2022'!K44</f>
        <v>0</v>
      </c>
      <c r="L44" s="161">
        <f>'תקציב החברה לפיתוח 2022'!L44</f>
        <v>133342</v>
      </c>
      <c r="M44" s="161">
        <f>'תקציב החברה לפיתוח 2022'!M44</f>
        <v>266658</v>
      </c>
      <c r="N44" s="161">
        <f>'תקציב החברה לפיתוח 2022'!N44</f>
        <v>1100000</v>
      </c>
      <c r="O44" s="161">
        <f>'תקציב החברה לפיתוח 2022'!O44</f>
        <v>0</v>
      </c>
      <c r="P44" s="161">
        <f>'תקציב החברה לפיתוח 2022'!P44</f>
        <v>266658</v>
      </c>
      <c r="Q44" s="161">
        <f>'תקציב החברה לפיתוח 2022'!Q44</f>
        <v>0</v>
      </c>
      <c r="R44" s="161">
        <f>'תקציב החברה לפיתוח 2022'!R44</f>
        <v>0</v>
      </c>
      <c r="S44" s="161">
        <f>'תקציב החברה לפיתוח 2022'!S44</f>
        <v>0</v>
      </c>
      <c r="T44" s="161">
        <f>'תקציב החברה לפיתוח 2022'!T44</f>
        <v>0</v>
      </c>
      <c r="U44" s="161">
        <f>'תקציב החברה לפיתוח 2022'!U44</f>
        <v>1100000</v>
      </c>
      <c r="V44" s="161">
        <f>'תקציב החברה לפיתוח 2022'!V44</f>
        <v>1100000</v>
      </c>
      <c r="W44" s="161">
        <f>'תקציב החברה לפיתוח 2022'!W44</f>
        <v>0</v>
      </c>
      <c r="X44" s="161">
        <f>'תקציב החברה לפיתוח 2022'!X44</f>
        <v>0</v>
      </c>
      <c r="Y44" s="161">
        <f>'תקציב החברה לפיתוח 2022'!Y44</f>
        <v>0</v>
      </c>
      <c r="Z44" s="161">
        <f>'תקציב החברה לפיתוח 2022'!Z44</f>
        <v>0</v>
      </c>
      <c r="AA44" s="161">
        <f>'תקציב החברה לפיתוח 2022'!AA44</f>
        <v>0</v>
      </c>
      <c r="AB44" s="289" t="str">
        <f>'תקציב החברה לפיתוח 2022'!AB44</f>
        <v>הכשרת חניון העוגן במרינה לחניון בתשלום. ממתין להיתר.</v>
      </c>
      <c r="AC44" s="833">
        <v>742000</v>
      </c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</row>
    <row r="45" spans="1:55" s="170" customFormat="1" ht="45">
      <c r="A45" s="160">
        <f t="shared" si="0"/>
        <v>41</v>
      </c>
      <c r="B45" s="160">
        <f>'תקציב החברה לפיתוח 2022'!B45</f>
        <v>2008</v>
      </c>
      <c r="C45" s="289" t="str">
        <f>'תקציב החברה לפיתוח 2022'!C45</f>
        <v>שדרות ה - 93 הבאר</v>
      </c>
      <c r="D45" s="161">
        <f>'תקציב החברה לפיתוח 2022'!D45</f>
        <v>2500000</v>
      </c>
      <c r="E45" s="161">
        <f>'תקציב החברה לפיתוח 2022'!E45</f>
        <v>2500000</v>
      </c>
      <c r="F45" s="161">
        <f>'תקציב החברה לפיתוח 2022'!F45</f>
        <v>0</v>
      </c>
      <c r="G45" s="161">
        <f>'תקציב החברה לפיתוח 2022'!G45</f>
        <v>250000</v>
      </c>
      <c r="H45" s="161">
        <f>'תקציב החברה לפיתוח 2022'!H45</f>
        <v>0</v>
      </c>
      <c r="I45" s="161">
        <f>'תקציב החברה לפיתוח 2022'!I45</f>
        <v>0</v>
      </c>
      <c r="J45" s="161">
        <f>'תקציב החברה לפיתוח 2022'!J45</f>
        <v>0</v>
      </c>
      <c r="K45" s="161">
        <f>'תקציב החברה לפיתוח 2022'!K45</f>
        <v>0</v>
      </c>
      <c r="L45" s="161">
        <f>'תקציב החברה לפיתוח 2022'!L45</f>
        <v>0</v>
      </c>
      <c r="M45" s="161">
        <f>'תקציב החברה לפיתוח 2022'!M45</f>
        <v>250000</v>
      </c>
      <c r="N45" s="161">
        <f>'תקציב החברה לפיתוח 2022'!N45</f>
        <v>1000000</v>
      </c>
      <c r="O45" s="161">
        <f>'תקציב החברה לפיתוח 2022'!O45</f>
        <v>1250000</v>
      </c>
      <c r="P45" s="161">
        <f>'תקציב החברה לפיתוח 2022'!P45</f>
        <v>250000</v>
      </c>
      <c r="Q45" s="161">
        <f>'תקציב החברה לפיתוח 2022'!Q45</f>
        <v>0</v>
      </c>
      <c r="R45" s="161">
        <f>'תקציב החברה לפיתוח 2022'!R45</f>
        <v>0</v>
      </c>
      <c r="S45" s="161">
        <f>'תקציב החברה לפיתוח 2022'!S45</f>
        <v>0</v>
      </c>
      <c r="T45" s="161">
        <f>'תקציב החברה לפיתוח 2022'!T45</f>
        <v>0</v>
      </c>
      <c r="U45" s="161">
        <f>'תקציב החברה לפיתוח 2022'!U45</f>
        <v>1000000</v>
      </c>
      <c r="V45" s="161">
        <f>'תקציב החברה לפיתוח 2022'!V45</f>
        <v>1000000</v>
      </c>
      <c r="W45" s="161">
        <f>'תקציב החברה לפיתוח 2022'!W45</f>
        <v>0</v>
      </c>
      <c r="X45" s="161">
        <f>'תקציב החברה לפיתוח 2022'!X45</f>
        <v>0</v>
      </c>
      <c r="Y45" s="161">
        <f>'תקציב החברה לפיתוח 2022'!Y45</f>
        <v>0</v>
      </c>
      <c r="Z45" s="161">
        <f>'תקציב החברה לפיתוח 2022'!Z45</f>
        <v>0</v>
      </c>
      <c r="AA45" s="161">
        <f>'תקציב החברה לפיתוח 2022'!AA45</f>
        <v>0</v>
      </c>
      <c r="AB45" s="289" t="str">
        <f>'תקציב החברה לפיתוח 2022'!AB45</f>
        <v>הסדרת הסמטה  המקשרת בין רח' אליעזר קפלן במזרח לרח' וינגייט  במערב.</v>
      </c>
      <c r="AC45" s="160">
        <v>742000</v>
      </c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</row>
    <row r="46" spans="1:55" s="5" customFormat="1" ht="90">
      <c r="A46" s="160">
        <f t="shared" si="0"/>
        <v>42</v>
      </c>
      <c r="B46" s="160">
        <f>'תקציב החברה לפיתוח 2022'!B46</f>
        <v>2009</v>
      </c>
      <c r="C46" s="289" t="str">
        <f>'תקציב החברה לפיתוח 2022'!C46</f>
        <v>סמטת ניסנוב</v>
      </c>
      <c r="D46" s="161">
        <f>'תקציב החברה לפיתוח 2022'!D46</f>
        <v>13700000</v>
      </c>
      <c r="E46" s="161">
        <f>'תקציב החברה לפיתוח 2022'!E46</f>
        <v>13700000</v>
      </c>
      <c r="F46" s="161">
        <f>'תקציב החברה לפיתוח 2022'!F46</f>
        <v>0</v>
      </c>
      <c r="G46" s="161">
        <f>'תקציב החברה לפיתוח 2022'!G46</f>
        <v>2200000</v>
      </c>
      <c r="H46" s="161">
        <f>'תקציב החברה לפיתוח 2022'!H46</f>
        <v>20187</v>
      </c>
      <c r="I46" s="161">
        <f>'תקציב החברה לפיתוח 2022'!I46</f>
        <v>258309</v>
      </c>
      <c r="J46" s="161">
        <f>'תקציב החברה לפיתוח 2022'!J46</f>
        <v>44954</v>
      </c>
      <c r="K46" s="161">
        <f>'תקציב החברה לפיתוח 2022'!K46</f>
        <v>303263</v>
      </c>
      <c r="L46" s="161">
        <f>'תקציב החברה לפיתוח 2022'!L46</f>
        <v>323450</v>
      </c>
      <c r="M46" s="161">
        <f>'תקציב החברה לפיתוח 2022'!M46</f>
        <v>1876550</v>
      </c>
      <c r="N46" s="161">
        <f>'תקציב החברה לפיתוח 2022'!N46</f>
        <v>1000000</v>
      </c>
      <c r="O46" s="161">
        <f>'תקציב החברה לפיתוח 2022'!O46</f>
        <v>10500000</v>
      </c>
      <c r="P46" s="161">
        <f>'תקציב החברה לפיתוח 2022'!P46</f>
        <v>1876550</v>
      </c>
      <c r="Q46" s="161">
        <f>'תקציב החברה לפיתוח 2022'!Q46</f>
        <v>0</v>
      </c>
      <c r="R46" s="161">
        <f>'תקציב החברה לפיתוח 2022'!R46</f>
        <v>0</v>
      </c>
      <c r="S46" s="161">
        <f>'תקציב החברה לפיתוח 2022'!S46</f>
        <v>0</v>
      </c>
      <c r="T46" s="161">
        <f>'תקציב החברה לפיתוח 2022'!T46</f>
        <v>0</v>
      </c>
      <c r="U46" s="161">
        <f>'תקציב החברה לפיתוח 2022'!U46</f>
        <v>1000000</v>
      </c>
      <c r="V46" s="161">
        <f>'תקציב החברה לפיתוח 2022'!V46</f>
        <v>1000000</v>
      </c>
      <c r="W46" s="161">
        <f>'תקציב החברה לפיתוח 2022'!W46</f>
        <v>0</v>
      </c>
      <c r="X46" s="161">
        <f>'תקציב החברה לפיתוח 2022'!X46</f>
        <v>0</v>
      </c>
      <c r="Y46" s="161">
        <f>'תקציב החברה לפיתוח 2022'!Y46</f>
        <v>0</v>
      </c>
      <c r="Z46" s="161">
        <f>'תקציב החברה לפיתוח 2022'!Z46</f>
        <v>0</v>
      </c>
      <c r="AA46" s="161">
        <f>'תקציב החברה לפיתוח 2022'!AA46</f>
        <v>0</v>
      </c>
      <c r="AB46" s="289" t="str">
        <f>'תקציב החברה לפיתוח 2022'!AB46</f>
        <v>פיתוח סימטה שהפכה לדרך במסגרת תב"ע 2029 בנווה עמל. העבודות כוללות החלפת תשתיות תת קרקעיות,הריסת מבנה והתחברות לרח' כצלנסון.</v>
      </c>
      <c r="AC46" s="3">
        <v>742000</v>
      </c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</row>
    <row r="47" spans="1:55" s="5" customFormat="1" ht="45">
      <c r="A47" s="160">
        <f t="shared" si="0"/>
        <v>43</v>
      </c>
      <c r="B47" s="160">
        <f>'תקציב החברה לפיתוח 2022'!B47</f>
        <v>2010</v>
      </c>
      <c r="C47" s="289" t="str">
        <f>'תקציב החברה לפיתוח 2022'!C47</f>
        <v>יהודה הנשיא רבי עקיבא רזיאל</v>
      </c>
      <c r="D47" s="161">
        <f>'תקציב החברה לפיתוח 2022'!D47</f>
        <v>8000000</v>
      </c>
      <c r="E47" s="161">
        <f>'תקציב החברה לפיתוח 2022'!E47</f>
        <v>8000000</v>
      </c>
      <c r="F47" s="161">
        <f>'תקציב החברה לפיתוח 2022'!F47</f>
        <v>0</v>
      </c>
      <c r="G47" s="161">
        <f>'תקציב החברה לפיתוח 2022'!G47</f>
        <v>0</v>
      </c>
      <c r="H47" s="161">
        <f>'תקציב החברה לפיתוח 2022'!H47</f>
        <v>0</v>
      </c>
      <c r="I47" s="161">
        <f>'תקציב החברה לפיתוח 2022'!I47</f>
        <v>0</v>
      </c>
      <c r="J47" s="161">
        <f>'תקציב החברה לפיתוח 2022'!J47</f>
        <v>0</v>
      </c>
      <c r="K47" s="161">
        <f>'תקציב החברה לפיתוח 2022'!K47</f>
        <v>0</v>
      </c>
      <c r="L47" s="161">
        <f>'תקציב החברה לפיתוח 2022'!L47</f>
        <v>0</v>
      </c>
      <c r="M47" s="161">
        <f>'תקציב החברה לפיתוח 2022'!M47</f>
        <v>0</v>
      </c>
      <c r="N47" s="161">
        <f>'תקציב החברה לפיתוח 2022'!N47</f>
        <v>0</v>
      </c>
      <c r="O47" s="161">
        <f>'תקציב החברה לפיתוח 2022'!O47</f>
        <v>8000000</v>
      </c>
      <c r="P47" s="161">
        <f>'תקציב החברה לפיתוח 2022'!P47</f>
        <v>0</v>
      </c>
      <c r="Q47" s="161">
        <f>'תקציב החברה לפיתוח 2022'!Q47</f>
        <v>0</v>
      </c>
      <c r="R47" s="161">
        <f>'תקציב החברה לפיתוח 2022'!R47</f>
        <v>0</v>
      </c>
      <c r="S47" s="161">
        <f>'תקציב החברה לפיתוח 2022'!S47</f>
        <v>0</v>
      </c>
      <c r="T47" s="161">
        <f>'תקציב החברה לפיתוח 2022'!T47</f>
        <v>0</v>
      </c>
      <c r="U47" s="161">
        <f>'תקציב החברה לפיתוח 2022'!U47</f>
        <v>0</v>
      </c>
      <c r="V47" s="161">
        <f>'תקציב החברה לפיתוח 2022'!V47</f>
        <v>0</v>
      </c>
      <c r="W47" s="161">
        <f>'תקציב החברה לפיתוח 2022'!W47</f>
        <v>0</v>
      </c>
      <c r="X47" s="161">
        <f>'תקציב החברה לפיתוח 2022'!X47</f>
        <v>0</v>
      </c>
      <c r="Y47" s="161">
        <f>'תקציב החברה לפיתוח 2022'!Y47</f>
        <v>0</v>
      </c>
      <c r="Z47" s="161">
        <f>'תקציב החברה לפיתוח 2022'!Z47</f>
        <v>0</v>
      </c>
      <c r="AA47" s="161">
        <f>'תקציב החברה לפיתוח 2022'!AA47</f>
        <v>0</v>
      </c>
      <c r="AB47" s="289" t="str">
        <f>'תקציב החברה לפיתוח 2022'!AB47</f>
        <v xml:space="preserve">השלמת תכנון וביצוע פיתוח קטע הרחוב מרבי עקיבא עד דוד רזיאל. </v>
      </c>
      <c r="AC47" s="3">
        <v>742000</v>
      </c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</row>
    <row r="48" spans="1:55" s="5" customFormat="1" ht="30">
      <c r="A48" s="160">
        <f t="shared" si="0"/>
        <v>44</v>
      </c>
      <c r="B48" s="160">
        <f>'תקציב החברה לפיתוח 2022'!B48</f>
        <v>2011</v>
      </c>
      <c r="C48" s="289" t="str">
        <f>'תקציב החברה לפיתוח 2022'!C48</f>
        <v xml:space="preserve">הקמת חניון מרינה לי </v>
      </c>
      <c r="D48" s="161">
        <f>'תקציב החברה לפיתוח 2022'!D48</f>
        <v>80000000</v>
      </c>
      <c r="E48" s="161">
        <f>'תקציב החברה לפיתוח 2022'!E48</f>
        <v>80000000</v>
      </c>
      <c r="F48" s="161">
        <f>'תקציב החברה לפיתוח 2022'!F48</f>
        <v>0</v>
      </c>
      <c r="G48" s="161">
        <f>'תקציב החברה לפיתוח 2022'!G48</f>
        <v>4562673</v>
      </c>
      <c r="H48" s="161">
        <f>'תקציב החברה לפיתוח 2022'!H48</f>
        <v>2168048</v>
      </c>
      <c r="I48" s="161">
        <f>'תקציב החברה לפיתוח 2022'!I48</f>
        <v>0</v>
      </c>
      <c r="J48" s="161">
        <f>'תקציב החברה לפיתוח 2022'!J48</f>
        <v>325399</v>
      </c>
      <c r="K48" s="161">
        <f>'תקציב החברה לפיתוח 2022'!K48</f>
        <v>325399</v>
      </c>
      <c r="L48" s="161">
        <f>'תקציב החברה לפיתוח 2022'!L48</f>
        <v>2493447</v>
      </c>
      <c r="M48" s="161">
        <f>'תקציב החברה לפיתוח 2022'!M48</f>
        <v>20069226</v>
      </c>
      <c r="N48" s="161">
        <f>'תקציב החברה לפיתוח 2022'!N48</f>
        <v>8000000</v>
      </c>
      <c r="O48" s="161">
        <f>'תקציב החברה לפיתוח 2022'!O48</f>
        <v>49437327</v>
      </c>
      <c r="P48" s="161">
        <f>'תקציב החברה לפיתוח 2022'!P48</f>
        <v>2069226</v>
      </c>
      <c r="Q48" s="161">
        <f>'תקציב החברה לפיתוח 2022'!Q48</f>
        <v>18000000</v>
      </c>
      <c r="R48" s="161">
        <f>'תקציב החברה לפיתוח 2022'!R48</f>
        <v>0</v>
      </c>
      <c r="S48" s="161">
        <f>'תקציב החברה לפיתוח 2022'!S48</f>
        <v>18000000</v>
      </c>
      <c r="T48" s="161">
        <f>'תקציב החברה לפיתוח 2022'!T48</f>
        <v>0</v>
      </c>
      <c r="U48" s="161">
        <f>'תקציב החברה לפיתוח 2022'!U48</f>
        <v>8000000</v>
      </c>
      <c r="V48" s="161">
        <f>'תקציב החברה לפיתוח 2022'!V48</f>
        <v>8000000</v>
      </c>
      <c r="W48" s="161">
        <f>'תקציב החברה לפיתוח 2022'!W48</f>
        <v>0</v>
      </c>
      <c r="X48" s="161">
        <f>'תקציב החברה לפיתוח 2022'!X48</f>
        <v>0</v>
      </c>
      <c r="Y48" s="161">
        <f>'תקציב החברה לפיתוח 2022'!Y48</f>
        <v>0</v>
      </c>
      <c r="Z48" s="161">
        <f>'תקציב החברה לפיתוח 2022'!Z48</f>
        <v>0</v>
      </c>
      <c r="AA48" s="161">
        <f>'תקציב החברה לפיתוח 2022'!AA48</f>
        <v>0</v>
      </c>
      <c r="AB48" s="289" t="str">
        <f>'תקציב החברה לפיתוח 2022'!AB48</f>
        <v xml:space="preserve">הקמת החניון מתחת לשצ"פ במתחם המרינה לי. </v>
      </c>
      <c r="AC48" s="3">
        <v>742000</v>
      </c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</row>
    <row r="49" spans="1:55" s="170" customFormat="1" ht="60">
      <c r="A49" s="160">
        <f t="shared" si="0"/>
        <v>45</v>
      </c>
      <c r="B49" s="160">
        <f>'תקציב החברה לפיתוח 2022'!B49</f>
        <v>2015</v>
      </c>
      <c r="C49" s="289" t="str">
        <f>'תקציב החברה לפיתוח 2022'!C49</f>
        <v xml:space="preserve"> מרכז מדעים וקהילה </v>
      </c>
      <c r="D49" s="161">
        <f>'תקציב החברה לפיתוח 2022'!D49</f>
        <v>54000000</v>
      </c>
      <c r="E49" s="161">
        <f>'תקציב החברה לפיתוח 2022'!E49</f>
        <v>54000000</v>
      </c>
      <c r="F49" s="161">
        <f>'תקציב החברה לפיתוח 2022'!F49</f>
        <v>0</v>
      </c>
      <c r="G49" s="161">
        <f>'תקציב החברה לפיתוח 2022'!G49</f>
        <v>10500000</v>
      </c>
      <c r="H49" s="161">
        <f>'תקציב החברה לפיתוח 2022'!H49</f>
        <v>1365644</v>
      </c>
      <c r="I49" s="161">
        <f>'תקציב החברה לפיתוח 2022'!I49</f>
        <v>0</v>
      </c>
      <c r="J49" s="161">
        <f>'תקציב החברה לפיתוח 2022'!J49</f>
        <v>134447</v>
      </c>
      <c r="K49" s="161">
        <f>'תקציב החברה לפיתוח 2022'!K49</f>
        <v>134447</v>
      </c>
      <c r="L49" s="161">
        <f>'תקציב החברה לפיתוח 2022'!L49</f>
        <v>1500091</v>
      </c>
      <c r="M49" s="161">
        <f>'תקציב החברה לפיתוח 2022'!M49</f>
        <v>28999909</v>
      </c>
      <c r="N49" s="161">
        <f>'תקציב החברה לפיתוח 2022'!N49</f>
        <v>10000000</v>
      </c>
      <c r="O49" s="161">
        <f>'תקציב החברה לפיתוח 2022'!O49</f>
        <v>13500000</v>
      </c>
      <c r="P49" s="161">
        <f>'תקציב החברה לפיתוח 2022'!P49</f>
        <v>8999909</v>
      </c>
      <c r="Q49" s="161">
        <f>'תקציב החברה לפיתוח 2022'!Q49</f>
        <v>20000000</v>
      </c>
      <c r="R49" s="161">
        <f>'תקציב החברה לפיתוח 2022'!R49</f>
        <v>0</v>
      </c>
      <c r="S49" s="161">
        <f>'תקציב החברה לפיתוח 2022'!S49</f>
        <v>20000000</v>
      </c>
      <c r="T49" s="161">
        <f>'תקציב החברה לפיתוח 2022'!T49</f>
        <v>0</v>
      </c>
      <c r="U49" s="161">
        <f>'תקציב החברה לפיתוח 2022'!U49</f>
        <v>10000000</v>
      </c>
      <c r="V49" s="161">
        <f>'תקציב החברה לפיתוח 2022'!V49</f>
        <v>4234031</v>
      </c>
      <c r="W49" s="161">
        <f>'תקציב החברה לפיתוח 2022'!W49</f>
        <v>0</v>
      </c>
      <c r="X49" s="161">
        <f>'תקציב החברה לפיתוח 2022'!X49</f>
        <v>0</v>
      </c>
      <c r="Y49" s="161">
        <f>'תקציב החברה לפיתוח 2022'!Y49</f>
        <v>0</v>
      </c>
      <c r="Z49" s="161">
        <f>'תקציב החברה לפיתוח 2022'!Z49</f>
        <v>0</v>
      </c>
      <c r="AA49" s="161">
        <f>'תקציב החברה לפיתוח 2022'!AA49</f>
        <v>5765969</v>
      </c>
      <c r="AB49" s="289" t="str">
        <f>'תקציב החברה לפיתוח 2022'!AB49</f>
        <v>עבודות בניה ופיתוח מרכז מדעיים וקהילה באלתרמן. מבנה 5 קומות ופיתוח. מימון מ.החינוך.</v>
      </c>
      <c r="AC49" s="160">
        <v>810000</v>
      </c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</row>
    <row r="50" spans="1:55" ht="30">
      <c r="A50" s="160">
        <f t="shared" si="0"/>
        <v>46</v>
      </c>
      <c r="B50" s="160">
        <f>'תקציב החברה לפיתוח 2022'!B50</f>
        <v>2017</v>
      </c>
      <c r="C50" s="289" t="str">
        <f>'תקציב החברה לפיתוח 2022'!C50</f>
        <v xml:space="preserve">הקמת מתנ"ס רחוב המסילה </v>
      </c>
      <c r="D50" s="161">
        <f>'תקציב החברה לפיתוח 2022'!D50</f>
        <v>37100000</v>
      </c>
      <c r="E50" s="161">
        <f>'תקציב החברה לפיתוח 2022'!E50</f>
        <v>30000000</v>
      </c>
      <c r="F50" s="161">
        <f>'תקציב החברה לפיתוח 2022'!F50</f>
        <v>7100000</v>
      </c>
      <c r="G50" s="161">
        <f>'תקציב החברה לפיתוח 2022'!G50</f>
        <v>2250000</v>
      </c>
      <c r="H50" s="161">
        <f>'תקציב החברה לפיתוח 2022'!H50</f>
        <v>1850358</v>
      </c>
      <c r="I50" s="161">
        <f>'תקציב החברה לפיתוח 2022'!I50</f>
        <v>0</v>
      </c>
      <c r="J50" s="161">
        <f>'תקציב החברה לפיתוח 2022'!J50</f>
        <v>40333</v>
      </c>
      <c r="K50" s="161">
        <f>'תקציב החברה לפיתוח 2022'!K50</f>
        <v>40333</v>
      </c>
      <c r="L50" s="161">
        <f>'תקציב החברה לפיתוח 2022'!L50</f>
        <v>1890691</v>
      </c>
      <c r="M50" s="161">
        <f>'תקציב החברה לפיתוח 2022'!M50</f>
        <v>1109309</v>
      </c>
      <c r="N50" s="161">
        <f>'תקציב החברה לפיתוח 2022'!N50</f>
        <v>7000000</v>
      </c>
      <c r="O50" s="161">
        <f>'תקציב החברה לפיתוח 2022'!O50</f>
        <v>27100000</v>
      </c>
      <c r="P50" s="161">
        <f>'תקציב החברה לפיתוח 2022'!P50</f>
        <v>359309</v>
      </c>
      <c r="Q50" s="161">
        <f>'תקציב החברה לפיתוח 2022'!Q50</f>
        <v>750000</v>
      </c>
      <c r="R50" s="161">
        <f>'תקציב החברה לפיתוח 2022'!R50</f>
        <v>0</v>
      </c>
      <c r="S50" s="161">
        <f>'תקציב החברה לפיתוח 2022'!S50</f>
        <v>750000</v>
      </c>
      <c r="T50" s="161">
        <f>'תקציב החברה לפיתוח 2022'!T50</f>
        <v>0</v>
      </c>
      <c r="U50" s="161">
        <f>'תקציב החברה לפיתוח 2022'!U50</f>
        <v>7000000</v>
      </c>
      <c r="V50" s="161">
        <f>'תקציב החברה לפיתוח 2022'!V50</f>
        <v>7000000</v>
      </c>
      <c r="W50" s="161">
        <f>'תקציב החברה לפיתוח 2022'!W50</f>
        <v>0</v>
      </c>
      <c r="X50" s="161">
        <f>'תקציב החברה לפיתוח 2022'!X50</f>
        <v>0</v>
      </c>
      <c r="Y50" s="161">
        <f>'תקציב החברה לפיתוח 2022'!Y50</f>
        <v>0</v>
      </c>
      <c r="Z50" s="161">
        <f>'תקציב החברה לפיתוח 2022'!Z50</f>
        <v>0</v>
      </c>
      <c r="AA50" s="161">
        <f>'תקציב החברה לפיתוח 2022'!AA50</f>
        <v>0</v>
      </c>
      <c r="AB50" s="289" t="str">
        <f>'תקציב החברה לפיתוח 2022'!AB50</f>
        <v>הקמת מתנ"ס ברחוב המסילה.</v>
      </c>
      <c r="AC50" s="160">
        <v>824000</v>
      </c>
    </row>
    <row r="51" spans="1:55" ht="45">
      <c r="A51" s="160">
        <f t="shared" si="0"/>
        <v>47</v>
      </c>
      <c r="B51" s="160">
        <f>'תקציב החברה לפיתוח 2022'!B51</f>
        <v>2018</v>
      </c>
      <c r="C51" s="289" t="str">
        <f>'תקציב החברה לפיתוח 2022'!C51</f>
        <v>החלפת עמודי תאורה באיזור תעשיה</v>
      </c>
      <c r="D51" s="161">
        <f>'תקציב החברה לפיתוח 2022'!D51</f>
        <v>6600000</v>
      </c>
      <c r="E51" s="161">
        <f>'תקציב החברה לפיתוח 2022'!E51</f>
        <v>6600000</v>
      </c>
      <c r="F51" s="161">
        <f>'תקציב החברה לפיתוח 2022'!F51</f>
        <v>0</v>
      </c>
      <c r="G51" s="161">
        <f>'תקציב החברה לפיתוח 2022'!G51</f>
        <v>6600000</v>
      </c>
      <c r="H51" s="161">
        <f>'תקציב החברה לפיתוח 2022'!H51</f>
        <v>2716605</v>
      </c>
      <c r="I51" s="161">
        <f>'תקציב החברה לפיתוח 2022'!I51</f>
        <v>0</v>
      </c>
      <c r="J51" s="161">
        <f>'תקציב החברה לפיתוח 2022'!J51</f>
        <v>151387</v>
      </c>
      <c r="K51" s="161">
        <f>'תקציב החברה לפיתוח 2022'!K51</f>
        <v>151387</v>
      </c>
      <c r="L51" s="161">
        <f>'תקציב החברה לפיתוח 2022'!L51</f>
        <v>2867992</v>
      </c>
      <c r="M51" s="161">
        <f>'תקציב החברה לפיתוח 2022'!M51</f>
        <v>3732008</v>
      </c>
      <c r="N51" s="161">
        <f>'תקציב החברה לפיתוח 2022'!N51</f>
        <v>0</v>
      </c>
      <c r="O51" s="161">
        <f>'תקציב החברה לפיתוח 2022'!O51</f>
        <v>0</v>
      </c>
      <c r="P51" s="161">
        <f>'תקציב החברה לפיתוח 2022'!P51</f>
        <v>3732008</v>
      </c>
      <c r="Q51" s="161">
        <f>'תקציב החברה לפיתוח 2022'!Q51</f>
        <v>0</v>
      </c>
      <c r="R51" s="161">
        <f>'תקציב החברה לפיתוח 2022'!R51</f>
        <v>0</v>
      </c>
      <c r="S51" s="161">
        <f>'תקציב החברה לפיתוח 2022'!S51</f>
        <v>0</v>
      </c>
      <c r="T51" s="161">
        <f>'תקציב החברה לפיתוח 2022'!T51</f>
        <v>0</v>
      </c>
      <c r="U51" s="161">
        <f>'תקציב החברה לפיתוח 2022'!U51</f>
        <v>0</v>
      </c>
      <c r="V51" s="161">
        <f>'תקציב החברה לפיתוח 2022'!V51</f>
        <v>0</v>
      </c>
      <c r="W51" s="161">
        <f>'תקציב החברה לפיתוח 2022'!W51</f>
        <v>0</v>
      </c>
      <c r="X51" s="161">
        <f>'תקציב החברה לפיתוח 2022'!X51</f>
        <v>0</v>
      </c>
      <c r="Y51" s="161">
        <f>'תקציב החברה לפיתוח 2022'!Y51</f>
        <v>0</v>
      </c>
      <c r="Z51" s="161">
        <f>'תקציב החברה לפיתוח 2022'!Z51</f>
        <v>0</v>
      </c>
      <c r="AA51" s="161">
        <f>'תקציב החברה לפיתוח 2022'!AA51</f>
        <v>0</v>
      </c>
      <c r="AB51" s="289" t="str">
        <f>'תקציב החברה לפיתוח 2022'!AB51</f>
        <v>מסגרת עבודות של החלפת עמודי תאורה באיזור התעשיה.</v>
      </c>
      <c r="AC51" s="160">
        <v>742000</v>
      </c>
    </row>
    <row r="52" spans="1:55" s="164" customFormat="1" ht="30">
      <c r="A52" s="160">
        <f t="shared" si="0"/>
        <v>48</v>
      </c>
      <c r="B52" s="160">
        <f>'תקציב החברה לפיתוח 2022'!B52</f>
        <v>2021</v>
      </c>
      <c r="C52" s="289" t="str">
        <f>'תקציב החברה לפיתוח 2022'!C52</f>
        <v>ביכנ"ס מקדש מלך</v>
      </c>
      <c r="D52" s="161">
        <f>'תקציב החברה לפיתוח 2022'!D52</f>
        <v>8200000</v>
      </c>
      <c r="E52" s="161">
        <f>'תקציב החברה לפיתוח 2022'!E52</f>
        <v>8200000</v>
      </c>
      <c r="F52" s="161">
        <f>'תקציב החברה לפיתוח 2022'!F52</f>
        <v>0</v>
      </c>
      <c r="G52" s="161">
        <f>'תקציב החברה לפיתוח 2022'!G52</f>
        <v>150000</v>
      </c>
      <c r="H52" s="161">
        <f>'תקציב החברה לפיתוח 2022'!H52</f>
        <v>40865</v>
      </c>
      <c r="I52" s="161">
        <f>'תקציב החברה לפיתוח 2022'!I52</f>
        <v>0</v>
      </c>
      <c r="J52" s="161">
        <f>'תקציב החברה לפיתוח 2022'!J52</f>
        <v>0</v>
      </c>
      <c r="K52" s="161">
        <f>'תקציב החברה לפיתוח 2022'!K52</f>
        <v>0</v>
      </c>
      <c r="L52" s="161">
        <f>'תקציב החברה לפיתוח 2022'!L52</f>
        <v>40865</v>
      </c>
      <c r="M52" s="161">
        <f>'תקציב החברה לפיתוח 2022'!M52</f>
        <v>109135</v>
      </c>
      <c r="N52" s="161">
        <f>'תקציב החברה לפיתוח 2022'!N52</f>
        <v>0</v>
      </c>
      <c r="O52" s="161">
        <f>'תקציב החברה לפיתוח 2022'!O52</f>
        <v>8050000</v>
      </c>
      <c r="P52" s="161">
        <f>'תקציב החברה לפיתוח 2022'!P52</f>
        <v>109135</v>
      </c>
      <c r="Q52" s="161">
        <f>'תקציב החברה לפיתוח 2022'!Q52</f>
        <v>0</v>
      </c>
      <c r="R52" s="161">
        <f>'תקציב החברה לפיתוח 2022'!R52</f>
        <v>0</v>
      </c>
      <c r="S52" s="161">
        <f>'תקציב החברה לפיתוח 2022'!S52</f>
        <v>0</v>
      </c>
      <c r="T52" s="161">
        <f>'תקציב החברה לפיתוח 2022'!T52</f>
        <v>0</v>
      </c>
      <c r="U52" s="161">
        <f>'תקציב החברה לפיתוח 2022'!U52</f>
        <v>0</v>
      </c>
      <c r="V52" s="161">
        <f>'תקציב החברה לפיתוח 2022'!V52</f>
        <v>0</v>
      </c>
      <c r="W52" s="161">
        <f>'תקציב החברה לפיתוח 2022'!W52</f>
        <v>0</v>
      </c>
      <c r="X52" s="161">
        <f>'תקציב החברה לפיתוח 2022'!X52</f>
        <v>0</v>
      </c>
      <c r="Y52" s="161">
        <f>'תקציב החברה לפיתוח 2022'!Y52</f>
        <v>0</v>
      </c>
      <c r="Z52" s="161">
        <f>'תקציב החברה לפיתוח 2022'!Z52</f>
        <v>0</v>
      </c>
      <c r="AA52" s="161">
        <f>'תקציב החברה לפיתוח 2022'!AA52</f>
        <v>0</v>
      </c>
      <c r="AB52" s="289" t="str">
        <f>'תקציב החברה לפיתוח 2022'!AB52</f>
        <v xml:space="preserve">בניית ביכנ"ס ברח' מקדש מלך. תכנון.  </v>
      </c>
      <c r="AC52" s="160">
        <v>850000</v>
      </c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</row>
    <row r="53" spans="1:55" s="164" customFormat="1" ht="45">
      <c r="A53" s="160">
        <f t="shared" si="0"/>
        <v>49</v>
      </c>
      <c r="B53" s="160">
        <f>'תקציב החברה לפיתוח 2022'!B53</f>
        <v>2022</v>
      </c>
      <c r="C53" s="289" t="str">
        <f>'תקציב החברה לפיתוח 2022'!C53</f>
        <v xml:space="preserve">הקמת אולם ספורט הנגיד </v>
      </c>
      <c r="D53" s="161">
        <f>'תקציב החברה לפיתוח 2022'!D53</f>
        <v>14000000</v>
      </c>
      <c r="E53" s="161">
        <f>'תקציב החברה לפיתוח 2022'!E53</f>
        <v>14000000</v>
      </c>
      <c r="F53" s="161">
        <f>'תקציב החברה לפיתוח 2022'!F53</f>
        <v>0</v>
      </c>
      <c r="G53" s="161">
        <f>'תקציב החברה לפיתוח 2022'!G53</f>
        <v>12100000</v>
      </c>
      <c r="H53" s="161">
        <f>'תקציב החברה לפיתוח 2022'!H53</f>
        <v>4292387</v>
      </c>
      <c r="I53" s="161">
        <f>'תקציב החברה לפיתוח 2022'!I53</f>
        <v>0</v>
      </c>
      <c r="J53" s="161">
        <f>'תקציב החברה לפיתוח 2022'!J53</f>
        <v>730999</v>
      </c>
      <c r="K53" s="161">
        <f>'תקציב החברה לפיתוח 2022'!K53</f>
        <v>730999</v>
      </c>
      <c r="L53" s="161">
        <f>'תקציב החברה לפיתוח 2022'!L53</f>
        <v>5023386</v>
      </c>
      <c r="M53" s="161">
        <f>'תקציב החברה לפיתוח 2022'!M53</f>
        <v>8976614</v>
      </c>
      <c r="N53" s="161">
        <f>'תקציב החברה לפיתוח 2022'!N53</f>
        <v>0</v>
      </c>
      <c r="O53" s="161">
        <f>'תקציב החברה לפיתוח 2022'!O53</f>
        <v>0</v>
      </c>
      <c r="P53" s="161">
        <f>'תקציב החברה לפיתוח 2022'!P53</f>
        <v>7076614</v>
      </c>
      <c r="Q53" s="161">
        <f>'תקציב החברה לפיתוח 2022'!Q53</f>
        <v>1900000</v>
      </c>
      <c r="R53" s="161">
        <f>'תקציב החברה לפיתוח 2022'!R53</f>
        <v>0</v>
      </c>
      <c r="S53" s="161">
        <f>'תקציב החברה לפיתוח 2022'!S53</f>
        <v>1900000</v>
      </c>
      <c r="T53" s="161">
        <f>'תקציב החברה לפיתוח 2022'!T53</f>
        <v>0</v>
      </c>
      <c r="U53" s="161">
        <f>'תקציב החברה לפיתוח 2022'!U53</f>
        <v>0</v>
      </c>
      <c r="V53" s="161">
        <f>'תקציב החברה לפיתוח 2022'!V53</f>
        <v>0</v>
      </c>
      <c r="W53" s="161">
        <f>'תקציב החברה לפיתוח 2022'!W53</f>
        <v>0</v>
      </c>
      <c r="X53" s="161">
        <f>'תקציב החברה לפיתוח 2022'!X53</f>
        <v>0</v>
      </c>
      <c r="Y53" s="161">
        <f>'תקציב החברה לפיתוח 2022'!Y53</f>
        <v>0</v>
      </c>
      <c r="Z53" s="161">
        <f>'תקציב החברה לפיתוח 2022'!Z53</f>
        <v>0</v>
      </c>
      <c r="AA53" s="161">
        <f>'תקציב החברה לפיתוח 2022'!AA53</f>
        <v>0</v>
      </c>
      <c r="AB53" s="289" t="str">
        <f>'תקציב החברה לפיתוח 2022'!AB53</f>
        <v xml:space="preserve">עבודות הקמת אולם ספורט בנגיד  כולל הריסת אולמות ומקלט קיימים. </v>
      </c>
      <c r="AC53" s="160">
        <v>829000</v>
      </c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</row>
    <row r="54" spans="1:55" s="164" customFormat="1" ht="60">
      <c r="A54" s="160">
        <f t="shared" si="0"/>
        <v>50</v>
      </c>
      <c r="B54" s="160">
        <f>'תקציב החברה לפיתוח 2022'!B54</f>
        <v>2023</v>
      </c>
      <c r="C54" s="289" t="str">
        <f>'תקציב החברה לפיתוח 2022'!C54</f>
        <v>גנ"י נווה עמל ציפורן מוריה (*) עדכון וחמניה</v>
      </c>
      <c r="D54" s="161">
        <f>'תקציב החברה לפיתוח 2022'!D54</f>
        <v>7340000</v>
      </c>
      <c r="E54" s="161">
        <f>'תקציב החברה לפיתוח 2022'!E54</f>
        <v>7340000</v>
      </c>
      <c r="F54" s="161">
        <f>'תקציב החברה לפיתוח 2022'!F54</f>
        <v>0</v>
      </c>
      <c r="G54" s="161">
        <f>'תקציב החברה לפיתוח 2022'!G54</f>
        <v>230000</v>
      </c>
      <c r="H54" s="161">
        <f>'תקציב החברה לפיתוח 2022'!H54</f>
        <v>227341</v>
      </c>
      <c r="I54" s="161">
        <f>'תקציב החברה לפיתוח 2022'!I54</f>
        <v>0</v>
      </c>
      <c r="J54" s="161">
        <f>'תקציב החברה לפיתוח 2022'!J54</f>
        <v>2657</v>
      </c>
      <c r="K54" s="161">
        <f>'תקציב החברה לפיתוח 2022'!K54</f>
        <v>2657</v>
      </c>
      <c r="L54" s="161">
        <f>'תקציב החברה לפיתוח 2022'!L54</f>
        <v>229998</v>
      </c>
      <c r="M54" s="161">
        <f>'תקציב החברה לפיתוח 2022'!M54</f>
        <v>2</v>
      </c>
      <c r="N54" s="161">
        <f>'תקציב החברה לפיתוח 2022'!N54</f>
        <v>0</v>
      </c>
      <c r="O54" s="161">
        <f>'תקציב החברה לפיתוח 2022'!O54</f>
        <v>7110000</v>
      </c>
      <c r="P54" s="161">
        <f>'תקציב החברה לפיתוח 2022'!P54</f>
        <v>2</v>
      </c>
      <c r="Q54" s="161">
        <f>'תקציב החברה לפיתוח 2022'!Q54</f>
        <v>0</v>
      </c>
      <c r="R54" s="161">
        <f>'תקציב החברה לפיתוח 2022'!R54</f>
        <v>0</v>
      </c>
      <c r="S54" s="161">
        <f>'תקציב החברה לפיתוח 2022'!S54</f>
        <v>0</v>
      </c>
      <c r="T54" s="161">
        <f>'תקציב החברה לפיתוח 2022'!T54</f>
        <v>0</v>
      </c>
      <c r="U54" s="161">
        <f>'תקציב החברה לפיתוח 2022'!U54</f>
        <v>0</v>
      </c>
      <c r="V54" s="161">
        <f>'תקציב החברה לפיתוח 2022'!V54</f>
        <v>0</v>
      </c>
      <c r="W54" s="161">
        <f>'תקציב החברה לפיתוח 2022'!W54</f>
        <v>0</v>
      </c>
      <c r="X54" s="161">
        <f>'תקציב החברה לפיתוח 2022'!X54</f>
        <v>0</v>
      </c>
      <c r="Y54" s="161">
        <f>'תקציב החברה לפיתוח 2022'!Y54</f>
        <v>0</v>
      </c>
      <c r="Z54" s="161">
        <f>'תקציב החברה לפיתוח 2022'!Z54</f>
        <v>0</v>
      </c>
      <c r="AA54" s="161">
        <f>'תקציב החברה לפיתוח 2022'!AA54</f>
        <v>0</v>
      </c>
      <c r="AB54" s="289" t="str">
        <f>'תקציב החברה לפיתוח 2022'!AB54</f>
        <v>בניית 3 גנ"י בנווה עמל. חלקות בבעלות רמ"י. נדחה עד הכרת מ. החינוך והסכם חכירה רמ"י.</v>
      </c>
      <c r="AC54" s="160">
        <v>810000</v>
      </c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</row>
    <row r="55" spans="1:55" s="164" customFormat="1" ht="30">
      <c r="A55" s="160">
        <f t="shared" si="0"/>
        <v>51</v>
      </c>
      <c r="B55" s="160">
        <f>'תקציב החברה לפיתוח 2022'!B55</f>
        <v>2024</v>
      </c>
      <c r="C55" s="289" t="str">
        <f>'תקציב החברה לפיתוח 2022'!C55</f>
        <v>גנ"י מרכז ויצמן תמר תאנה</v>
      </c>
      <c r="D55" s="161">
        <f>'תקציב החברה לפיתוח 2022'!D55</f>
        <v>16300000</v>
      </c>
      <c r="E55" s="161">
        <f>'תקציב החברה לפיתוח 2022'!E55</f>
        <v>16300000</v>
      </c>
      <c r="F55" s="161">
        <f>'תקציב החברה לפיתוח 2022'!F55</f>
        <v>0</v>
      </c>
      <c r="G55" s="161">
        <f>'תקציב החברה לפיתוח 2022'!G55</f>
        <v>10040000</v>
      </c>
      <c r="H55" s="161">
        <f>'תקציב החברה לפיתוח 2022'!H55</f>
        <v>4362205</v>
      </c>
      <c r="I55" s="161">
        <f>'תקציב החברה לפיתוח 2022'!I55</f>
        <v>0</v>
      </c>
      <c r="J55" s="161">
        <f>'תקציב החברה לפיתוח 2022'!J55</f>
        <v>1773811</v>
      </c>
      <c r="K55" s="161">
        <f>'תקציב החברה לפיתוח 2022'!K55</f>
        <v>1773811</v>
      </c>
      <c r="L55" s="161">
        <f>'תקציב החברה לפיתוח 2022'!L55</f>
        <v>6136016</v>
      </c>
      <c r="M55" s="161">
        <f>'תקציב החברה לפיתוח 2022'!M55</f>
        <v>10163984</v>
      </c>
      <c r="N55" s="161">
        <f>'תקציב החברה לפיתוח 2022'!N55</f>
        <v>0</v>
      </c>
      <c r="O55" s="161">
        <f>'תקציב החברה לפיתוח 2022'!O55</f>
        <v>0</v>
      </c>
      <c r="P55" s="161">
        <f>'תקציב החברה לפיתוח 2022'!P55</f>
        <v>3903984</v>
      </c>
      <c r="Q55" s="161">
        <f>'תקציב החברה לפיתוח 2022'!Q55</f>
        <v>6260000</v>
      </c>
      <c r="R55" s="161">
        <f>'תקציב החברה לפיתוח 2022'!R55</f>
        <v>0</v>
      </c>
      <c r="S55" s="161">
        <f>'תקציב החברה לפיתוח 2022'!S55</f>
        <v>6260000</v>
      </c>
      <c r="T55" s="161">
        <f>'תקציב החברה לפיתוח 2022'!T55</f>
        <v>0</v>
      </c>
      <c r="U55" s="161">
        <f>'תקציב החברה לפיתוח 2022'!U55</f>
        <v>0</v>
      </c>
      <c r="V55" s="161">
        <f>'תקציב החברה לפיתוח 2022'!V55</f>
        <v>-2288415</v>
      </c>
      <c r="W55" s="161">
        <f>'תקציב החברה לפיתוח 2022'!W55</f>
        <v>0</v>
      </c>
      <c r="X55" s="161">
        <f>'תקציב החברה לפיתוח 2022'!X55</f>
        <v>0</v>
      </c>
      <c r="Y55" s="161">
        <f>'תקציב החברה לפיתוח 2022'!Y55</f>
        <v>0</v>
      </c>
      <c r="Z55" s="161">
        <f>'תקציב החברה לפיתוח 2022'!Z55</f>
        <v>0</v>
      </c>
      <c r="AA55" s="161">
        <f>'תקציב החברה לפיתוח 2022'!AA55</f>
        <v>2288415</v>
      </c>
      <c r="AB55" s="289" t="str">
        <f>'תקציב החברה לפיתוח 2022'!AB55</f>
        <v xml:space="preserve">בניית 6 כיתות גנ"י במתחם ויצמן.מימון מ. החינוך. </v>
      </c>
      <c r="AC55" s="160">
        <v>810000</v>
      </c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</row>
    <row r="56" spans="1:55" ht="45">
      <c r="A56" s="160">
        <f t="shared" si="0"/>
        <v>52</v>
      </c>
      <c r="B56" s="160">
        <f>'תקציב החברה לפיתוח 2022'!B56</f>
        <v>2064</v>
      </c>
      <c r="C56" s="289" t="str">
        <f>'תקציב החברה לפיתוח 2022'!C56</f>
        <v>שיפוץ אולם ספורט היובל</v>
      </c>
      <c r="D56" s="161">
        <f>'תקציב החברה לפיתוח 2022'!D56</f>
        <v>6281000</v>
      </c>
      <c r="E56" s="161">
        <f>'תקציב החברה לפיתוח 2022'!E56</f>
        <v>6281000</v>
      </c>
      <c r="F56" s="161">
        <f>'תקציב החברה לפיתוח 2022'!F56</f>
        <v>0</v>
      </c>
      <c r="G56" s="161">
        <f>'תקציב החברה לפיתוח 2022'!G56</f>
        <v>864000</v>
      </c>
      <c r="H56" s="161">
        <f>'תקציב החברה לפיתוח 2022'!H56</f>
        <v>833705</v>
      </c>
      <c r="I56" s="161">
        <f>'תקציב החברה לפיתוח 2022'!I56</f>
        <v>0</v>
      </c>
      <c r="J56" s="161">
        <f>'תקציב החברה לפיתוח 2022'!J56</f>
        <v>0</v>
      </c>
      <c r="K56" s="161">
        <f>'תקציב החברה לפיתוח 2022'!K56</f>
        <v>0</v>
      </c>
      <c r="L56" s="161">
        <f>'תקציב החברה לפיתוח 2022'!L56</f>
        <v>833705</v>
      </c>
      <c r="M56" s="161">
        <f>'תקציב החברה לפיתוח 2022'!M56</f>
        <v>30295</v>
      </c>
      <c r="N56" s="161">
        <f>'תקציב החברה לפיתוח 2022'!N56</f>
        <v>0</v>
      </c>
      <c r="O56" s="161">
        <f>'תקציב החברה לפיתוח 2022'!O56</f>
        <v>5417000</v>
      </c>
      <c r="P56" s="161">
        <f>'תקציב החברה לפיתוח 2022'!P56</f>
        <v>30295</v>
      </c>
      <c r="Q56" s="161">
        <f>'תקציב החברה לפיתוח 2022'!Q56</f>
        <v>0</v>
      </c>
      <c r="R56" s="161">
        <f>'תקציב החברה לפיתוח 2022'!R56</f>
        <v>0</v>
      </c>
      <c r="S56" s="161">
        <f>'תקציב החברה לפיתוח 2022'!S56</f>
        <v>0</v>
      </c>
      <c r="T56" s="161">
        <f>'תקציב החברה לפיתוח 2022'!T56</f>
        <v>0</v>
      </c>
      <c r="U56" s="161">
        <f>'תקציב החברה לפיתוח 2022'!U56</f>
        <v>0</v>
      </c>
      <c r="V56" s="161">
        <f>'תקציב החברה לפיתוח 2022'!V56</f>
        <v>0</v>
      </c>
      <c r="W56" s="161">
        <f>'תקציב החברה לפיתוח 2022'!W56</f>
        <v>0</v>
      </c>
      <c r="X56" s="161">
        <f>'תקציב החברה לפיתוח 2022'!X56</f>
        <v>0</v>
      </c>
      <c r="Y56" s="161">
        <f>'תקציב החברה לפיתוח 2022'!Y56</f>
        <v>0</v>
      </c>
      <c r="Z56" s="161">
        <f>'תקציב החברה לפיתוח 2022'!Z56</f>
        <v>0</v>
      </c>
      <c r="AA56" s="161">
        <f>'תקציב החברה לפיתוח 2022'!AA56</f>
        <v>0</v>
      </c>
      <c r="AB56" s="289" t="str">
        <f>'תקציב החברה לפיתוח 2022'!AB56</f>
        <v xml:space="preserve">שיפוץ אולם ספורט היובל כולל פיתוח המבואה והמתחם. </v>
      </c>
      <c r="AC56" s="160">
        <v>829000</v>
      </c>
    </row>
    <row r="57" spans="1:55" ht="45">
      <c r="A57" s="160">
        <f t="shared" si="0"/>
        <v>53</v>
      </c>
      <c r="B57" s="160">
        <f>'תקציב החברה לפיתוח 2022'!B57</f>
        <v>2073</v>
      </c>
      <c r="C57" s="289" t="str">
        <f>'תקציב החברה לפיתוח 2022'!C57</f>
        <v xml:space="preserve">בי"ס ואולם ספורט ויצמן  </v>
      </c>
      <c r="D57" s="161">
        <f>'תקציב החברה לפיתוח 2022'!D57</f>
        <v>11350000</v>
      </c>
      <c r="E57" s="161">
        <f>'תקציב החברה לפיתוח 2022'!E57</f>
        <v>11350000</v>
      </c>
      <c r="F57" s="161">
        <f>'תקציב החברה לפיתוח 2022'!F57</f>
        <v>0</v>
      </c>
      <c r="G57" s="161">
        <f>'תקציב החברה לפיתוח 2022'!G57</f>
        <v>850000</v>
      </c>
      <c r="H57" s="161">
        <f>'תקציב החברה לפיתוח 2022'!H57</f>
        <v>31005</v>
      </c>
      <c r="I57" s="161">
        <f>'תקציב החברה לפיתוח 2022'!I57</f>
        <v>0</v>
      </c>
      <c r="J57" s="161">
        <f>'תקציב החברה לפיתוח 2022'!J57</f>
        <v>85995</v>
      </c>
      <c r="K57" s="161">
        <f>'תקציב החברה לפיתוח 2022'!K57</f>
        <v>85995</v>
      </c>
      <c r="L57" s="161">
        <f>'תקציב החברה לפיתוח 2022'!L57</f>
        <v>117000</v>
      </c>
      <c r="M57" s="161">
        <f>'תקציב החברה לפיתוח 2022'!M57</f>
        <v>1483000</v>
      </c>
      <c r="N57" s="161">
        <f>'תקציב החברה לפיתוח 2022'!N57</f>
        <v>0</v>
      </c>
      <c r="O57" s="161">
        <f>'תקציב החברה לפיתוח 2022'!O57</f>
        <v>9750000</v>
      </c>
      <c r="P57" s="161">
        <f>'תקציב החברה לפיתוח 2022'!P57</f>
        <v>733000</v>
      </c>
      <c r="Q57" s="161">
        <f>'תקציב החברה לפיתוח 2022'!Q57</f>
        <v>750000</v>
      </c>
      <c r="R57" s="161">
        <f>'תקציב החברה לפיתוח 2022'!R57</f>
        <v>0</v>
      </c>
      <c r="S57" s="161">
        <f>'תקציב החברה לפיתוח 2022'!S57</f>
        <v>750000</v>
      </c>
      <c r="T57" s="161">
        <f>'תקציב החברה לפיתוח 2022'!T57</f>
        <v>0</v>
      </c>
      <c r="U57" s="161">
        <f>'תקציב החברה לפיתוח 2022'!U57</f>
        <v>0</v>
      </c>
      <c r="V57" s="161">
        <f>'תקציב החברה לפיתוח 2022'!V57</f>
        <v>0</v>
      </c>
      <c r="W57" s="161">
        <f>'תקציב החברה לפיתוח 2022'!W57</f>
        <v>0</v>
      </c>
      <c r="X57" s="161">
        <f>'תקציב החברה לפיתוח 2022'!X57</f>
        <v>0</v>
      </c>
      <c r="Y57" s="161">
        <f>'תקציב החברה לפיתוח 2022'!Y57</f>
        <v>0</v>
      </c>
      <c r="Z57" s="161">
        <f>'תקציב החברה לפיתוח 2022'!Z57</f>
        <v>0</v>
      </c>
      <c r="AA57" s="161">
        <f>'תקציב החברה לפיתוח 2022'!AA57</f>
        <v>0</v>
      </c>
      <c r="AB57" s="289" t="str">
        <f>'תקציב החברה לפיתוח 2022'!AB57</f>
        <v xml:space="preserve">תוספת מבנה של 6 כיתות    ואולם ספורט חדש בבי"ס ויצמן. ב - 2022: תכנון. </v>
      </c>
      <c r="AC57" s="160">
        <v>829000</v>
      </c>
    </row>
    <row r="58" spans="1:55" ht="45">
      <c r="A58" s="160">
        <f t="shared" si="0"/>
        <v>54</v>
      </c>
      <c r="B58" s="160">
        <f>'תקציב החברה לפיתוח 2022'!B58</f>
        <v>2076</v>
      </c>
      <c r="C58" s="289" t="str">
        <f>'תקציב החברה לפיתוח 2022'!C58</f>
        <v>עבודות פיתוח בכנ"ס אברהם אבינו</v>
      </c>
      <c r="D58" s="161">
        <f>'תקציב החברה לפיתוח 2022'!D58</f>
        <v>2350000</v>
      </c>
      <c r="E58" s="161">
        <f>'תקציב החברה לפיתוח 2022'!E58</f>
        <v>2350000</v>
      </c>
      <c r="F58" s="161">
        <f>'תקציב החברה לפיתוח 2022'!F58</f>
        <v>0</v>
      </c>
      <c r="G58" s="161">
        <f>'תקציב החברה לפיתוח 2022'!G58</f>
        <v>1450000</v>
      </c>
      <c r="H58" s="161">
        <f>'תקציב החברה לפיתוח 2022'!H58</f>
        <v>35648</v>
      </c>
      <c r="I58" s="161">
        <f>'תקציב החברה לפיתוח 2022'!I58</f>
        <v>0</v>
      </c>
      <c r="J58" s="161">
        <f>'תקציב החברה לפיתוח 2022'!J58</f>
        <v>0</v>
      </c>
      <c r="K58" s="161">
        <f>'תקציב החברה לפיתוח 2022'!K58</f>
        <v>0</v>
      </c>
      <c r="L58" s="161">
        <f>'תקציב החברה לפיתוח 2022'!L58</f>
        <v>35648</v>
      </c>
      <c r="M58" s="161">
        <f>'תקציב החברה לפיתוח 2022'!M58</f>
        <v>1414352</v>
      </c>
      <c r="N58" s="161">
        <f>'תקציב החברה לפיתוח 2022'!N58</f>
        <v>0</v>
      </c>
      <c r="O58" s="161">
        <f>'תקציב החברה לפיתוח 2022'!O58</f>
        <v>900000</v>
      </c>
      <c r="P58" s="161">
        <f>'תקציב החברה לפיתוח 2022'!P58</f>
        <v>1414352</v>
      </c>
      <c r="Q58" s="161">
        <f>'תקציב החברה לפיתוח 2022'!Q58</f>
        <v>0</v>
      </c>
      <c r="R58" s="161">
        <f>'תקציב החברה לפיתוח 2022'!R58</f>
        <v>0</v>
      </c>
      <c r="S58" s="161">
        <f>'תקציב החברה לפיתוח 2022'!S58</f>
        <v>0</v>
      </c>
      <c r="T58" s="161">
        <f>'תקציב החברה לפיתוח 2022'!T58</f>
        <v>0</v>
      </c>
      <c r="U58" s="161">
        <f>'תקציב החברה לפיתוח 2022'!U58</f>
        <v>0</v>
      </c>
      <c r="V58" s="161">
        <f>'תקציב החברה לפיתוח 2022'!V58</f>
        <v>0</v>
      </c>
      <c r="W58" s="161">
        <f>'תקציב החברה לפיתוח 2022'!W58</f>
        <v>0</v>
      </c>
      <c r="X58" s="161">
        <f>'תקציב החברה לפיתוח 2022'!X58</f>
        <v>0</v>
      </c>
      <c r="Y58" s="161">
        <f>'תקציב החברה לפיתוח 2022'!Y58</f>
        <v>0</v>
      </c>
      <c r="Z58" s="161">
        <f>'תקציב החברה לפיתוח 2022'!Z58</f>
        <v>0</v>
      </c>
      <c r="AA58" s="161">
        <f>'תקציב החברה לפיתוח 2022'!AA58</f>
        <v>0</v>
      </c>
      <c r="AB58" s="289" t="str">
        <f>'תקציב החברה לפיתוח 2022'!AB58</f>
        <v>עבודות פיתוח ביכנ"ס "אברהם אבינו" בשכונת יד התשעה.</v>
      </c>
      <c r="AC58" s="160">
        <v>850000</v>
      </c>
    </row>
    <row r="59" spans="1:55" s="5" customFormat="1" ht="45">
      <c r="A59" s="160">
        <f t="shared" si="0"/>
        <v>55</v>
      </c>
      <c r="B59" s="160">
        <f>'תקציב החברה לפיתוח 2022'!B59</f>
        <v>2078</v>
      </c>
      <c r="C59" s="289" t="str">
        <f>'תקציב החברה לפיתוח 2022'!C59</f>
        <v>נילי - עבודות פיתוח והסדרת תנועה</v>
      </c>
      <c r="D59" s="161">
        <f>'תקציב החברה לפיתוח 2022'!D59</f>
        <v>4200000</v>
      </c>
      <c r="E59" s="161">
        <f>'תקציב החברה לפיתוח 2022'!E59</f>
        <v>4200000</v>
      </c>
      <c r="F59" s="161">
        <f>'תקציב החברה לפיתוח 2022'!F59</f>
        <v>0</v>
      </c>
      <c r="G59" s="161">
        <f>'תקציב החברה לפיתוח 2022'!G59</f>
        <v>1960000</v>
      </c>
      <c r="H59" s="161">
        <f>'תקציב החברה לפיתוח 2022'!H59</f>
        <v>157316</v>
      </c>
      <c r="I59" s="161">
        <f>'תקציב החברה לפיתוח 2022'!I59</f>
        <v>0</v>
      </c>
      <c r="J59" s="161">
        <f>'תקציב החברה לפיתוח 2022'!J59</f>
        <v>0</v>
      </c>
      <c r="K59" s="161">
        <f>'תקציב החברה לפיתוח 2022'!K59</f>
        <v>0</v>
      </c>
      <c r="L59" s="161">
        <f>'תקציב החברה לפיתוח 2022'!L59</f>
        <v>157316</v>
      </c>
      <c r="M59" s="161">
        <f>'תקציב החברה לפיתוח 2022'!M59</f>
        <v>1802684</v>
      </c>
      <c r="N59" s="161">
        <f>'תקציב החברה לפיתוח 2022'!N59</f>
        <v>0</v>
      </c>
      <c r="O59" s="161">
        <f>'תקציב החברה לפיתוח 2022'!O59</f>
        <v>2240000</v>
      </c>
      <c r="P59" s="161">
        <f>'תקציב החברה לפיתוח 2022'!P59</f>
        <v>1802684</v>
      </c>
      <c r="Q59" s="161">
        <f>'תקציב החברה לפיתוח 2022'!Q59</f>
        <v>0</v>
      </c>
      <c r="R59" s="161">
        <f>'תקציב החברה לפיתוח 2022'!R59</f>
        <v>0</v>
      </c>
      <c r="S59" s="161">
        <f>'תקציב החברה לפיתוח 2022'!S59</f>
        <v>0</v>
      </c>
      <c r="T59" s="161">
        <f>'תקציב החברה לפיתוח 2022'!T59</f>
        <v>0</v>
      </c>
      <c r="U59" s="161">
        <f>'תקציב החברה לפיתוח 2022'!U59</f>
        <v>0</v>
      </c>
      <c r="V59" s="161">
        <f>'תקציב החברה לפיתוח 2022'!V59</f>
        <v>0</v>
      </c>
      <c r="W59" s="161">
        <f>'תקציב החברה לפיתוח 2022'!W59</f>
        <v>0</v>
      </c>
      <c r="X59" s="161">
        <f>'תקציב החברה לפיתוח 2022'!X59</f>
        <v>0</v>
      </c>
      <c r="Y59" s="161">
        <f>'תקציב החברה לפיתוח 2022'!Y59</f>
        <v>0</v>
      </c>
      <c r="Z59" s="161">
        <f>'תקציב החברה לפיתוח 2022'!Z59</f>
        <v>0</v>
      </c>
      <c r="AA59" s="161">
        <f>'תקציב החברה לפיתוח 2022'!AA59</f>
        <v>0</v>
      </c>
      <c r="AB59" s="289" t="str">
        <f>'תקציב החברה לפיתוח 2022'!AB59</f>
        <v>לאור החלטת בימ"ש שהעיריה תבצע שינויים גיאומטרים וקיר.</v>
      </c>
      <c r="AC59" s="3">
        <v>742000</v>
      </c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</row>
    <row r="60" spans="1:55" ht="45">
      <c r="A60" s="160">
        <f t="shared" si="0"/>
        <v>56</v>
      </c>
      <c r="B60" s="160">
        <f>'תקציב החברה לפיתוח 2022'!B60</f>
        <v>2079</v>
      </c>
      <c r="C60" s="289" t="str">
        <f>'תקציב החברה לפיתוח 2022'!C60</f>
        <v>שיפוץ בית הורים</v>
      </c>
      <c r="D60" s="161">
        <f>'תקציב החברה לפיתוח 2022'!D60</f>
        <v>3100000</v>
      </c>
      <c r="E60" s="161">
        <f>'תקציב החברה לפיתוח 2022'!E60</f>
        <v>3100000</v>
      </c>
      <c r="F60" s="161">
        <f>'תקציב החברה לפיתוח 2022'!F60</f>
        <v>0</v>
      </c>
      <c r="G60" s="161">
        <f>'תקציב החברה לפיתוח 2022'!G60</f>
        <v>1700000</v>
      </c>
      <c r="H60" s="161">
        <f>'תקציב החברה לפיתוח 2022'!H60</f>
        <v>762647</v>
      </c>
      <c r="I60" s="161">
        <f>'תקציב החברה לפיתוח 2022'!I60</f>
        <v>0</v>
      </c>
      <c r="J60" s="161">
        <f>'תקציב החברה לפיתוח 2022'!J60</f>
        <v>64605</v>
      </c>
      <c r="K60" s="161">
        <f>'תקציב החברה לפיתוח 2022'!K60</f>
        <v>64605</v>
      </c>
      <c r="L60" s="161">
        <f>'תקציב החברה לפיתוח 2022'!L60</f>
        <v>827252</v>
      </c>
      <c r="M60" s="161">
        <f>'תקציב החברה לפיתוח 2022'!M60</f>
        <v>2272748</v>
      </c>
      <c r="N60" s="161">
        <f>'תקציב החברה לפיתוח 2022'!N60</f>
        <v>0</v>
      </c>
      <c r="O60" s="161">
        <f>'תקציב החברה לפיתוח 2022'!O60</f>
        <v>0</v>
      </c>
      <c r="P60" s="161">
        <f>'תקציב החברה לפיתוח 2022'!P60</f>
        <v>872748</v>
      </c>
      <c r="Q60" s="161">
        <f>'תקציב החברה לפיתוח 2022'!Q60</f>
        <v>1400000</v>
      </c>
      <c r="R60" s="161">
        <f>'תקציב החברה לפיתוח 2022'!R60</f>
        <v>0</v>
      </c>
      <c r="S60" s="161">
        <f>'תקציב החברה לפיתוח 2022'!S60</f>
        <v>1400000</v>
      </c>
      <c r="T60" s="161">
        <f>'תקציב החברה לפיתוח 2022'!T60</f>
        <v>0</v>
      </c>
      <c r="U60" s="161">
        <f>'תקציב החברה לפיתוח 2022'!U60</f>
        <v>0</v>
      </c>
      <c r="V60" s="161">
        <f>'תקציב החברה לפיתוח 2022'!V60</f>
        <v>0</v>
      </c>
      <c r="W60" s="161">
        <f>'תקציב החברה לפיתוח 2022'!W60</f>
        <v>0</v>
      </c>
      <c r="X60" s="161">
        <f>'תקציב החברה לפיתוח 2022'!X60</f>
        <v>0</v>
      </c>
      <c r="Y60" s="161">
        <f>'תקציב החברה לפיתוח 2022'!Y60</f>
        <v>0</v>
      </c>
      <c r="Z60" s="161">
        <f>'תקציב החברה לפיתוח 2022'!Z60</f>
        <v>0</v>
      </c>
      <c r="AA60" s="161">
        <f>'תקציב החברה לפיתוח 2022'!AA60</f>
        <v>0</v>
      </c>
      <c r="AB60" s="289" t="str">
        <f>'תקציב החברה לפיתוח 2022'!AB60</f>
        <v xml:space="preserve">עבודות שיפוץ בית ההורים ברחוב אנה פרנק. עבודות שדרוג ושיפוץ כללי. </v>
      </c>
      <c r="AC60" s="160">
        <v>840000</v>
      </c>
    </row>
    <row r="61" spans="1:55" ht="60">
      <c r="A61" s="160">
        <f t="shared" si="0"/>
        <v>57</v>
      </c>
      <c r="B61" s="160">
        <f>'תקציב החברה לפיתוח 2022'!B61</f>
        <v>2097</v>
      </c>
      <c r="C61" s="289" t="str">
        <f>'תקציב החברה לפיתוח 2022'!C61</f>
        <v>בית ספר בן גוריון</v>
      </c>
      <c r="D61" s="161">
        <f>'תקציב החברה לפיתוח 2022'!D61</f>
        <v>79000000</v>
      </c>
      <c r="E61" s="161">
        <f>'תקציב החברה לפיתוח 2022'!E61</f>
        <v>79000000</v>
      </c>
      <c r="F61" s="161">
        <f>'תקציב החברה לפיתוח 2022'!F61</f>
        <v>0</v>
      </c>
      <c r="G61" s="161">
        <f>'תקציב החברה לפיתוח 2022'!G61</f>
        <v>6000000</v>
      </c>
      <c r="H61" s="161">
        <f>'תקציב החברה לפיתוח 2022'!H61</f>
        <v>2255166</v>
      </c>
      <c r="I61" s="161">
        <f>'תקציב החברה לפיתוח 2022'!I61</f>
        <v>0</v>
      </c>
      <c r="J61" s="161">
        <f>'תקציב החברה לפיתוח 2022'!J61</f>
        <v>2267861</v>
      </c>
      <c r="K61" s="161">
        <f>'תקציב החברה לפיתוח 2022'!K61</f>
        <v>2267861</v>
      </c>
      <c r="L61" s="161">
        <f>'תקציב החברה לפיתוח 2022'!L61</f>
        <v>4523027</v>
      </c>
      <c r="M61" s="161">
        <f>'תקציב החברה לפיתוח 2022'!M61</f>
        <v>1476973</v>
      </c>
      <c r="N61" s="161">
        <f>'תקציב החברה לפיתוח 2022'!N61</f>
        <v>0</v>
      </c>
      <c r="O61" s="161">
        <f>'תקציב החברה לפיתוח 2022'!O61</f>
        <v>73000000</v>
      </c>
      <c r="P61" s="161">
        <f>'תקציב החברה לפיתוח 2022'!P61</f>
        <v>1476973</v>
      </c>
      <c r="Q61" s="161">
        <f>'תקציב החברה לפיתוח 2022'!Q61</f>
        <v>0</v>
      </c>
      <c r="R61" s="161">
        <f>'תקציב החברה לפיתוח 2022'!R61</f>
        <v>0</v>
      </c>
      <c r="S61" s="161">
        <f>'תקציב החברה לפיתוח 2022'!S61</f>
        <v>0</v>
      </c>
      <c r="T61" s="161">
        <f>'תקציב החברה לפיתוח 2022'!T61</f>
        <v>0</v>
      </c>
      <c r="U61" s="161">
        <f>'תקציב החברה לפיתוח 2022'!U61</f>
        <v>0</v>
      </c>
      <c r="V61" s="161">
        <f>'תקציב החברה לפיתוח 2022'!V61</f>
        <v>0</v>
      </c>
      <c r="W61" s="161">
        <f>'תקציב החברה לפיתוח 2022'!W61</f>
        <v>0</v>
      </c>
      <c r="X61" s="161">
        <f>'תקציב החברה לפיתוח 2022'!X61</f>
        <v>0</v>
      </c>
      <c r="Y61" s="161">
        <f>'תקציב החברה לפיתוח 2022'!Y61</f>
        <v>0</v>
      </c>
      <c r="Z61" s="161">
        <f>'תקציב החברה לפיתוח 2022'!Z61</f>
        <v>0</v>
      </c>
      <c r="AA61" s="161">
        <f>'תקציב החברה לפיתוח 2022'!AA61</f>
        <v>0</v>
      </c>
      <c r="AB61" s="289" t="str">
        <f>'תקציב החברה לפיתוח 2022'!AB61</f>
        <v xml:space="preserve">תכנון שיפוץ/הריסה ובניה מחדש של בי"ס. הריסה של 18 כיתות, ובניה של 24 כיתות,6 כיתות  ח"מ. </v>
      </c>
      <c r="AC61" s="160">
        <v>810000</v>
      </c>
    </row>
    <row r="62" spans="1:55" ht="45">
      <c r="A62" s="160">
        <f t="shared" si="0"/>
        <v>58</v>
      </c>
      <c r="B62" s="160">
        <f>'תקציב החברה לפיתוח 2022'!B62</f>
        <v>2099</v>
      </c>
      <c r="C62" s="289" t="str">
        <f>'תקציב החברה לפיתוח 2022'!C62</f>
        <v>סינמטק בבנין עיריה חדש</v>
      </c>
      <c r="D62" s="161">
        <f>'תקציב החברה לפיתוח 2022'!D62</f>
        <v>12000000</v>
      </c>
      <c r="E62" s="161">
        <f>'תקציב החברה לפיתוח 2022'!E62</f>
        <v>12000000</v>
      </c>
      <c r="F62" s="161">
        <f>'תקציב החברה לפיתוח 2022'!F62</f>
        <v>0</v>
      </c>
      <c r="G62" s="161">
        <f>'תקציב החברה לפיתוח 2022'!G62</f>
        <v>750000</v>
      </c>
      <c r="H62" s="161">
        <f>'תקציב החברה לפיתוח 2022'!H62</f>
        <v>415222</v>
      </c>
      <c r="I62" s="161">
        <f>'תקציב החברה לפיתוח 2022'!I62</f>
        <v>0</v>
      </c>
      <c r="J62" s="161">
        <f>'תקציב החברה לפיתוח 2022'!J62</f>
        <v>228705</v>
      </c>
      <c r="K62" s="161">
        <f>'תקציב החברה לפיתוח 2022'!K62</f>
        <v>228705</v>
      </c>
      <c r="L62" s="161">
        <f>'תקציב החברה לפיתוח 2022'!L62</f>
        <v>643927</v>
      </c>
      <c r="M62" s="161">
        <f>'תקציב החברה לפיתוח 2022'!M62</f>
        <v>1106073</v>
      </c>
      <c r="N62" s="161">
        <f>'תקציב החברה לפיתוח 2022'!N62</f>
        <v>9250000</v>
      </c>
      <c r="O62" s="161">
        <f>'תקציב החברה לפיתוח 2022'!O62</f>
        <v>1000000</v>
      </c>
      <c r="P62" s="161">
        <f>'תקציב החברה לפיתוח 2022'!P62</f>
        <v>106073</v>
      </c>
      <c r="Q62" s="161">
        <f>'תקציב החברה לפיתוח 2022'!Q62</f>
        <v>1000000</v>
      </c>
      <c r="R62" s="161">
        <f>'תקציב החברה לפיתוח 2022'!R62</f>
        <v>0</v>
      </c>
      <c r="S62" s="161">
        <f>'תקציב החברה לפיתוח 2022'!S62</f>
        <v>1000000</v>
      </c>
      <c r="T62" s="161">
        <f>'תקציב החברה לפיתוח 2022'!T62</f>
        <v>0</v>
      </c>
      <c r="U62" s="161">
        <f>'תקציב החברה לפיתוח 2022'!U62</f>
        <v>9250000</v>
      </c>
      <c r="V62" s="161">
        <f>'תקציב החברה לפיתוח 2022'!V62</f>
        <v>7250000</v>
      </c>
      <c r="W62" s="161">
        <f>'תקציב החברה לפיתוח 2022'!W62</f>
        <v>0</v>
      </c>
      <c r="X62" s="161">
        <f>'תקציב החברה לפיתוח 2022'!X62</f>
        <v>0</v>
      </c>
      <c r="Y62" s="161">
        <f>'תקציב החברה לפיתוח 2022'!Y62</f>
        <v>0</v>
      </c>
      <c r="Z62" s="161">
        <f>'תקציב החברה לפיתוח 2022'!Z62</f>
        <v>0</v>
      </c>
      <c r="AA62" s="161">
        <f>'תקציב החברה לפיתוח 2022'!AA62</f>
        <v>2000000</v>
      </c>
      <c r="AB62" s="289" t="str">
        <f>'תקציב החברה לפיתוח 2022'!AB62</f>
        <v>הכשרת סינמטק בבניין העיריה החדש. מימון מ. הפיס.</v>
      </c>
      <c r="AC62" s="160">
        <v>826000</v>
      </c>
    </row>
    <row r="63" spans="1:55" ht="45">
      <c r="A63" s="160">
        <f t="shared" si="0"/>
        <v>59</v>
      </c>
      <c r="B63" s="160">
        <f>'תקציב החברה לפיתוח 2022'!B63</f>
        <v>2101</v>
      </c>
      <c r="C63" s="289" t="str">
        <f>'תקציב החברה לפיתוח 2022'!C63</f>
        <v xml:space="preserve">מעון לאנשים עם מוגבלויות -  ביד התשעה </v>
      </c>
      <c r="D63" s="161">
        <f>'תקציב החברה לפיתוח 2022'!D63</f>
        <v>24200000</v>
      </c>
      <c r="E63" s="161">
        <f>'תקציב החברה לפיתוח 2022'!E63</f>
        <v>24200000</v>
      </c>
      <c r="F63" s="161">
        <f>'תקציב החברה לפיתוח 2022'!F63</f>
        <v>0</v>
      </c>
      <c r="G63" s="161">
        <f>'תקציב החברה לפיתוח 2022'!G63</f>
        <v>1500000</v>
      </c>
      <c r="H63" s="161">
        <f>'תקציב החברה לפיתוח 2022'!H63</f>
        <v>14882</v>
      </c>
      <c r="I63" s="161">
        <f>'תקציב החברה לפיתוח 2022'!I63</f>
        <v>0</v>
      </c>
      <c r="J63" s="161">
        <f>'תקציב החברה לפיתוח 2022'!J63</f>
        <v>202773</v>
      </c>
      <c r="K63" s="161">
        <f>'תקציב החברה לפיתוח 2022'!K63</f>
        <v>202773</v>
      </c>
      <c r="L63" s="161">
        <f>'תקציב החברה לפיתוח 2022'!L63</f>
        <v>217655</v>
      </c>
      <c r="M63" s="161">
        <f>'תקציב החברה לפיתוח 2022'!M63</f>
        <v>1282345</v>
      </c>
      <c r="N63" s="161">
        <f>'תקציב החברה לפיתוח 2022'!N63</f>
        <v>0</v>
      </c>
      <c r="O63" s="161">
        <f>'תקציב החברה לפיתוח 2022'!O63</f>
        <v>22700000</v>
      </c>
      <c r="P63" s="161">
        <f>'תקציב החברה לפיתוח 2022'!P63</f>
        <v>1282345</v>
      </c>
      <c r="Q63" s="161">
        <f>'תקציב החברה לפיתוח 2022'!Q63</f>
        <v>0</v>
      </c>
      <c r="R63" s="161">
        <f>'תקציב החברה לפיתוח 2022'!R63</f>
        <v>0</v>
      </c>
      <c r="S63" s="161">
        <f>'תקציב החברה לפיתוח 2022'!S63</f>
        <v>0</v>
      </c>
      <c r="T63" s="161">
        <f>'תקציב החברה לפיתוח 2022'!T63</f>
        <v>0</v>
      </c>
      <c r="U63" s="161">
        <f>'תקציב החברה לפיתוח 2022'!U63</f>
        <v>0</v>
      </c>
      <c r="V63" s="161">
        <f>'תקציב החברה לפיתוח 2022'!V63</f>
        <v>0</v>
      </c>
      <c r="W63" s="161">
        <f>'תקציב החברה לפיתוח 2022'!W63</f>
        <v>0</v>
      </c>
      <c r="X63" s="161">
        <f>'תקציב החברה לפיתוח 2022'!X63</f>
        <v>0</v>
      </c>
      <c r="Y63" s="161">
        <f>'תקציב החברה לפיתוח 2022'!Y63</f>
        <v>0</v>
      </c>
      <c r="Z63" s="161">
        <f>'תקציב החברה לפיתוח 2022'!Z63</f>
        <v>0</v>
      </c>
      <c r="AA63" s="161">
        <f>'תקציב החברה לפיתוח 2022'!AA63</f>
        <v>0</v>
      </c>
      <c r="AB63" s="289" t="str">
        <f>'תקציב החברה לפיתוח 2022'!AB63</f>
        <v>תכנון ראשוני הקמת מעון לאנשים עם מוגבלויות ביד התשעה.</v>
      </c>
      <c r="AC63" s="160">
        <v>840000</v>
      </c>
    </row>
    <row r="64" spans="1:55" ht="45">
      <c r="A64" s="160">
        <f t="shared" si="0"/>
        <v>60</v>
      </c>
      <c r="B64" s="160">
        <f>'תקציב החברה לפיתוח 2022'!B64</f>
        <v>2102</v>
      </c>
      <c r="C64" s="289" t="str">
        <f>'תקציב החברה לפיתוח 2022'!C64</f>
        <v>מועדון טלוויזיה קהילתית בשכונת צמרות</v>
      </c>
      <c r="D64" s="161">
        <f>'תקציב החברה לפיתוח 2022'!D64</f>
        <v>1750000</v>
      </c>
      <c r="E64" s="161">
        <f>'תקציב החברה לפיתוח 2022'!E64</f>
        <v>1750000</v>
      </c>
      <c r="F64" s="161">
        <f>'תקציב החברה לפיתוח 2022'!F64</f>
        <v>0</v>
      </c>
      <c r="G64" s="161">
        <f>'תקציב החברה לפיתוח 2022'!G64</f>
        <v>150000</v>
      </c>
      <c r="H64" s="161">
        <f>'תקציב החברה לפיתוח 2022'!H64</f>
        <v>122473</v>
      </c>
      <c r="I64" s="161">
        <f>'תקציב החברה לפיתוח 2022'!I64</f>
        <v>0</v>
      </c>
      <c r="J64" s="161">
        <f>'תקציב החברה לפיתוח 2022'!J64</f>
        <v>0</v>
      </c>
      <c r="K64" s="161">
        <f>'תקציב החברה לפיתוח 2022'!K64</f>
        <v>0</v>
      </c>
      <c r="L64" s="161">
        <f>'תקציב החברה לפיתוח 2022'!L64</f>
        <v>122473</v>
      </c>
      <c r="M64" s="161">
        <f>'תקציב החברה לפיתוח 2022'!M64</f>
        <v>27527</v>
      </c>
      <c r="N64" s="161">
        <f>'תקציב החברה לפיתוח 2022'!N64</f>
        <v>0</v>
      </c>
      <c r="O64" s="161">
        <f>'תקציב החברה לפיתוח 2022'!O64</f>
        <v>1600000</v>
      </c>
      <c r="P64" s="161">
        <f>'תקציב החברה לפיתוח 2022'!P64</f>
        <v>27527</v>
      </c>
      <c r="Q64" s="161">
        <f>'תקציב החברה לפיתוח 2022'!Q64</f>
        <v>0</v>
      </c>
      <c r="R64" s="161">
        <f>'תקציב החברה לפיתוח 2022'!R64</f>
        <v>0</v>
      </c>
      <c r="S64" s="161">
        <f>'תקציב החברה לפיתוח 2022'!S64</f>
        <v>0</v>
      </c>
      <c r="T64" s="161">
        <f>'תקציב החברה לפיתוח 2022'!T64</f>
        <v>0</v>
      </c>
      <c r="U64" s="161">
        <f>'תקציב החברה לפיתוח 2022'!U64</f>
        <v>0</v>
      </c>
      <c r="V64" s="161">
        <f>'תקציב החברה לפיתוח 2022'!V64</f>
        <v>0</v>
      </c>
      <c r="W64" s="161">
        <f>'תקציב החברה לפיתוח 2022'!W64</f>
        <v>0</v>
      </c>
      <c r="X64" s="161">
        <f>'תקציב החברה לפיתוח 2022'!X64</f>
        <v>0</v>
      </c>
      <c r="Y64" s="161">
        <f>'תקציב החברה לפיתוח 2022'!Y64</f>
        <v>0</v>
      </c>
      <c r="Z64" s="161">
        <f>'תקציב החברה לפיתוח 2022'!Z64</f>
        <v>0</v>
      </c>
      <c r="AA64" s="161">
        <f>'תקציב החברה לפיתוח 2022'!AA64</f>
        <v>0</v>
      </c>
      <c r="AB64" s="289" t="str">
        <f>'תקציב החברה לפיתוח 2022'!AB64</f>
        <v xml:space="preserve">הקמת מועדון טלויזיה קהילתית במרכז יום לקשיש בצמרות. </v>
      </c>
      <c r="AC64" s="160">
        <v>820000</v>
      </c>
    </row>
    <row r="65" spans="1:55" ht="45">
      <c r="A65" s="160">
        <f t="shared" si="0"/>
        <v>61</v>
      </c>
      <c r="B65" s="160">
        <f>'תקציב החברה לפיתוח 2022'!B65</f>
        <v>2103</v>
      </c>
      <c r="C65" s="289" t="str">
        <f>'תקציב החברה לפיתוח 2022'!C65</f>
        <v xml:space="preserve">שדרוג המרחב הציבורי באיזור התעשיה </v>
      </c>
      <c r="D65" s="161">
        <f>'תקציב החברה לפיתוח 2022'!D65</f>
        <v>4200000</v>
      </c>
      <c r="E65" s="161">
        <f>'תקציב החברה לפיתוח 2022'!E65</f>
        <v>2500000</v>
      </c>
      <c r="F65" s="161">
        <f>'תקציב החברה לפיתוח 2022'!F65</f>
        <v>1700000</v>
      </c>
      <c r="G65" s="161">
        <f>'תקציב החברה לפיתוח 2022'!G65</f>
        <v>1000000</v>
      </c>
      <c r="H65" s="161">
        <f>'תקציב החברה לפיתוח 2022'!H65</f>
        <v>317595</v>
      </c>
      <c r="I65" s="161">
        <f>'תקציב החברה לפיתוח 2022'!I65</f>
        <v>0</v>
      </c>
      <c r="J65" s="161">
        <f>'תקציב החברה לפיתוח 2022'!J65</f>
        <v>532970</v>
      </c>
      <c r="K65" s="161">
        <f>'תקציב החברה לפיתוח 2022'!K65</f>
        <v>532970</v>
      </c>
      <c r="L65" s="161">
        <f>'תקציב החברה לפיתוח 2022'!L65</f>
        <v>850565</v>
      </c>
      <c r="M65" s="161">
        <f>'תקציב החברה לפיתוח 2022'!M65</f>
        <v>149435</v>
      </c>
      <c r="N65" s="161">
        <f>'תקציב החברה לפיתוח 2022'!N65</f>
        <v>1500000</v>
      </c>
      <c r="O65" s="161">
        <f>'תקציב החברה לפיתוח 2022'!O65</f>
        <v>1700000</v>
      </c>
      <c r="P65" s="161">
        <f>'תקציב החברה לפיתוח 2022'!P65</f>
        <v>149435</v>
      </c>
      <c r="Q65" s="161">
        <f>'תקציב החברה לפיתוח 2022'!Q65</f>
        <v>0</v>
      </c>
      <c r="R65" s="161">
        <f>'תקציב החברה לפיתוח 2022'!R65</f>
        <v>0</v>
      </c>
      <c r="S65" s="161">
        <f>'תקציב החברה לפיתוח 2022'!S65</f>
        <v>0</v>
      </c>
      <c r="T65" s="161">
        <f>'תקציב החברה לפיתוח 2022'!T65</f>
        <v>0</v>
      </c>
      <c r="U65" s="161">
        <f>'תקציב החברה לפיתוח 2022'!U65</f>
        <v>1500000</v>
      </c>
      <c r="V65" s="161">
        <f>'תקציב החברה לפיתוח 2022'!V65</f>
        <v>0</v>
      </c>
      <c r="W65" s="161">
        <f>'תקציב החברה לפיתוח 2022'!W65</f>
        <v>1500000</v>
      </c>
      <c r="X65" s="161">
        <f>'תקציב החברה לפיתוח 2022'!X65</f>
        <v>0</v>
      </c>
      <c r="Y65" s="161">
        <f>'תקציב החברה לפיתוח 2022'!Y65</f>
        <v>0</v>
      </c>
      <c r="Z65" s="161">
        <f>'תקציב החברה לפיתוח 2022'!Z65</f>
        <v>0</v>
      </c>
      <c r="AA65" s="161">
        <f>'תקציב החברה לפיתוח 2022'!AA65</f>
        <v>0</v>
      </c>
      <c r="AB65" s="289" t="str">
        <f>'תקציב החברה לפיתוח 2022'!AB65</f>
        <v>סל עבודות לשדרוג במרחב הציבורי קירצוף וריבוד באיזור התעשיה.</v>
      </c>
      <c r="AC65" s="160">
        <v>848000</v>
      </c>
    </row>
    <row r="66" spans="1:55" s="6" customFormat="1" ht="45">
      <c r="A66" s="160">
        <f t="shared" si="0"/>
        <v>62</v>
      </c>
      <c r="B66" s="160">
        <f>'תקציב החברה לפיתוח 2022'!B66</f>
        <v>2106</v>
      </c>
      <c r="C66" s="289" t="str">
        <f>'תקציב החברה לפיתוח 2022'!C66</f>
        <v>אוצר הצמחים ,הראשונים ואבן אודם</v>
      </c>
      <c r="D66" s="161">
        <f>'תקציב החברה לפיתוח 2022'!D66</f>
        <v>15000000</v>
      </c>
      <c r="E66" s="161">
        <f>'תקציב החברה לפיתוח 2022'!E66</f>
        <v>15000000</v>
      </c>
      <c r="F66" s="161">
        <f>'תקציב החברה לפיתוח 2022'!F66</f>
        <v>0</v>
      </c>
      <c r="G66" s="161">
        <f>'תקציב החברה לפיתוח 2022'!G66</f>
        <v>4000000</v>
      </c>
      <c r="H66" s="161">
        <f>'תקציב החברה לפיתוח 2022'!H66</f>
        <v>241447</v>
      </c>
      <c r="I66" s="161">
        <f>'תקציב החברה לפיתוח 2022'!I66</f>
        <v>0</v>
      </c>
      <c r="J66" s="161">
        <f>'תקציב החברה לפיתוח 2022'!J66</f>
        <v>528653</v>
      </c>
      <c r="K66" s="161">
        <f>'תקציב החברה לפיתוח 2022'!K66</f>
        <v>528653</v>
      </c>
      <c r="L66" s="161">
        <f>'תקציב החברה לפיתוח 2022'!L66</f>
        <v>770100</v>
      </c>
      <c r="M66" s="161">
        <f>'תקציב החברה לפיתוח 2022'!M66</f>
        <v>3229900</v>
      </c>
      <c r="N66" s="161">
        <f>'תקציב החברה לפיתוח 2022'!N66</f>
        <v>0</v>
      </c>
      <c r="O66" s="161">
        <f>'תקציב החברה לפיתוח 2022'!O66</f>
        <v>11000000</v>
      </c>
      <c r="P66" s="161">
        <f>'תקציב החברה לפיתוח 2022'!P66</f>
        <v>3229900</v>
      </c>
      <c r="Q66" s="161">
        <f>'תקציב החברה לפיתוח 2022'!Q66</f>
        <v>0</v>
      </c>
      <c r="R66" s="161">
        <f>'תקציב החברה לפיתוח 2022'!R66</f>
        <v>0</v>
      </c>
      <c r="S66" s="161">
        <f>'תקציב החברה לפיתוח 2022'!S66</f>
        <v>0</v>
      </c>
      <c r="T66" s="161">
        <f>'תקציב החברה לפיתוח 2022'!T66</f>
        <v>0</v>
      </c>
      <c r="U66" s="161">
        <f>'תקציב החברה לפיתוח 2022'!U66</f>
        <v>0</v>
      </c>
      <c r="V66" s="161">
        <f>'תקציב החברה לפיתוח 2022'!V66</f>
        <v>0</v>
      </c>
      <c r="W66" s="161">
        <f>'תקציב החברה לפיתוח 2022'!W66</f>
        <v>0</v>
      </c>
      <c r="X66" s="161">
        <f>'תקציב החברה לפיתוח 2022'!X66</f>
        <v>0</v>
      </c>
      <c r="Y66" s="161">
        <f>'תקציב החברה לפיתוח 2022'!Y66</f>
        <v>0</v>
      </c>
      <c r="Z66" s="161">
        <f>'תקציב החברה לפיתוח 2022'!Z66</f>
        <v>0</v>
      </c>
      <c r="AA66" s="161">
        <f>'תקציב החברה לפיתוח 2022'!AA66</f>
        <v>0</v>
      </c>
      <c r="AB66" s="289" t="str">
        <f>'תקציב החברה לפיתוח 2022'!AB66</f>
        <v>פיתוח מתחם הרחובות אוצר הצמחים, אבן אודם, הראשונים.</v>
      </c>
      <c r="AC66" s="3">
        <v>742000</v>
      </c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</row>
    <row r="67" spans="1:55" s="5" customFormat="1" ht="60">
      <c r="A67" s="160">
        <f t="shared" si="0"/>
        <v>63</v>
      </c>
      <c r="B67" s="160">
        <f>'תקציב החברה לפיתוח 2022'!B67</f>
        <v>2109</v>
      </c>
      <c r="C67" s="289" t="str">
        <f>'תקציב החברה לפיתוח 2022'!C67</f>
        <v>רחוב הפרטיזנים</v>
      </c>
      <c r="D67" s="161">
        <f>'תקציב החברה לפיתוח 2022'!D67</f>
        <v>2000000</v>
      </c>
      <c r="E67" s="161">
        <f>'תקציב החברה לפיתוח 2022'!E67</f>
        <v>2000000</v>
      </c>
      <c r="F67" s="161">
        <f>'תקציב החברה לפיתוח 2022'!F67</f>
        <v>0</v>
      </c>
      <c r="G67" s="161">
        <f>'תקציב החברה לפיתוח 2022'!G67</f>
        <v>150000</v>
      </c>
      <c r="H67" s="161">
        <f>'תקציב החברה לפיתוח 2022'!H67</f>
        <v>18976</v>
      </c>
      <c r="I67" s="161">
        <f>'תקציב החברה לפיתוח 2022'!I67</f>
        <v>0</v>
      </c>
      <c r="J67" s="161">
        <f>'תקציב החברה לפיתוח 2022'!J67</f>
        <v>103781</v>
      </c>
      <c r="K67" s="161">
        <f>'תקציב החברה לפיתוח 2022'!K67</f>
        <v>103781</v>
      </c>
      <c r="L67" s="161">
        <f>'תקציב החברה לפיתוח 2022'!L67</f>
        <v>122757</v>
      </c>
      <c r="M67" s="161">
        <f>'תקציב החברה לפיתוח 2022'!M67</f>
        <v>377243</v>
      </c>
      <c r="N67" s="161">
        <f>'תקציב החברה לפיתוח 2022'!N67</f>
        <v>700000</v>
      </c>
      <c r="O67" s="161">
        <f>'תקציב החברה לפיתוח 2022'!O67</f>
        <v>800000</v>
      </c>
      <c r="P67" s="161">
        <f>'תקציב החברה לפיתוח 2022'!P67</f>
        <v>27243</v>
      </c>
      <c r="Q67" s="161">
        <f>'תקציב החברה לפיתוח 2022'!Q67</f>
        <v>350000</v>
      </c>
      <c r="R67" s="161">
        <f>'תקציב החברה לפיתוח 2022'!R67</f>
        <v>0</v>
      </c>
      <c r="S67" s="161">
        <f>'תקציב החברה לפיתוח 2022'!S67</f>
        <v>350000</v>
      </c>
      <c r="T67" s="161">
        <f>'תקציב החברה לפיתוח 2022'!T67</f>
        <v>0</v>
      </c>
      <c r="U67" s="161">
        <f>'תקציב החברה לפיתוח 2022'!U67</f>
        <v>700000</v>
      </c>
      <c r="V67" s="161">
        <f>'תקציב החברה לפיתוח 2022'!V67</f>
        <v>700000</v>
      </c>
      <c r="W67" s="161">
        <f>'תקציב החברה לפיתוח 2022'!W67</f>
        <v>0</v>
      </c>
      <c r="X67" s="161">
        <f>'תקציב החברה לפיתוח 2022'!X67</f>
        <v>0</v>
      </c>
      <c r="Y67" s="161">
        <f>'תקציב החברה לפיתוח 2022'!Y67</f>
        <v>0</v>
      </c>
      <c r="Z67" s="161">
        <f>'תקציב החברה לפיתוח 2022'!Z67</f>
        <v>0</v>
      </c>
      <c r="AA67" s="161">
        <f>'תקציב החברה לפיתוח 2022'!AA67</f>
        <v>0</v>
      </c>
      <c r="AB67" s="289" t="str">
        <f>'תקציב החברה לפיתוח 2022'!AB67</f>
        <v xml:space="preserve">תכנון פיתוח רחוב הפרטיזנים. מדרכה מזרחית/דרומית, עבודות ניקוז. </v>
      </c>
      <c r="AC67" s="3">
        <v>742000</v>
      </c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</row>
    <row r="68" spans="1:55" s="5" customFormat="1" ht="45">
      <c r="A68" s="160">
        <f t="shared" si="0"/>
        <v>64</v>
      </c>
      <c r="B68" s="160">
        <f>'תקציב החברה לפיתוח 2022'!B68</f>
        <v>2110</v>
      </c>
      <c r="C68" s="289" t="str">
        <f>'תקציב החברה לפיתוח 2022'!C68</f>
        <v>שיכון דרום הר' 2312</v>
      </c>
      <c r="D68" s="161">
        <f>'תקציב החברה לפיתוח 2022'!D68</f>
        <v>16000000</v>
      </c>
      <c r="E68" s="161">
        <f>'תקציב החברה לפיתוח 2022'!E68</f>
        <v>16000000</v>
      </c>
      <c r="F68" s="161">
        <f>'תקציב החברה לפיתוח 2022'!F68</f>
        <v>0</v>
      </c>
      <c r="G68" s="161">
        <f>'תקציב החברה לפיתוח 2022'!G68</f>
        <v>100000</v>
      </c>
      <c r="H68" s="161">
        <f>'תקציב החברה לפיתוח 2022'!H68</f>
        <v>0</v>
      </c>
      <c r="I68" s="161">
        <f>'תקציב החברה לפיתוח 2022'!I68</f>
        <v>0</v>
      </c>
      <c r="J68" s="161">
        <f>'תקציב החברה לפיתוח 2022'!J68</f>
        <v>0</v>
      </c>
      <c r="K68" s="161">
        <f>'תקציב החברה לפיתוח 2022'!K68</f>
        <v>0</v>
      </c>
      <c r="L68" s="161">
        <f>'תקציב החברה לפיתוח 2022'!L68</f>
        <v>0</v>
      </c>
      <c r="M68" s="161">
        <f>'תקציב החברה לפיתוח 2022'!M68</f>
        <v>200000</v>
      </c>
      <c r="N68" s="161">
        <f>'תקציב החברה לפיתוח 2022'!N68</f>
        <v>0</v>
      </c>
      <c r="O68" s="161">
        <f>'תקציב החברה לפיתוח 2022'!O68</f>
        <v>15800000</v>
      </c>
      <c r="P68" s="161">
        <f>'תקציב החברה לפיתוח 2022'!P68</f>
        <v>100000</v>
      </c>
      <c r="Q68" s="161">
        <f>'תקציב החברה לפיתוח 2022'!Q68</f>
        <v>100000</v>
      </c>
      <c r="R68" s="161">
        <f>'תקציב החברה לפיתוח 2022'!R68</f>
        <v>0</v>
      </c>
      <c r="S68" s="161">
        <f>'תקציב החברה לפיתוח 2022'!S68</f>
        <v>100000</v>
      </c>
      <c r="T68" s="161">
        <f>'תקציב החברה לפיתוח 2022'!T68</f>
        <v>0</v>
      </c>
      <c r="U68" s="161">
        <f>'תקציב החברה לפיתוח 2022'!U68</f>
        <v>0</v>
      </c>
      <c r="V68" s="161">
        <f>'תקציב החברה לפיתוח 2022'!V68</f>
        <v>0</v>
      </c>
      <c r="W68" s="161">
        <f>'תקציב החברה לפיתוח 2022'!W68</f>
        <v>0</v>
      </c>
      <c r="X68" s="161">
        <f>'תקציב החברה לפיתוח 2022'!X68</f>
        <v>0</v>
      </c>
      <c r="Y68" s="161">
        <f>'תקציב החברה לפיתוח 2022'!Y68</f>
        <v>0</v>
      </c>
      <c r="Z68" s="161">
        <f>'תקציב החברה לפיתוח 2022'!Z68</f>
        <v>0</v>
      </c>
      <c r="AA68" s="161">
        <f>'תקציב החברה לפיתוח 2022'!AA68</f>
        <v>0</v>
      </c>
      <c r="AB68" s="289" t="str">
        <f>'תקציב החברה לפיתוח 2022'!AB68</f>
        <v xml:space="preserve">תכנון פיתוח מתחם שיכון דרום. תכנון בין רח' בן גוריון-רבי עקיבא-בן יהודה. </v>
      </c>
      <c r="AC68" s="3">
        <v>742000</v>
      </c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</row>
    <row r="69" spans="1:55" s="5" customFormat="1" ht="60">
      <c r="A69" s="160">
        <f t="shared" si="0"/>
        <v>65</v>
      </c>
      <c r="B69" s="160">
        <f>'תקציב החברה לפיתוח 2022'!B69</f>
        <v>2111</v>
      </c>
      <c r="C69" s="289" t="str">
        <f>'תקציב החברה לפיתוח 2022'!C69</f>
        <v>הר מירון בר כוכבא הר' 2266</v>
      </c>
      <c r="D69" s="161">
        <f>'תקציב החברה לפיתוח 2022'!D69</f>
        <v>15200000</v>
      </c>
      <c r="E69" s="161">
        <f>'תקציב החברה לפיתוח 2022'!E69</f>
        <v>10240000</v>
      </c>
      <c r="F69" s="161">
        <f>'תקציב החברה לפיתוח 2022'!F69</f>
        <v>4960000</v>
      </c>
      <c r="G69" s="161">
        <f>'תקציב החברה לפיתוח 2022'!G69</f>
        <v>100000</v>
      </c>
      <c r="H69" s="161">
        <f>'תקציב החברה לפיתוח 2022'!H69</f>
        <v>0</v>
      </c>
      <c r="I69" s="161">
        <f>'תקציב החברה לפיתוח 2022'!I69</f>
        <v>0</v>
      </c>
      <c r="J69" s="161">
        <f>'תקציב החברה לפיתוח 2022'!J69</f>
        <v>0</v>
      </c>
      <c r="K69" s="161">
        <f>'תקציב החברה לפיתוח 2022'!K69</f>
        <v>0</v>
      </c>
      <c r="L69" s="161">
        <f>'תקציב החברה לפיתוח 2022'!L69</f>
        <v>0</v>
      </c>
      <c r="M69" s="161">
        <f>'תקציב החברה לפיתוח 2022'!M69</f>
        <v>200000</v>
      </c>
      <c r="N69" s="161">
        <f>'תקציב החברה לפיתוח 2022'!N69</f>
        <v>300000</v>
      </c>
      <c r="O69" s="161">
        <f>'תקציב החברה לפיתוח 2022'!O69</f>
        <v>14700000</v>
      </c>
      <c r="P69" s="161">
        <f>'תקציב החברה לפיתוח 2022'!P69</f>
        <v>100000</v>
      </c>
      <c r="Q69" s="161">
        <f>'תקציב החברה לפיתוח 2022'!Q69</f>
        <v>100000</v>
      </c>
      <c r="R69" s="161">
        <f>'תקציב החברה לפיתוח 2022'!R69</f>
        <v>0</v>
      </c>
      <c r="S69" s="161">
        <f>'תקציב החברה לפיתוח 2022'!S69</f>
        <v>100000</v>
      </c>
      <c r="T69" s="161">
        <f>'תקציב החברה לפיתוח 2022'!T69</f>
        <v>0</v>
      </c>
      <c r="U69" s="161">
        <f>'תקציב החברה לפיתוח 2022'!U69</f>
        <v>300000</v>
      </c>
      <c r="V69" s="161">
        <f>'תקציב החברה לפיתוח 2022'!V69</f>
        <v>300000</v>
      </c>
      <c r="W69" s="161">
        <f>'תקציב החברה לפיתוח 2022'!W69</f>
        <v>0</v>
      </c>
      <c r="X69" s="161">
        <f>'תקציב החברה לפיתוח 2022'!X69</f>
        <v>0</v>
      </c>
      <c r="Y69" s="161">
        <f>'תקציב החברה לפיתוח 2022'!Y69</f>
        <v>0</v>
      </c>
      <c r="Z69" s="161">
        <f>'תקציב החברה לפיתוח 2022'!Z69</f>
        <v>0</v>
      </c>
      <c r="AA69" s="161">
        <f>'תקציב החברה לפיתוח 2022'!AA69</f>
        <v>0</v>
      </c>
      <c r="AB69" s="289" t="str">
        <f>'תקציב החברה לפיתוח 2022'!AB69</f>
        <v xml:space="preserve">תכנון פיתוח הרחובות הר מירון בר כוכבא בעקבות אישור תוכנית התחדשות עירונית. </v>
      </c>
      <c r="AC69" s="3">
        <v>742000</v>
      </c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</row>
    <row r="70" spans="1:55" s="6" customFormat="1" ht="75">
      <c r="A70" s="160">
        <f t="shared" si="0"/>
        <v>66</v>
      </c>
      <c r="B70" s="160">
        <f>'תקציב החברה לפיתוח 2022'!B70</f>
        <v>2115</v>
      </c>
      <c r="C70" s="289" t="str">
        <f>'תקציב החברה לפיתוח 2022'!C70</f>
        <v>תוכנית מתאר איזור התעסוקה הר/2440</v>
      </c>
      <c r="D70" s="161">
        <f>'תקציב החברה לפיתוח 2022'!D70</f>
        <v>3100000</v>
      </c>
      <c r="E70" s="161">
        <f>'תקציב החברה לפיתוח 2022'!E70</f>
        <v>3100000</v>
      </c>
      <c r="F70" s="161">
        <f>'תקציב החברה לפיתוח 2022'!F70</f>
        <v>0</v>
      </c>
      <c r="G70" s="161">
        <f>'תקציב החברה לפיתוח 2022'!G70</f>
        <v>2000000</v>
      </c>
      <c r="H70" s="161">
        <f>'תקציב החברה לפיתוח 2022'!H70</f>
        <v>1139002</v>
      </c>
      <c r="I70" s="161">
        <f>'תקציב החברה לפיתוח 2022'!I70</f>
        <v>0</v>
      </c>
      <c r="J70" s="161">
        <f>'תקציב החברה לפיתוח 2022'!J70</f>
        <v>102262</v>
      </c>
      <c r="K70" s="161">
        <f>'תקציב החברה לפיתוח 2022'!K70</f>
        <v>102262</v>
      </c>
      <c r="L70" s="161">
        <f>'תקציב החברה לפיתוח 2022'!L70</f>
        <v>1241264</v>
      </c>
      <c r="M70" s="161">
        <f>'תקציב החברה לפיתוח 2022'!M70</f>
        <v>1858736</v>
      </c>
      <c r="N70" s="161">
        <f>'תקציב החברה לפיתוח 2022'!N70</f>
        <v>0</v>
      </c>
      <c r="O70" s="161">
        <f>'תקציב החברה לפיתוח 2022'!O70</f>
        <v>0</v>
      </c>
      <c r="P70" s="161">
        <f>'תקציב החברה לפיתוח 2022'!P70</f>
        <v>758736</v>
      </c>
      <c r="Q70" s="161">
        <f>'תקציב החברה לפיתוח 2022'!Q70</f>
        <v>1100000</v>
      </c>
      <c r="R70" s="161">
        <f>'תקציב החברה לפיתוח 2022'!R70</f>
        <v>0</v>
      </c>
      <c r="S70" s="161">
        <f>'תקציב החברה לפיתוח 2022'!S70</f>
        <v>1100000</v>
      </c>
      <c r="T70" s="161">
        <f>'תקציב החברה לפיתוח 2022'!T70</f>
        <v>0</v>
      </c>
      <c r="U70" s="161">
        <f>'תקציב החברה לפיתוח 2022'!U70</f>
        <v>0</v>
      </c>
      <c r="V70" s="161">
        <f>'תקציב החברה לפיתוח 2022'!V70</f>
        <v>0</v>
      </c>
      <c r="W70" s="161">
        <f>'תקציב החברה לפיתוח 2022'!W70</f>
        <v>0</v>
      </c>
      <c r="X70" s="161">
        <f>'תקציב החברה לפיתוח 2022'!X70</f>
        <v>0</v>
      </c>
      <c r="Y70" s="161">
        <f>'תקציב החברה לפיתוח 2022'!Y70</f>
        <v>0</v>
      </c>
      <c r="Z70" s="161">
        <f>'תקציב החברה לפיתוח 2022'!Z70</f>
        <v>0</v>
      </c>
      <c r="AA70" s="161">
        <f>'תקציב החברה לפיתוח 2022'!AA70</f>
        <v>0</v>
      </c>
      <c r="AB70" s="289" t="str">
        <f>'תקציב החברה לפיתוח 2022'!AB70</f>
        <v xml:space="preserve">הפיכת תוכנית אסטרטגית  לתוכנית סטטוטורית, לתוכנית מתאר בועדה המחוזית בהתאם ליו"ר הועדה המחוזית. </v>
      </c>
      <c r="AC70" s="3">
        <v>732000</v>
      </c>
      <c r="AD70" s="154"/>
      <c r="AE70" s="154"/>
      <c r="AF70" s="154"/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54"/>
      <c r="BA70" s="154"/>
      <c r="BB70" s="154"/>
      <c r="BC70" s="154"/>
    </row>
    <row r="71" spans="1:55" s="6" customFormat="1" ht="45">
      <c r="A71" s="160">
        <f t="shared" ref="A71:A111" si="1">A70+1</f>
        <v>67</v>
      </c>
      <c r="B71" s="160">
        <f>'תקציב החברה לפיתוח 2022'!B71</f>
        <v>2118</v>
      </c>
      <c r="C71" s="289" t="str">
        <f>'תקציב החברה לפיתוח 2022'!C71</f>
        <v>שצ"פ דליה רביקוביץ בשכונת אלתרמן (הר/1920)</v>
      </c>
      <c r="D71" s="161">
        <f>'תקציב החברה לפיתוח 2022'!D71</f>
        <v>2600000</v>
      </c>
      <c r="E71" s="161">
        <f>'תקציב החברה לפיתוח 2022'!E71</f>
        <v>2600000</v>
      </c>
      <c r="F71" s="161">
        <f>'תקציב החברה לפיתוח 2022'!F71</f>
        <v>0</v>
      </c>
      <c r="G71" s="161">
        <f>'תקציב החברה לפיתוח 2022'!G71</f>
        <v>2600000</v>
      </c>
      <c r="H71" s="161">
        <f>'תקציב החברה לפיתוח 2022'!H71</f>
        <v>2020883</v>
      </c>
      <c r="I71" s="161">
        <f>'תקציב החברה לפיתוח 2022'!I71</f>
        <v>0</v>
      </c>
      <c r="J71" s="161">
        <f>'תקציב החברה לפיתוח 2022'!J71</f>
        <v>214849</v>
      </c>
      <c r="K71" s="161">
        <f>'תקציב החברה לפיתוח 2022'!K71</f>
        <v>214849</v>
      </c>
      <c r="L71" s="161">
        <f>'תקציב החברה לפיתוח 2022'!L71</f>
        <v>2235732</v>
      </c>
      <c r="M71" s="161">
        <f>'תקציב החברה לפיתוח 2022'!M71</f>
        <v>364268</v>
      </c>
      <c r="N71" s="161">
        <f>'תקציב החברה לפיתוח 2022'!N71</f>
        <v>0</v>
      </c>
      <c r="O71" s="161">
        <f>'תקציב החברה לפיתוח 2022'!O71</f>
        <v>0</v>
      </c>
      <c r="P71" s="161">
        <f>'תקציב החברה לפיתוח 2022'!P71</f>
        <v>364268</v>
      </c>
      <c r="Q71" s="161">
        <f>'תקציב החברה לפיתוח 2022'!Q71</f>
        <v>0</v>
      </c>
      <c r="R71" s="161">
        <f>'תקציב החברה לפיתוח 2022'!R71</f>
        <v>0</v>
      </c>
      <c r="S71" s="161">
        <f>'תקציב החברה לפיתוח 2022'!S71</f>
        <v>0</v>
      </c>
      <c r="T71" s="161">
        <f>'תקציב החברה לפיתוח 2022'!T71</f>
        <v>0</v>
      </c>
      <c r="U71" s="161">
        <f>'תקציב החברה לפיתוח 2022'!U71</f>
        <v>0</v>
      </c>
      <c r="V71" s="161">
        <f>'תקציב החברה לפיתוח 2022'!V71</f>
        <v>0</v>
      </c>
      <c r="W71" s="161">
        <f>'תקציב החברה לפיתוח 2022'!W71</f>
        <v>0</v>
      </c>
      <c r="X71" s="161">
        <f>'תקציב החברה לפיתוח 2022'!X71</f>
        <v>0</v>
      </c>
      <c r="Y71" s="161">
        <f>'תקציב החברה לפיתוח 2022'!Y71</f>
        <v>0</v>
      </c>
      <c r="Z71" s="161">
        <f>'תקציב החברה לפיתוח 2022'!Z71</f>
        <v>0</v>
      </c>
      <c r="AA71" s="161">
        <f>'תקציב החברה לפיתוח 2022'!AA71</f>
        <v>0</v>
      </c>
      <c r="AB71" s="289" t="str">
        <f>'תקציב החברה לפיתוח 2022'!AB71</f>
        <v xml:space="preserve">ביצוע שצ"פ בקטע רח' דליה רביקוביץ פינת אסתר רהב. </v>
      </c>
      <c r="AC71" s="3">
        <v>746000</v>
      </c>
      <c r="AD71" s="154"/>
      <c r="AE71" s="154"/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</row>
    <row r="72" spans="1:55" s="5" customFormat="1" ht="60">
      <c r="A72" s="160">
        <f t="shared" si="1"/>
        <v>68</v>
      </c>
      <c r="B72" s="160">
        <f>'תקציב החברה לפיתוח 2022'!B72</f>
        <v>2119</v>
      </c>
      <c r="C72" s="289" t="str">
        <f>'תקציב החברה לפיתוח 2022'!C72</f>
        <v>שביל מתחם העצמאות הרב גורן הבנים</v>
      </c>
      <c r="D72" s="161">
        <f>'תקציב החברה לפיתוח 2022'!D72</f>
        <v>2500000</v>
      </c>
      <c r="E72" s="161">
        <f>'תקציב החברה לפיתוח 2022'!E72</f>
        <v>2500000</v>
      </c>
      <c r="F72" s="161">
        <f>'תקציב החברה לפיתוח 2022'!F72</f>
        <v>0</v>
      </c>
      <c r="G72" s="161">
        <f>'תקציב החברה לפיתוח 2022'!G72</f>
        <v>1100000</v>
      </c>
      <c r="H72" s="161">
        <f>'תקציב החברה לפיתוח 2022'!H72</f>
        <v>110870</v>
      </c>
      <c r="I72" s="161">
        <f>'תקציב החברה לפיתוח 2022'!I72</f>
        <v>0</v>
      </c>
      <c r="J72" s="161">
        <f>'תקציב החברה לפיתוח 2022'!J72</f>
        <v>0</v>
      </c>
      <c r="K72" s="161">
        <f>'תקציב החברה לפיתוח 2022'!K72</f>
        <v>0</v>
      </c>
      <c r="L72" s="161">
        <f>'תקציב החברה לפיתוח 2022'!L72</f>
        <v>110870</v>
      </c>
      <c r="M72" s="161">
        <f>'תקציב החברה לפיתוח 2022'!M72</f>
        <v>989130</v>
      </c>
      <c r="N72" s="161">
        <f>'תקציב החברה לפיתוח 2022'!N72</f>
        <v>0</v>
      </c>
      <c r="O72" s="161">
        <f>'תקציב החברה לפיתוח 2022'!O72</f>
        <v>1400000</v>
      </c>
      <c r="P72" s="161">
        <f>'תקציב החברה לפיתוח 2022'!P72</f>
        <v>989130</v>
      </c>
      <c r="Q72" s="161">
        <f>'תקציב החברה לפיתוח 2022'!Q72</f>
        <v>0</v>
      </c>
      <c r="R72" s="161">
        <f>'תקציב החברה לפיתוח 2022'!R72</f>
        <v>0</v>
      </c>
      <c r="S72" s="161">
        <f>'תקציב החברה לפיתוח 2022'!S72</f>
        <v>0</v>
      </c>
      <c r="T72" s="161">
        <f>'תקציב החברה לפיתוח 2022'!T72</f>
        <v>0</v>
      </c>
      <c r="U72" s="161">
        <f>'תקציב החברה לפיתוח 2022'!U72</f>
        <v>0</v>
      </c>
      <c r="V72" s="161">
        <f>'תקציב החברה לפיתוח 2022'!V72</f>
        <v>0</v>
      </c>
      <c r="W72" s="161">
        <f>'תקציב החברה לפיתוח 2022'!W72</f>
        <v>0</v>
      </c>
      <c r="X72" s="161">
        <f>'תקציב החברה לפיתוח 2022'!X72</f>
        <v>0</v>
      </c>
      <c r="Y72" s="161">
        <f>'תקציב החברה לפיתוח 2022'!Y72</f>
        <v>0</v>
      </c>
      <c r="Z72" s="161">
        <f>'תקציב החברה לפיתוח 2022'!Z72</f>
        <v>0</v>
      </c>
      <c r="AA72" s="161">
        <f>'תקציב החברה לפיתוח 2022'!AA72</f>
        <v>0</v>
      </c>
      <c r="AB72" s="289" t="str">
        <f>'תקציב החברה לפיתוח 2022'!AB72</f>
        <v>עבודות פיתוח מערך שבילים בין הרחובות העצמאות הרב גורן ורחוב הבנים.</v>
      </c>
      <c r="AC72" s="3">
        <v>742000</v>
      </c>
      <c r="AD72" s="154"/>
      <c r="AE72" s="154"/>
      <c r="AF72" s="154"/>
      <c r="AG72" s="154"/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4"/>
      <c r="BB72" s="154"/>
      <c r="BC72" s="154"/>
    </row>
    <row r="73" spans="1:55" s="5" customFormat="1" ht="25.15" customHeight="1">
      <c r="A73" s="160">
        <f t="shared" si="1"/>
        <v>69</v>
      </c>
      <c r="B73" s="160">
        <f>'תקציב החברה לפיתוח 2022'!B73</f>
        <v>2126</v>
      </c>
      <c r="C73" s="289" t="str">
        <f>'תקציב החברה לפיתוח 2022'!C73</f>
        <v>כיכר העוגן השונית</v>
      </c>
      <c r="D73" s="161">
        <f>'תקציב החברה לפיתוח 2022'!D73</f>
        <v>1975000</v>
      </c>
      <c r="E73" s="161">
        <f>'תקציב החברה לפיתוח 2022'!E73</f>
        <v>1975000</v>
      </c>
      <c r="F73" s="161">
        <f>'תקציב החברה לפיתוח 2022'!F73</f>
        <v>0</v>
      </c>
      <c r="G73" s="161">
        <f>'תקציב החברה לפיתוח 2022'!G73</f>
        <v>0</v>
      </c>
      <c r="H73" s="161">
        <f>'תקציב החברה לפיתוח 2022'!H73</f>
        <v>0</v>
      </c>
      <c r="I73" s="161">
        <f>'תקציב החברה לפיתוח 2022'!I73</f>
        <v>0</v>
      </c>
      <c r="J73" s="161">
        <f>'תקציב החברה לפיתוח 2022'!J73</f>
        <v>0</v>
      </c>
      <c r="K73" s="161">
        <f>'תקציב החברה לפיתוח 2022'!K73</f>
        <v>0</v>
      </c>
      <c r="L73" s="161">
        <f>'תקציב החברה לפיתוח 2022'!L73</f>
        <v>0</v>
      </c>
      <c r="M73" s="161">
        <f>'תקציב החברה לפיתוח 2022'!M73</f>
        <v>0</v>
      </c>
      <c r="N73" s="161">
        <f>'תקציב החברה לפיתוח 2022'!N73</f>
        <v>0</v>
      </c>
      <c r="O73" s="161">
        <f>'תקציב החברה לפיתוח 2022'!O73</f>
        <v>1975000</v>
      </c>
      <c r="P73" s="161">
        <f>'תקציב החברה לפיתוח 2022'!P73</f>
        <v>0</v>
      </c>
      <c r="Q73" s="161">
        <f>'תקציב החברה לפיתוח 2022'!Q73</f>
        <v>0</v>
      </c>
      <c r="R73" s="161">
        <f>'תקציב החברה לפיתוח 2022'!R73</f>
        <v>0</v>
      </c>
      <c r="S73" s="161">
        <f>'תקציב החברה לפיתוח 2022'!S73</f>
        <v>0</v>
      </c>
      <c r="T73" s="161">
        <f>'תקציב החברה לפיתוח 2022'!T73</f>
        <v>0</v>
      </c>
      <c r="U73" s="161">
        <f>'תקציב החברה לפיתוח 2022'!U73</f>
        <v>0</v>
      </c>
      <c r="V73" s="161">
        <f>'תקציב החברה לפיתוח 2022'!V73</f>
        <v>0</v>
      </c>
      <c r="W73" s="161">
        <f>'תקציב החברה לפיתוח 2022'!W73</f>
        <v>0</v>
      </c>
      <c r="X73" s="161">
        <f>'תקציב החברה לפיתוח 2022'!X73</f>
        <v>0</v>
      </c>
      <c r="Y73" s="161">
        <f>'תקציב החברה לפיתוח 2022'!Y73</f>
        <v>0</v>
      </c>
      <c r="Z73" s="161">
        <f>'תקציב החברה לפיתוח 2022'!Z73</f>
        <v>0</v>
      </c>
      <c r="AA73" s="161">
        <f>'תקציב החברה לפיתוח 2022'!AA73</f>
        <v>0</v>
      </c>
      <c r="AB73" s="289" t="str">
        <f>'תקציב החברה לפיתוח 2022'!AB73</f>
        <v xml:space="preserve">מימון מ. התחבורה. </v>
      </c>
      <c r="AC73" s="3">
        <v>742000</v>
      </c>
      <c r="AD73" s="154"/>
      <c r="AE73" s="154"/>
      <c r="AF73" s="154"/>
      <c r="AG73" s="154"/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</row>
    <row r="74" spans="1:55" s="6" customFormat="1" ht="60">
      <c r="A74" s="160">
        <f t="shared" si="1"/>
        <v>70</v>
      </c>
      <c r="B74" s="160">
        <f>'תקציב החברה לפיתוח 2022'!B74</f>
        <v>2127</v>
      </c>
      <c r="C74" s="289" t="str">
        <f>'תקציב החברה לפיתוח 2022'!C74</f>
        <v>הגנה על מצוקי הים</v>
      </c>
      <c r="D74" s="161">
        <f>'תקציב החברה לפיתוח 2022'!D74</f>
        <v>2259000</v>
      </c>
      <c r="E74" s="161">
        <f>'תקציב החברה לפיתוח 2022'!E74</f>
        <v>2259000</v>
      </c>
      <c r="F74" s="161">
        <f>'תקציב החברה לפיתוח 2022'!F74</f>
        <v>0</v>
      </c>
      <c r="G74" s="161">
        <f>'תקציב החברה לפיתוח 2022'!G74</f>
        <v>1000000</v>
      </c>
      <c r="H74" s="161">
        <f>'תקציב החברה לפיתוח 2022'!H74</f>
        <v>252909</v>
      </c>
      <c r="I74" s="161">
        <f>'תקציב החברה לפיתוח 2022'!I74</f>
        <v>0</v>
      </c>
      <c r="J74" s="161">
        <f>'תקציב החברה לפיתוח 2022'!J74</f>
        <v>746171</v>
      </c>
      <c r="K74" s="161">
        <f>'תקציב החברה לפיתוח 2022'!K74</f>
        <v>746171</v>
      </c>
      <c r="L74" s="161">
        <f>'תקציב החברה לפיתוח 2022'!L74</f>
        <v>999080</v>
      </c>
      <c r="M74" s="161">
        <f>'תקציב החברה לפיתוח 2022'!M74</f>
        <v>920</v>
      </c>
      <c r="N74" s="161">
        <f>'תקציב החברה לפיתוח 2022'!N74</f>
        <v>1259000</v>
      </c>
      <c r="O74" s="161">
        <f>'תקציב החברה לפיתוח 2022'!O74</f>
        <v>0</v>
      </c>
      <c r="P74" s="161">
        <f>'תקציב החברה לפיתוח 2022'!P74</f>
        <v>920</v>
      </c>
      <c r="Q74" s="161">
        <f>'תקציב החברה לפיתוח 2022'!Q74</f>
        <v>0</v>
      </c>
      <c r="R74" s="161">
        <f>'תקציב החברה לפיתוח 2022'!R74</f>
        <v>0</v>
      </c>
      <c r="S74" s="161">
        <f>'תקציב החברה לפיתוח 2022'!S74</f>
        <v>0</v>
      </c>
      <c r="T74" s="161">
        <f>'תקציב החברה לפיתוח 2022'!T74</f>
        <v>0</v>
      </c>
      <c r="U74" s="161">
        <f>'תקציב החברה לפיתוח 2022'!U74</f>
        <v>1259000</v>
      </c>
      <c r="V74" s="161">
        <f>'תקציב החברה לפיתוח 2022'!V74</f>
        <v>0</v>
      </c>
      <c r="W74" s="161">
        <f>'תקציב החברה לפיתוח 2022'!W74</f>
        <v>0</v>
      </c>
      <c r="X74" s="161">
        <f>'תקציב החברה לפיתוח 2022'!X74</f>
        <v>0</v>
      </c>
      <c r="Y74" s="161">
        <f>'תקציב החברה לפיתוח 2022'!Y74</f>
        <v>0</v>
      </c>
      <c r="Z74" s="161">
        <f>'תקציב החברה לפיתוח 2022'!Z74</f>
        <v>0</v>
      </c>
      <c r="AA74" s="161">
        <f>'תקציב החברה לפיתוח 2022'!AA74</f>
        <v>1259000</v>
      </c>
      <c r="AB74" s="289" t="str">
        <f>'תקציב החברה לפיתוח 2022'!AB74</f>
        <v xml:space="preserve">גיבוש תוכנית פעולות לעבודות הגנה על מצוקי חופי הים . 2022: המשך תכנון. מימון מ. הפנים. </v>
      </c>
      <c r="AC74" s="3">
        <v>747000</v>
      </c>
      <c r="AD74" s="154"/>
      <c r="AE74" s="154"/>
      <c r="AF74" s="154"/>
      <c r="AG74" s="154"/>
      <c r="AH74" s="154"/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</row>
    <row r="75" spans="1:55" s="6" customFormat="1" ht="45">
      <c r="A75" s="160">
        <f t="shared" si="1"/>
        <v>71</v>
      </c>
      <c r="B75" s="160">
        <f>'תקציב החברה לפיתוח 2022'!B75</f>
        <v>2130</v>
      </c>
      <c r="C75" s="289" t="str">
        <f>'תקציב החברה לפיתוח 2022'!C75</f>
        <v>עיצוב חצר לימודית בי"ס גורדון</v>
      </c>
      <c r="D75" s="161">
        <f>'תקציב החברה לפיתוח 2022'!D75</f>
        <v>500000</v>
      </c>
      <c r="E75" s="161">
        <f>'תקציב החברה לפיתוח 2022'!E75</f>
        <v>500000</v>
      </c>
      <c r="F75" s="161">
        <f>'תקציב החברה לפיתוח 2022'!F75</f>
        <v>0</v>
      </c>
      <c r="G75" s="161">
        <f>'תקציב החברה לפיתוח 2022'!G75</f>
        <v>500000</v>
      </c>
      <c r="H75" s="161">
        <f>'תקציב החברה לפיתוח 2022'!H75</f>
        <v>7441</v>
      </c>
      <c r="I75" s="161">
        <f>'תקציב החברה לפיתוח 2022'!I75</f>
        <v>0</v>
      </c>
      <c r="J75" s="161">
        <f>'תקציב החברה לפיתוח 2022'!J75</f>
        <v>0</v>
      </c>
      <c r="K75" s="161">
        <f>'תקציב החברה לפיתוח 2022'!K75</f>
        <v>0</v>
      </c>
      <c r="L75" s="161">
        <f>'תקציב החברה לפיתוח 2022'!L75</f>
        <v>7441</v>
      </c>
      <c r="M75" s="161">
        <f>'תקציב החברה לפיתוח 2022'!M75</f>
        <v>492559</v>
      </c>
      <c r="N75" s="161">
        <f>'תקציב החברה לפיתוח 2022'!N75</f>
        <v>0</v>
      </c>
      <c r="O75" s="161">
        <f>'תקציב החברה לפיתוח 2022'!O75</f>
        <v>0</v>
      </c>
      <c r="P75" s="161">
        <f>'תקציב החברה לפיתוח 2022'!P75</f>
        <v>492559</v>
      </c>
      <c r="Q75" s="161">
        <f>'תקציב החברה לפיתוח 2022'!Q75</f>
        <v>0</v>
      </c>
      <c r="R75" s="161">
        <f>'תקציב החברה לפיתוח 2022'!R75</f>
        <v>0</v>
      </c>
      <c r="S75" s="161">
        <f>'תקציב החברה לפיתוח 2022'!S75</f>
        <v>0</v>
      </c>
      <c r="T75" s="161">
        <f>'תקציב החברה לפיתוח 2022'!T75</f>
        <v>0</v>
      </c>
      <c r="U75" s="161">
        <f>'תקציב החברה לפיתוח 2022'!U75</f>
        <v>0</v>
      </c>
      <c r="V75" s="161">
        <f>'תקציב החברה לפיתוח 2022'!V75</f>
        <v>0</v>
      </c>
      <c r="W75" s="161">
        <f>'תקציב החברה לפיתוח 2022'!W75</f>
        <v>0</v>
      </c>
      <c r="X75" s="161">
        <f>'תקציב החברה לפיתוח 2022'!X75</f>
        <v>0</v>
      </c>
      <c r="Y75" s="161">
        <f>'תקציב החברה לפיתוח 2022'!Y75</f>
        <v>0</v>
      </c>
      <c r="Z75" s="161">
        <f>'תקציב החברה לפיתוח 2022'!Z75</f>
        <v>0</v>
      </c>
      <c r="AA75" s="161">
        <f>'תקציב החברה לפיתוח 2022'!AA75</f>
        <v>0</v>
      </c>
      <c r="AB75" s="289" t="str">
        <f>'תקציב החברה לפיתוח 2022'!AB75</f>
        <v xml:space="preserve">עיצוב חצר לימודית בי"ס גורדון. מימון חלקי מ. החינוך. </v>
      </c>
      <c r="AC75" s="3">
        <v>810000</v>
      </c>
      <c r="AD75" s="154"/>
      <c r="AE75" s="154"/>
      <c r="AF75" s="154"/>
      <c r="AG75" s="154"/>
      <c r="AH75" s="154"/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54"/>
      <c r="AY75" s="154"/>
      <c r="AZ75" s="154"/>
      <c r="BA75" s="154"/>
      <c r="BB75" s="154"/>
      <c r="BC75" s="154"/>
    </row>
    <row r="76" spans="1:55" s="5" customFormat="1" ht="45">
      <c r="A76" s="160">
        <f t="shared" si="1"/>
        <v>72</v>
      </c>
      <c r="B76" s="160">
        <f>'תקציב החברה לפיתוח 2022'!B76</f>
        <v>2147</v>
      </c>
      <c r="C76" s="289" t="str">
        <f>'תקציב החברה לפיתוח 2022'!C76</f>
        <v>השלמת 6 כיתות בנבון</v>
      </c>
      <c r="D76" s="161">
        <f>'תקציב החברה לפיתוח 2022'!D76</f>
        <v>5500000</v>
      </c>
      <c r="E76" s="161">
        <f>'תקציב החברה לפיתוח 2022'!E76</f>
        <v>6500000</v>
      </c>
      <c r="F76" s="161">
        <f>'תקציב החברה לפיתוח 2022'!F76</f>
        <v>-1000000</v>
      </c>
      <c r="G76" s="161">
        <f>'תקציב החברה לפיתוח 2022'!G76</f>
        <v>6500000</v>
      </c>
      <c r="H76" s="161">
        <f>'תקציב החברה לפיתוח 2022'!H76</f>
        <v>4570582</v>
      </c>
      <c r="I76" s="161">
        <f>'תקציב החברה לפיתוח 2022'!I76</f>
        <v>0</v>
      </c>
      <c r="J76" s="161">
        <f>'תקציב החברה לפיתוח 2022'!J76</f>
        <v>383745</v>
      </c>
      <c r="K76" s="161">
        <f>'תקציב החברה לפיתוח 2022'!K76</f>
        <v>383745</v>
      </c>
      <c r="L76" s="161">
        <f>'תקציב החברה לפיתוח 2022'!L76</f>
        <v>4954327</v>
      </c>
      <c r="M76" s="161">
        <f>'תקציב החברה לפיתוח 2022'!M76</f>
        <v>545673</v>
      </c>
      <c r="N76" s="161">
        <f>'תקציב החברה לפיתוח 2022'!N76</f>
        <v>0</v>
      </c>
      <c r="O76" s="161">
        <f>'תקציב החברה לפיתוח 2022'!O76</f>
        <v>0</v>
      </c>
      <c r="P76" s="161">
        <f>'תקציב החברה לפיתוח 2022'!P76</f>
        <v>1545673</v>
      </c>
      <c r="Q76" s="161">
        <f>'תקציב החברה לפיתוח 2022'!Q76</f>
        <v>0</v>
      </c>
      <c r="R76" s="161">
        <f>'תקציב החברה לפיתוח 2022'!R76</f>
        <v>0</v>
      </c>
      <c r="S76" s="161">
        <f>'תקציב החברה לפיתוח 2022'!S76</f>
        <v>0</v>
      </c>
      <c r="T76" s="161">
        <f>'תקציב החברה לפיתוח 2022'!T76</f>
        <v>1000000</v>
      </c>
      <c r="U76" s="161">
        <f>'תקציב החברה לפיתוח 2022'!U76</f>
        <v>-1000000</v>
      </c>
      <c r="V76" s="161">
        <f>'תקציב החברה לפיתוח 2022'!V76</f>
        <v>-1000000</v>
      </c>
      <c r="W76" s="161">
        <f>'תקציב החברה לפיתוח 2022'!W76</f>
        <v>0</v>
      </c>
      <c r="X76" s="161">
        <f>'תקציב החברה לפיתוח 2022'!X76</f>
        <v>0</v>
      </c>
      <c r="Y76" s="161">
        <f>'תקציב החברה לפיתוח 2022'!Y76</f>
        <v>0</v>
      </c>
      <c r="Z76" s="161">
        <f>'תקציב החברה לפיתוח 2022'!Z76</f>
        <v>0</v>
      </c>
      <c r="AA76" s="161">
        <f>'תקציב החברה לפיתוח 2022'!AA76</f>
        <v>0</v>
      </c>
      <c r="AB76" s="289" t="str">
        <f>'תקציב החברה לפיתוח 2022'!AB76</f>
        <v>הוספת 6 כיתות כולל מיקלוט במתחם בי"ס נבון. ח-ן סופיים.</v>
      </c>
      <c r="AC76" s="3">
        <v>810000</v>
      </c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</row>
    <row r="77" spans="1:55" s="5" customFormat="1" ht="60">
      <c r="A77" s="160">
        <f t="shared" si="1"/>
        <v>73</v>
      </c>
      <c r="B77" s="160">
        <f>'תקציב החברה לפיתוח 2022'!B77</f>
        <v>2149</v>
      </c>
      <c r="C77" s="289" t="str">
        <f>'תקציב החברה לפיתוח 2022'!C77</f>
        <v>בחינת התכנות לגנ"י חדשים במתחמים שונים</v>
      </c>
      <c r="D77" s="161">
        <f>'תקציב החברה לפיתוח 2022'!D77</f>
        <v>2000000</v>
      </c>
      <c r="E77" s="161">
        <f>'תקציב החברה לפיתוח 2022'!E77</f>
        <v>2000000</v>
      </c>
      <c r="F77" s="161">
        <f>'תקציב החברה לפיתוח 2022'!F77</f>
        <v>0</v>
      </c>
      <c r="G77" s="161">
        <f>'תקציב החברה לפיתוח 2022'!G77</f>
        <v>2000000</v>
      </c>
      <c r="H77" s="161">
        <f>'תקציב החברה לפיתוח 2022'!H77</f>
        <v>348809</v>
      </c>
      <c r="I77" s="161">
        <f>'תקציב החברה לפיתוח 2022'!I77</f>
        <v>0</v>
      </c>
      <c r="J77" s="161">
        <f>'תקציב החברה לפיתוח 2022'!J77</f>
        <v>148526</v>
      </c>
      <c r="K77" s="161">
        <f>'תקציב החברה לפיתוח 2022'!K77</f>
        <v>148526</v>
      </c>
      <c r="L77" s="161">
        <f>'תקציב החברה לפיתוח 2022'!L77</f>
        <v>497335</v>
      </c>
      <c r="M77" s="161">
        <f>'תקציב החברה לפיתוח 2022'!M77</f>
        <v>1502665</v>
      </c>
      <c r="N77" s="161">
        <f>'תקציב החברה לפיתוח 2022'!N77</f>
        <v>0</v>
      </c>
      <c r="O77" s="161">
        <f>'תקציב החברה לפיתוח 2022'!O77</f>
        <v>0</v>
      </c>
      <c r="P77" s="161">
        <f>'תקציב החברה לפיתוח 2022'!P77</f>
        <v>1502665</v>
      </c>
      <c r="Q77" s="161">
        <f>'תקציב החברה לפיתוח 2022'!Q77</f>
        <v>0</v>
      </c>
      <c r="R77" s="161">
        <f>'תקציב החברה לפיתוח 2022'!R77</f>
        <v>0</v>
      </c>
      <c r="S77" s="161">
        <f>'תקציב החברה לפיתוח 2022'!S77</f>
        <v>0</v>
      </c>
      <c r="T77" s="161">
        <f>'תקציב החברה לפיתוח 2022'!T77</f>
        <v>0</v>
      </c>
      <c r="U77" s="161">
        <f>'תקציב החברה לפיתוח 2022'!U77</f>
        <v>0</v>
      </c>
      <c r="V77" s="161">
        <f>'תקציב החברה לפיתוח 2022'!V77</f>
        <v>0</v>
      </c>
      <c r="W77" s="161">
        <f>'תקציב החברה לפיתוח 2022'!W77</f>
        <v>0</v>
      </c>
      <c r="X77" s="161">
        <f>'תקציב החברה לפיתוח 2022'!X77</f>
        <v>0</v>
      </c>
      <c r="Y77" s="161">
        <f>'תקציב החברה לפיתוח 2022'!Y77</f>
        <v>0</v>
      </c>
      <c r="Z77" s="161">
        <f>'תקציב החברה לפיתוח 2022'!Z77</f>
        <v>0</v>
      </c>
      <c r="AA77" s="161">
        <f>'תקציב החברה לפיתוח 2022'!AA77</f>
        <v>0</v>
      </c>
      <c r="AB77" s="289" t="str">
        <f>'תקציב החברה לפיתוח 2022'!AB77</f>
        <v xml:space="preserve">בדיקת התכנות לבניית גנ"י במתחמים שונים ברחבי העיר בהתאם לצרכים העירוניים מעת לעת. </v>
      </c>
      <c r="AC77" s="3">
        <v>810000</v>
      </c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</row>
    <row r="78" spans="1:55" s="5" customFormat="1" ht="60">
      <c r="A78" s="160">
        <f t="shared" si="1"/>
        <v>74</v>
      </c>
      <c r="B78" s="160">
        <f>'תקציב החברה לפיתוח 2022'!B78</f>
        <v>2150</v>
      </c>
      <c r="C78" s="289" t="str">
        <f>'תקציב החברה לפיתוח 2022'!C78</f>
        <v xml:space="preserve">שצ"פים במתחם הר 1960 </v>
      </c>
      <c r="D78" s="161">
        <f>'תקציב החברה לפיתוח 2022'!D78</f>
        <v>23500000</v>
      </c>
      <c r="E78" s="161">
        <f>'תקציב החברה לפיתוח 2022'!E78</f>
        <v>23500000</v>
      </c>
      <c r="F78" s="161">
        <f>'תקציב החברה לפיתוח 2022'!F78</f>
        <v>0</v>
      </c>
      <c r="G78" s="161">
        <f>'תקציב החברה לפיתוח 2022'!G78</f>
        <v>1100000</v>
      </c>
      <c r="H78" s="161">
        <f>'תקציב החברה לפיתוח 2022'!H78</f>
        <v>542641</v>
      </c>
      <c r="I78" s="161">
        <f>'תקציב החברה לפיתוח 2022'!I78</f>
        <v>0</v>
      </c>
      <c r="J78" s="161">
        <f>'תקציב החברה לפיתוח 2022'!J78</f>
        <v>171823</v>
      </c>
      <c r="K78" s="161">
        <f>'תקציב החברה לפיתוח 2022'!K78</f>
        <v>171823</v>
      </c>
      <c r="L78" s="161">
        <f>'תקציב החברה לפיתוח 2022'!L78</f>
        <v>714464</v>
      </c>
      <c r="M78" s="161">
        <f>'תקציב החברה לפיתוח 2022'!M78</f>
        <v>9435536</v>
      </c>
      <c r="N78" s="161">
        <f>'תקציב החברה לפיתוח 2022'!N78</f>
        <v>9000000</v>
      </c>
      <c r="O78" s="161">
        <f>'תקציב החברה לפיתוח 2022'!O78</f>
        <v>4350000</v>
      </c>
      <c r="P78" s="161">
        <f>'תקציב החברה לפיתוח 2022'!P78</f>
        <v>385536</v>
      </c>
      <c r="Q78" s="161">
        <f>'תקציב החברה לפיתוח 2022'!Q78</f>
        <v>9050000</v>
      </c>
      <c r="R78" s="161">
        <f>'תקציב החברה לפיתוח 2022'!R78</f>
        <v>0</v>
      </c>
      <c r="S78" s="161">
        <f>'תקציב החברה לפיתוח 2022'!S78</f>
        <v>9050000</v>
      </c>
      <c r="T78" s="161">
        <f>'תקציב החברה לפיתוח 2022'!T78</f>
        <v>0</v>
      </c>
      <c r="U78" s="161">
        <f>'תקציב החברה לפיתוח 2022'!U78</f>
        <v>9000000</v>
      </c>
      <c r="V78" s="161">
        <f>'תקציב החברה לפיתוח 2022'!V78</f>
        <v>9000000</v>
      </c>
      <c r="W78" s="161">
        <f>'תקציב החברה לפיתוח 2022'!W78</f>
        <v>0</v>
      </c>
      <c r="X78" s="161">
        <f>'תקציב החברה לפיתוח 2022'!X78</f>
        <v>0</v>
      </c>
      <c r="Y78" s="161">
        <f>'תקציב החברה לפיתוח 2022'!Y78</f>
        <v>0</v>
      </c>
      <c r="Z78" s="161">
        <f>'תקציב החברה לפיתוח 2022'!Z78</f>
        <v>0</v>
      </c>
      <c r="AA78" s="161">
        <f>'תקציב החברה לפיתוח 2022'!AA78</f>
        <v>0</v>
      </c>
      <c r="AB78" s="289" t="str">
        <f>'תקציב החברה לפיתוח 2022'!AB78</f>
        <v xml:space="preserve">ביצוע שצ"פים במתחם : מלכי יהודה (האקליפטוס), קורן,דן שומרון,דורי,משה שמיר. </v>
      </c>
      <c r="AC78" s="3">
        <v>746000</v>
      </c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</row>
    <row r="79" spans="1:55" s="5" customFormat="1" ht="75">
      <c r="A79" s="160">
        <f t="shared" si="1"/>
        <v>75</v>
      </c>
      <c r="B79" s="160">
        <f>'תקציב החברה לפיתוח 2022'!B79</f>
        <v>2151</v>
      </c>
      <c r="C79" s="289" t="str">
        <f>'תקציב החברה לפיתוח 2022'!C79</f>
        <v>מתחם בזק</v>
      </c>
      <c r="D79" s="161">
        <f>'תקציב החברה לפיתוח 2022'!D79</f>
        <v>54000000</v>
      </c>
      <c r="E79" s="161">
        <f>'תקציב החברה לפיתוח 2022'!E79</f>
        <v>54000000</v>
      </c>
      <c r="F79" s="161">
        <f>'תקציב החברה לפיתוח 2022'!F79</f>
        <v>0</v>
      </c>
      <c r="G79" s="161">
        <f>'תקציב החברה לפיתוח 2022'!G79</f>
        <v>2000000</v>
      </c>
      <c r="H79" s="161">
        <f>'תקציב החברה לפיתוח 2022'!H79</f>
        <v>698439</v>
      </c>
      <c r="I79" s="161">
        <f>'תקציב החברה לפיתוח 2022'!I79</f>
        <v>0</v>
      </c>
      <c r="J79" s="161">
        <f>'תקציב החברה לפיתוח 2022'!J79</f>
        <v>975479</v>
      </c>
      <c r="K79" s="161">
        <f>'תקציב החברה לפיתוח 2022'!K79</f>
        <v>975479</v>
      </c>
      <c r="L79" s="161">
        <f>'תקציב החברה לפיתוח 2022'!L79</f>
        <v>1673918</v>
      </c>
      <c r="M79" s="161">
        <f>'תקציב החברה לפיתוח 2022'!M79</f>
        <v>3326082</v>
      </c>
      <c r="N79" s="161">
        <f>'תקציב החברה לפיתוח 2022'!N79</f>
        <v>0</v>
      </c>
      <c r="O79" s="161">
        <f>'תקציב החברה לפיתוח 2022'!O79</f>
        <v>49000000</v>
      </c>
      <c r="P79" s="161">
        <f>'תקציב החברה לפיתוח 2022'!P79</f>
        <v>326082</v>
      </c>
      <c r="Q79" s="161">
        <f>'תקציב החברה לפיתוח 2022'!Q79</f>
        <v>3000000</v>
      </c>
      <c r="R79" s="161">
        <f>'תקציב החברה לפיתוח 2022'!R79</f>
        <v>0</v>
      </c>
      <c r="S79" s="161">
        <f>'תקציב החברה לפיתוח 2022'!S79</f>
        <v>3000000</v>
      </c>
      <c r="T79" s="161">
        <f>'תקציב החברה לפיתוח 2022'!T79</f>
        <v>0</v>
      </c>
      <c r="U79" s="161">
        <f>'תקציב החברה לפיתוח 2022'!U79</f>
        <v>0</v>
      </c>
      <c r="V79" s="161">
        <f>'תקציב החברה לפיתוח 2022'!V79</f>
        <v>0</v>
      </c>
      <c r="W79" s="161">
        <f>'תקציב החברה לפיתוח 2022'!W79</f>
        <v>0</v>
      </c>
      <c r="X79" s="161">
        <f>'תקציב החברה לפיתוח 2022'!X79</f>
        <v>0</v>
      </c>
      <c r="Y79" s="161">
        <f>'תקציב החברה לפיתוח 2022'!Y79</f>
        <v>0</v>
      </c>
      <c r="Z79" s="161">
        <f>'תקציב החברה לפיתוח 2022'!Z79</f>
        <v>0</v>
      </c>
      <c r="AA79" s="161">
        <f>'תקציב החברה לפיתוח 2022'!AA79</f>
        <v>0</v>
      </c>
      <c r="AB79" s="289" t="str">
        <f>'תקציב החברה לפיתוח 2022'!AB79</f>
        <v>תכנון ראשוני של פיתוח מתחם "בזק" בו ייבנה בניין משרדים שבין היתר יאוכלס אגף הרווחה. הפרויקט כולל הריסת מבנה בזק.</v>
      </c>
      <c r="AC79" s="3">
        <v>742000</v>
      </c>
      <c r="AD79" s="154"/>
      <c r="AE79" s="154"/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</row>
    <row r="80" spans="1:55" s="5" customFormat="1" ht="60">
      <c r="A80" s="160">
        <f t="shared" si="1"/>
        <v>76</v>
      </c>
      <c r="B80" s="160">
        <f>'תקציב החברה לפיתוח 2022'!B80</f>
        <v>2152</v>
      </c>
      <c r="C80" s="289" t="str">
        <f>'תקציב החברה לפיתוח 2022'!C80</f>
        <v>בית ספר בן צבי</v>
      </c>
      <c r="D80" s="161">
        <f>'תקציב החברה לפיתוח 2022'!D80</f>
        <v>16000000</v>
      </c>
      <c r="E80" s="161">
        <f>'תקציב החברה לפיתוח 2022'!E80</f>
        <v>16000000</v>
      </c>
      <c r="F80" s="161">
        <f>'תקציב החברה לפיתוח 2022'!F80</f>
        <v>0</v>
      </c>
      <c r="G80" s="161">
        <f>'תקציב החברה לפיתוח 2022'!G80</f>
        <v>1000000</v>
      </c>
      <c r="H80" s="161">
        <f>'תקציב החברה לפיתוח 2022'!H80</f>
        <v>252607</v>
      </c>
      <c r="I80" s="161">
        <f>'תקציב החברה לפיתוח 2022'!I80</f>
        <v>0</v>
      </c>
      <c r="J80" s="161">
        <f>'תקציב החברה לפיתוח 2022'!J80</f>
        <v>146060</v>
      </c>
      <c r="K80" s="161">
        <f>'תקציב החברה לפיתוח 2022'!K80</f>
        <v>146060</v>
      </c>
      <c r="L80" s="161">
        <f>'תקציב החברה לפיתוח 2022'!L80</f>
        <v>398667</v>
      </c>
      <c r="M80" s="161">
        <f>'תקציב החברה לפיתוח 2022'!M80</f>
        <v>651333</v>
      </c>
      <c r="N80" s="161">
        <f>'תקציב החברה לפיתוח 2022'!N80</f>
        <v>7000000</v>
      </c>
      <c r="O80" s="161">
        <f>'תקציב החברה לפיתוח 2022'!O80</f>
        <v>7950000</v>
      </c>
      <c r="P80" s="161">
        <f>'תקציב החברה לפיתוח 2022'!P80</f>
        <v>601333</v>
      </c>
      <c r="Q80" s="161">
        <f>'תקציב החברה לפיתוח 2022'!Q80</f>
        <v>50000</v>
      </c>
      <c r="R80" s="161">
        <f>'תקציב החברה לפיתוח 2022'!R80</f>
        <v>0</v>
      </c>
      <c r="S80" s="161">
        <f>'תקציב החברה לפיתוח 2022'!S80</f>
        <v>50000</v>
      </c>
      <c r="T80" s="161">
        <f>'תקציב החברה לפיתוח 2022'!T80</f>
        <v>0</v>
      </c>
      <c r="U80" s="161">
        <f>'תקציב החברה לפיתוח 2022'!U80</f>
        <v>7000000</v>
      </c>
      <c r="V80" s="161">
        <f>'תקציב החברה לפיתוח 2022'!V80</f>
        <v>3405695</v>
      </c>
      <c r="W80" s="161">
        <f>'תקציב החברה לפיתוח 2022'!W80</f>
        <v>0</v>
      </c>
      <c r="X80" s="161">
        <f>'תקציב החברה לפיתוח 2022'!X80</f>
        <v>0</v>
      </c>
      <c r="Y80" s="161">
        <f>'תקציב החברה לפיתוח 2022'!Y80</f>
        <v>0</v>
      </c>
      <c r="Z80" s="161">
        <f>'תקציב החברה לפיתוח 2022'!Z80</f>
        <v>0</v>
      </c>
      <c r="AA80" s="161">
        <f>'תקציב החברה לפיתוח 2022'!AA80</f>
        <v>3594305</v>
      </c>
      <c r="AB80" s="289" t="str">
        <f>'תקציב החברה לפיתוח 2022'!AB80</f>
        <v>הריסת מבני ספח והקמת מבנה חדש.תכנון ראשוני בי"ס בן צבי. תוספת 6 כיתות הרחבה ל - 24 כיתות.</v>
      </c>
      <c r="AC80" s="3">
        <v>810000</v>
      </c>
      <c r="AD80" s="154"/>
      <c r="AE80" s="154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</row>
    <row r="81" spans="1:55" s="5" customFormat="1" ht="30">
      <c r="A81" s="160">
        <f t="shared" si="1"/>
        <v>77</v>
      </c>
      <c r="B81" s="160">
        <f>'תקציב החברה לפיתוח 2022'!B81</f>
        <v>2153</v>
      </c>
      <c r="C81" s="289" t="str">
        <f>'תקציב החברה לפיתוח 2022'!C81</f>
        <v>הקמת ארנה</v>
      </c>
      <c r="D81" s="161">
        <f>'תקציב החברה לפיתוח 2022'!D81</f>
        <v>1000000</v>
      </c>
      <c r="E81" s="161">
        <f>'תקציב החברה לפיתוח 2022'!E81</f>
        <v>1000000</v>
      </c>
      <c r="F81" s="161">
        <f>'תקציב החברה לפיתוח 2022'!F81</f>
        <v>0</v>
      </c>
      <c r="G81" s="161">
        <f>'תקציב החברה לפיתוח 2022'!G81</f>
        <v>400000</v>
      </c>
      <c r="H81" s="161">
        <f>'תקציב החברה לפיתוח 2022'!H81</f>
        <v>223094</v>
      </c>
      <c r="I81" s="161">
        <f>'תקציב החברה לפיתוח 2022'!I81</f>
        <v>0</v>
      </c>
      <c r="J81" s="161">
        <f>'תקציב החברה לפיתוח 2022'!J81</f>
        <v>63498</v>
      </c>
      <c r="K81" s="161">
        <f>'תקציב החברה לפיתוח 2022'!K81</f>
        <v>63498</v>
      </c>
      <c r="L81" s="161">
        <f>'תקציב החברה לפיתוח 2022'!L81</f>
        <v>286592</v>
      </c>
      <c r="M81" s="161">
        <f>'תקציב החברה לפיתוח 2022'!M81</f>
        <v>713408</v>
      </c>
      <c r="N81" s="161">
        <f>'תקציב החברה לפיתוח 2022'!N81</f>
        <v>0</v>
      </c>
      <c r="O81" s="161">
        <f>'תקציב החברה לפיתוח 2022'!O81</f>
        <v>0</v>
      </c>
      <c r="P81" s="161">
        <f>'תקציב החברה לפיתוח 2022'!P81</f>
        <v>113408</v>
      </c>
      <c r="Q81" s="161">
        <f>'תקציב החברה לפיתוח 2022'!Q81</f>
        <v>600000</v>
      </c>
      <c r="R81" s="161">
        <f>'תקציב החברה לפיתוח 2022'!R81</f>
        <v>0</v>
      </c>
      <c r="S81" s="161">
        <f>'תקציב החברה לפיתוח 2022'!S81</f>
        <v>600000</v>
      </c>
      <c r="T81" s="161">
        <f>'תקציב החברה לפיתוח 2022'!T81</f>
        <v>0</v>
      </c>
      <c r="U81" s="161">
        <f>'תקציב החברה לפיתוח 2022'!U81</f>
        <v>0</v>
      </c>
      <c r="V81" s="161">
        <f>'תקציב החברה לפיתוח 2022'!V81</f>
        <v>0</v>
      </c>
      <c r="W81" s="161">
        <f>'תקציב החברה לפיתוח 2022'!W81</f>
        <v>0</v>
      </c>
      <c r="X81" s="161">
        <f>'תקציב החברה לפיתוח 2022'!X81</f>
        <v>0</v>
      </c>
      <c r="Y81" s="161">
        <f>'תקציב החברה לפיתוח 2022'!Y81</f>
        <v>0</v>
      </c>
      <c r="Z81" s="161">
        <f>'תקציב החברה לפיתוח 2022'!Z81</f>
        <v>0</v>
      </c>
      <c r="AA81" s="161">
        <f>'תקציב החברה לפיתוח 2022'!AA81</f>
        <v>0</v>
      </c>
      <c r="AB81" s="289" t="str">
        <f>'תקציב החברה לפיתוח 2022'!AB81</f>
        <v>המשך תכנון ראשוני הקמת ארנה באיזור האיצטדיון.</v>
      </c>
      <c r="AC81" s="3">
        <v>829000</v>
      </c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</row>
    <row r="82" spans="1:55" s="5" customFormat="1" ht="45">
      <c r="A82" s="160">
        <f t="shared" si="1"/>
        <v>78</v>
      </c>
      <c r="B82" s="160">
        <f>'תקציב החברה לפיתוח 2022'!B82</f>
        <v>2174</v>
      </c>
      <c r="C82" s="289" t="str">
        <f>'תקציב החברה לפיתוח 2022'!C82</f>
        <v>גנ"י מתחם זרובבל</v>
      </c>
      <c r="D82" s="161">
        <f>'תקציב החברה לפיתוח 2022'!D82</f>
        <v>9548992</v>
      </c>
      <c r="E82" s="161">
        <f>'תקציב החברה לפיתוח 2022'!E82</f>
        <v>12600000</v>
      </c>
      <c r="F82" s="161">
        <f>'תקציב החברה לפיתוח 2022'!F82</f>
        <v>-3051008</v>
      </c>
      <c r="G82" s="161">
        <f>'תקציב החברה לפיתוח 2022'!G82</f>
        <v>9548992</v>
      </c>
      <c r="H82" s="161">
        <f>'תקציב החברה לפיתוח 2022'!H82</f>
        <v>7323409</v>
      </c>
      <c r="I82" s="161">
        <f>'תקציב החברה לפיתוח 2022'!I82</f>
        <v>0</v>
      </c>
      <c r="J82" s="161">
        <f>'תקציב החברה לפיתוח 2022'!J82</f>
        <v>1809690</v>
      </c>
      <c r="K82" s="161">
        <f>'תקציב החברה לפיתוח 2022'!K82</f>
        <v>1809690</v>
      </c>
      <c r="L82" s="161">
        <f>'תקציב החברה לפיתוח 2022'!L82</f>
        <v>9133099</v>
      </c>
      <c r="M82" s="161">
        <f>'תקציב החברה לפיתוח 2022'!M82</f>
        <v>415893</v>
      </c>
      <c r="N82" s="161">
        <f>'תקציב החברה לפיתוח 2022'!N82</f>
        <v>0</v>
      </c>
      <c r="O82" s="161">
        <f>'תקציב החברה לפיתוח 2022'!O82</f>
        <v>0</v>
      </c>
      <c r="P82" s="161">
        <f>'תקציב החברה לפיתוח 2022'!P82</f>
        <v>415893</v>
      </c>
      <c r="Q82" s="161">
        <f>'תקציב החברה לפיתוח 2022'!Q82</f>
        <v>0</v>
      </c>
      <c r="R82" s="161">
        <f>'תקציב החברה לפיתוח 2022'!R82</f>
        <v>0</v>
      </c>
      <c r="S82" s="161">
        <f>'תקציב החברה לפיתוח 2022'!S82</f>
        <v>0</v>
      </c>
      <c r="T82" s="161">
        <f>'תקציב החברה לפיתוח 2022'!T82</f>
        <v>0</v>
      </c>
      <c r="U82" s="161">
        <f>'תקציב החברה לפיתוח 2022'!U82</f>
        <v>0</v>
      </c>
      <c r="V82" s="161">
        <f>'תקציב החברה לפיתוח 2022'!V82</f>
        <v>0</v>
      </c>
      <c r="W82" s="161">
        <f>'תקציב החברה לפיתוח 2022'!W82</f>
        <v>0</v>
      </c>
      <c r="X82" s="161">
        <f>'תקציב החברה לפיתוח 2022'!X82</f>
        <v>0</v>
      </c>
      <c r="Y82" s="161">
        <f>'תקציב החברה לפיתוח 2022'!Y82</f>
        <v>0</v>
      </c>
      <c r="Z82" s="161">
        <f>'תקציב החברה לפיתוח 2022'!Z82</f>
        <v>0</v>
      </c>
      <c r="AA82" s="161">
        <f>'תקציב החברה לפיתוח 2022'!AA82</f>
        <v>0</v>
      </c>
      <c r="AB82" s="289" t="str">
        <f>'תקציב החברה לפיתוח 2022'!AB82</f>
        <v>תכנון וביצוע הקמת 4 כיתות גן במתחם זרובבל. מימון מ. החינוך.</v>
      </c>
      <c r="AC82" s="3">
        <v>810000</v>
      </c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</row>
    <row r="83" spans="1:55" s="5" customFormat="1" ht="45">
      <c r="A83" s="160">
        <f t="shared" si="1"/>
        <v>79</v>
      </c>
      <c r="B83" s="160">
        <f>'תקציב החברה לפיתוח 2022'!B83</f>
        <v>2175</v>
      </c>
      <c r="C83" s="289" t="str">
        <f>'תקציב החברה לפיתוח 2022'!C83</f>
        <v>גנ"י דוד השמעוני</v>
      </c>
      <c r="D83" s="161">
        <f>'תקציב החברה לפיתוח 2022'!D83</f>
        <v>21000000</v>
      </c>
      <c r="E83" s="161">
        <f>'תקציב החברה לפיתוח 2022'!E83</f>
        <v>21000000</v>
      </c>
      <c r="F83" s="161">
        <f>'תקציב החברה לפיתוח 2022'!F83</f>
        <v>0</v>
      </c>
      <c r="G83" s="161">
        <f>'תקציב החברה לפיתוח 2022'!G83</f>
        <v>5665336</v>
      </c>
      <c r="H83" s="161">
        <f>'תקציב החברה לפיתוח 2022'!H83</f>
        <v>1000371</v>
      </c>
      <c r="I83" s="161">
        <f>'תקציב החברה לפיתוח 2022'!I83</f>
        <v>0</v>
      </c>
      <c r="J83" s="161">
        <f>'תקציב החברה לפיתוח 2022'!J83</f>
        <v>801916</v>
      </c>
      <c r="K83" s="161">
        <f>'תקציב החברה לפיתוח 2022'!K83</f>
        <v>801916</v>
      </c>
      <c r="L83" s="161">
        <f>'תקציב החברה לפיתוח 2022'!L83</f>
        <v>1802287</v>
      </c>
      <c r="M83" s="161">
        <f>'תקציב החברה לפיתוח 2022'!M83</f>
        <v>3863049</v>
      </c>
      <c r="N83" s="161">
        <f>'תקציב החברה לפיתוח 2022'!N83</f>
        <v>5000000</v>
      </c>
      <c r="O83" s="161">
        <f>'תקציב החברה לפיתוח 2022'!O83</f>
        <v>10334664</v>
      </c>
      <c r="P83" s="161">
        <f>'תקציב החברה לפיתוח 2022'!P83</f>
        <v>3863049</v>
      </c>
      <c r="Q83" s="161">
        <f>'תקציב החברה לפיתוח 2022'!Q83</f>
        <v>0</v>
      </c>
      <c r="R83" s="161">
        <f>'תקציב החברה לפיתוח 2022'!R83</f>
        <v>0</v>
      </c>
      <c r="S83" s="161">
        <f>'תקציב החברה לפיתוח 2022'!S83</f>
        <v>0</v>
      </c>
      <c r="T83" s="161">
        <f>'תקציב החברה לפיתוח 2022'!T83</f>
        <v>0</v>
      </c>
      <c r="U83" s="161">
        <f>'תקציב החברה לפיתוח 2022'!U83</f>
        <v>5000000</v>
      </c>
      <c r="V83" s="161">
        <f>'תקציב החברה לפיתוח 2022'!V83</f>
        <v>1516647</v>
      </c>
      <c r="W83" s="161">
        <f>'תקציב החברה לפיתוח 2022'!W83</f>
        <v>0</v>
      </c>
      <c r="X83" s="161">
        <f>'תקציב החברה לפיתוח 2022'!X83</f>
        <v>0</v>
      </c>
      <c r="Y83" s="161">
        <f>'תקציב החברה לפיתוח 2022'!Y83</f>
        <v>0</v>
      </c>
      <c r="Z83" s="161">
        <f>'תקציב החברה לפיתוח 2022'!Z83</f>
        <v>0</v>
      </c>
      <c r="AA83" s="161">
        <f>'תקציב החברה לפיתוח 2022'!AA83</f>
        <v>3483353</v>
      </c>
      <c r="AB83" s="289" t="str">
        <f>'תקציב החברה לפיתוח 2022'!AB83</f>
        <v xml:space="preserve">תכנון וביצוע הקמת 5 כיתות גן במתחם השמעוני. מימון מ. החינוך. </v>
      </c>
      <c r="AC83" s="3">
        <v>810000</v>
      </c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</row>
    <row r="84" spans="1:55" s="5" customFormat="1" ht="60">
      <c r="A84" s="160">
        <f t="shared" si="1"/>
        <v>80</v>
      </c>
      <c r="B84" s="160">
        <f>'תקציב החברה לפיתוח 2022'!B84</f>
        <v>2180</v>
      </c>
      <c r="C84" s="289" t="str">
        <f>'תקציב החברה לפיתוח 2022'!C84</f>
        <v>ליווי פרויקטים פינוי בינוי</v>
      </c>
      <c r="D84" s="161">
        <f>'תקציב החברה לפיתוח 2022'!D84</f>
        <v>1000000</v>
      </c>
      <c r="E84" s="161">
        <f>'תקציב החברה לפיתוח 2022'!E84</f>
        <v>1000000</v>
      </c>
      <c r="F84" s="161">
        <f>'תקציב החברה לפיתוח 2022'!F84</f>
        <v>0</v>
      </c>
      <c r="G84" s="161">
        <f>'תקציב החברה לפיתוח 2022'!G84</f>
        <v>500000</v>
      </c>
      <c r="H84" s="161">
        <f>'תקציב החברה לפיתוח 2022'!H84</f>
        <v>59582</v>
      </c>
      <c r="I84" s="161">
        <f>'תקציב החברה לפיתוח 2022'!I84</f>
        <v>0</v>
      </c>
      <c r="J84" s="161">
        <f>'תקציב החברה לפיתוח 2022'!J84</f>
        <v>64438</v>
      </c>
      <c r="K84" s="161">
        <f>'תקציב החברה לפיתוח 2022'!K84</f>
        <v>64438</v>
      </c>
      <c r="L84" s="161">
        <f>'תקציב החברה לפיתוח 2022'!L84</f>
        <v>124020</v>
      </c>
      <c r="M84" s="161">
        <f>'תקציב החברה לפיתוח 2022'!M84</f>
        <v>875980</v>
      </c>
      <c r="N84" s="161">
        <f>'תקציב החברה לפיתוח 2022'!N84</f>
        <v>0</v>
      </c>
      <c r="O84" s="161">
        <f>'תקציב החברה לפיתוח 2022'!O84</f>
        <v>0</v>
      </c>
      <c r="P84" s="161">
        <f>'תקציב החברה לפיתוח 2022'!P84</f>
        <v>375980</v>
      </c>
      <c r="Q84" s="161">
        <f>'תקציב החברה לפיתוח 2022'!Q84</f>
        <v>500000</v>
      </c>
      <c r="R84" s="161">
        <f>'תקציב החברה לפיתוח 2022'!R84</f>
        <v>0</v>
      </c>
      <c r="S84" s="161">
        <f>'תקציב החברה לפיתוח 2022'!S84</f>
        <v>500000</v>
      </c>
      <c r="T84" s="161">
        <f>'תקציב החברה לפיתוח 2022'!T84</f>
        <v>0</v>
      </c>
      <c r="U84" s="161">
        <f>'תקציב החברה לפיתוח 2022'!U84</f>
        <v>0</v>
      </c>
      <c r="V84" s="161">
        <f>'תקציב החברה לפיתוח 2022'!V84</f>
        <v>0</v>
      </c>
      <c r="W84" s="161">
        <f>'תקציב החברה לפיתוח 2022'!W84</f>
        <v>0</v>
      </c>
      <c r="X84" s="161">
        <f>'תקציב החברה לפיתוח 2022'!X84</f>
        <v>0</v>
      </c>
      <c r="Y84" s="161">
        <f>'תקציב החברה לפיתוח 2022'!Y84</f>
        <v>0</v>
      </c>
      <c r="Z84" s="161">
        <f>'תקציב החברה לפיתוח 2022'!Z84</f>
        <v>0</v>
      </c>
      <c r="AA84" s="161">
        <f>'תקציב החברה לפיתוח 2022'!AA84</f>
        <v>0</v>
      </c>
      <c r="AB84" s="289" t="str">
        <f>'תקציב החברה לפיתוח 2022'!AB84</f>
        <v>ליווי פרויקטים של פינוי בינוי הכולל הכנת אומדנים ומפרטים ופיקוח על היתרים וביצוע בפועל.</v>
      </c>
      <c r="AC84" s="3">
        <v>732000</v>
      </c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</row>
    <row r="85" spans="1:55" s="5" customFormat="1" ht="45">
      <c r="A85" s="160">
        <f t="shared" si="1"/>
        <v>81</v>
      </c>
      <c r="B85" s="160">
        <f>'תקציב החברה לפיתוח 2022'!B85</f>
        <v>2182</v>
      </c>
      <c r="C85" s="289" t="str">
        <f>'תקציב החברה לפיתוח 2022'!C85</f>
        <v>תכנון שב"צ דן שומרון בי"ס על יסודי</v>
      </c>
      <c r="D85" s="161">
        <f>'תקציב החברה לפיתוח 2022'!D85</f>
        <v>2500000</v>
      </c>
      <c r="E85" s="161">
        <f>'תקציב החברה לפיתוח 2022'!E85</f>
        <v>2500000</v>
      </c>
      <c r="F85" s="161">
        <f>'תקציב החברה לפיתוח 2022'!F85</f>
        <v>0</v>
      </c>
      <c r="G85" s="161">
        <f>'תקציב החברה לפיתוח 2022'!G85</f>
        <v>300000</v>
      </c>
      <c r="H85" s="161">
        <f>'תקציב החברה לפיתוח 2022'!H85</f>
        <v>27661</v>
      </c>
      <c r="I85" s="161">
        <f>'תקציב החברה לפיתוח 2022'!I85</f>
        <v>0</v>
      </c>
      <c r="J85" s="161">
        <f>'תקציב החברה לפיתוח 2022'!J85</f>
        <v>188002</v>
      </c>
      <c r="K85" s="161">
        <f>'תקציב החברה לפיתוח 2022'!K85</f>
        <v>188002</v>
      </c>
      <c r="L85" s="161">
        <f>'תקציב החברה לפיתוח 2022'!L85</f>
        <v>215663</v>
      </c>
      <c r="M85" s="161">
        <f>'תקציב החברה לפיתוח 2022'!M85</f>
        <v>1784337</v>
      </c>
      <c r="N85" s="161">
        <f>'תקציב החברה לפיתוח 2022'!N85</f>
        <v>0</v>
      </c>
      <c r="O85" s="161">
        <f>'תקציב החברה לפיתוח 2022'!O85</f>
        <v>500000</v>
      </c>
      <c r="P85" s="161">
        <f>'תקציב החברה לפיתוח 2022'!P85</f>
        <v>84337</v>
      </c>
      <c r="Q85" s="161">
        <f>'תקציב החברה לפיתוח 2022'!Q85</f>
        <v>1700000</v>
      </c>
      <c r="R85" s="161">
        <f>'תקציב החברה לפיתוח 2022'!R85</f>
        <v>0</v>
      </c>
      <c r="S85" s="161">
        <f>'תקציב החברה לפיתוח 2022'!S85</f>
        <v>1700000</v>
      </c>
      <c r="T85" s="161">
        <f>'תקציב החברה לפיתוח 2022'!T85</f>
        <v>0</v>
      </c>
      <c r="U85" s="161">
        <f>'תקציב החברה לפיתוח 2022'!U85</f>
        <v>0</v>
      </c>
      <c r="V85" s="161">
        <f>'תקציב החברה לפיתוח 2022'!V85</f>
        <v>0</v>
      </c>
      <c r="W85" s="161">
        <f>'תקציב החברה לפיתוח 2022'!W85</f>
        <v>0</v>
      </c>
      <c r="X85" s="161">
        <f>'תקציב החברה לפיתוח 2022'!X85</f>
        <v>0</v>
      </c>
      <c r="Y85" s="161">
        <f>'תקציב החברה לפיתוח 2022'!Y85</f>
        <v>0</v>
      </c>
      <c r="Z85" s="161">
        <f>'תקציב החברה לפיתוח 2022'!Z85</f>
        <v>0</v>
      </c>
      <c r="AA85" s="161">
        <f>'תקציב החברה לפיתוח 2022'!AA85</f>
        <v>0</v>
      </c>
      <c r="AB85" s="289" t="str">
        <f>'תקציב החברה לפיתוח 2022'!AB85</f>
        <v xml:space="preserve">הקמת תיכון 30 כיתות בשב"צ דן שומרון גוש 656 חל' 991. </v>
      </c>
      <c r="AC85" s="3">
        <v>810000</v>
      </c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</row>
    <row r="86" spans="1:55" s="5" customFormat="1" ht="45">
      <c r="A86" s="160">
        <f t="shared" si="1"/>
        <v>82</v>
      </c>
      <c r="B86" s="160">
        <f>'תקציב החברה לפיתוח 2022'!B86</f>
        <v>2185</v>
      </c>
      <c r="C86" s="289" t="str">
        <f>'תקציב החברה לפיתוח 2022'!C86</f>
        <v>תוספת 6 כיתות לימוד בי"ס שז"ר</v>
      </c>
      <c r="D86" s="161">
        <f>'תקציב החברה לפיתוח 2022'!D86</f>
        <v>40000000</v>
      </c>
      <c r="E86" s="161">
        <f>'תקציב החברה לפיתוח 2022'!E86</f>
        <v>750000</v>
      </c>
      <c r="F86" s="161">
        <f>'תקציב החברה לפיתוח 2022'!F86</f>
        <v>39250000</v>
      </c>
      <c r="G86" s="161">
        <f>'תקציב החברה לפיתוח 2022'!G86</f>
        <v>500000</v>
      </c>
      <c r="H86" s="161">
        <f>'תקציב החברה לפיתוח 2022'!H86</f>
        <v>111410</v>
      </c>
      <c r="I86" s="161">
        <f>'תקציב החברה לפיתוח 2022'!I86</f>
        <v>0</v>
      </c>
      <c r="J86" s="161">
        <f>'תקציב החברה לפיתוח 2022'!J86</f>
        <v>112913</v>
      </c>
      <c r="K86" s="161">
        <f>'תקציב החברה לפיתוח 2022'!K86</f>
        <v>112913</v>
      </c>
      <c r="L86" s="161">
        <f>'תקציב החברה לפיתוח 2022'!L86</f>
        <v>224323</v>
      </c>
      <c r="M86" s="161">
        <f>'תקציב החברה לפיתוח 2022'!M86</f>
        <v>525677</v>
      </c>
      <c r="N86" s="161">
        <f>'תקציב החברה לפיתוח 2022'!N86</f>
        <v>8000000</v>
      </c>
      <c r="O86" s="161">
        <f>'תקציב החברה לפיתוח 2022'!O86</f>
        <v>31250000</v>
      </c>
      <c r="P86" s="161">
        <f>'תקציב החברה לפיתוח 2022'!P86</f>
        <v>275677</v>
      </c>
      <c r="Q86" s="161">
        <f>'תקציב החברה לפיתוח 2022'!Q86</f>
        <v>250000</v>
      </c>
      <c r="R86" s="161">
        <f>'תקציב החברה לפיתוח 2022'!R86</f>
        <v>0</v>
      </c>
      <c r="S86" s="161">
        <f>'תקציב החברה לפיתוח 2022'!S86</f>
        <v>250000</v>
      </c>
      <c r="T86" s="161">
        <f>'תקציב החברה לפיתוח 2022'!T86</f>
        <v>0</v>
      </c>
      <c r="U86" s="161">
        <f>'תקציב החברה לפיתוח 2022'!U86</f>
        <v>8000000</v>
      </c>
      <c r="V86" s="161">
        <f>'תקציב החברה לפיתוח 2022'!V86</f>
        <v>4405695</v>
      </c>
      <c r="W86" s="161">
        <f>'תקציב החברה לפיתוח 2022'!W86</f>
        <v>0</v>
      </c>
      <c r="X86" s="161">
        <f>'תקציב החברה לפיתוח 2022'!X86</f>
        <v>0</v>
      </c>
      <c r="Y86" s="161">
        <f>'תקציב החברה לפיתוח 2022'!Y86</f>
        <v>0</v>
      </c>
      <c r="Z86" s="161">
        <f>'תקציב החברה לפיתוח 2022'!Z86</f>
        <v>0</v>
      </c>
      <c r="AA86" s="161">
        <f>'תקציב החברה לפיתוח 2022'!AA86</f>
        <v>3594305</v>
      </c>
      <c r="AB86" s="289" t="str">
        <f>'תקציב החברה לפיתוח 2022'!AB86</f>
        <v>תכנון לתוספת 6 כיתות בי"ס שז"ר. מימון מ. החינוך.</v>
      </c>
      <c r="AC86" s="3">
        <v>810000</v>
      </c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</row>
    <row r="87" spans="1:55" s="5" customFormat="1" ht="60">
      <c r="A87" s="160">
        <f t="shared" si="1"/>
        <v>83</v>
      </c>
      <c r="B87" s="160">
        <f>'תקציב החברה לפיתוח 2022'!B87</f>
        <v>2191</v>
      </c>
      <c r="C87" s="289" t="str">
        <f>'תקציב החברה לפיתוח 2022'!C87</f>
        <v>עבודות ניקוז רחוב סוקולוב</v>
      </c>
      <c r="D87" s="161">
        <f>'תקציב החברה לפיתוח 2022'!D87</f>
        <v>14000000</v>
      </c>
      <c r="E87" s="161">
        <f>'תקציב החברה לפיתוח 2022'!E87</f>
        <v>500000</v>
      </c>
      <c r="F87" s="161">
        <f>'תקציב החברה לפיתוח 2022'!F87</f>
        <v>13500000</v>
      </c>
      <c r="G87" s="161">
        <f>'תקציב החברה לפיתוח 2022'!G87</f>
        <v>500000</v>
      </c>
      <c r="H87" s="161">
        <f>'תקציב החברה לפיתוח 2022'!H87</f>
        <v>0</v>
      </c>
      <c r="I87" s="161">
        <f>'תקציב החברה לפיתוח 2022'!I87</f>
        <v>0</v>
      </c>
      <c r="J87" s="161">
        <f>'תקציב החברה לפיתוח 2022'!J87</f>
        <v>0</v>
      </c>
      <c r="K87" s="161">
        <f>'תקציב החברה לפיתוח 2022'!K87</f>
        <v>0</v>
      </c>
      <c r="L87" s="161">
        <f>'תקציב החברה לפיתוח 2022'!L87</f>
        <v>0</v>
      </c>
      <c r="M87" s="161">
        <f>'תקציב החברה לפיתוח 2022'!M87</f>
        <v>500000</v>
      </c>
      <c r="N87" s="161">
        <f>'תקציב החברה לפיתוח 2022'!N87</f>
        <v>200000</v>
      </c>
      <c r="O87" s="161">
        <f>'תקציב החברה לפיתוח 2022'!O87</f>
        <v>13300000</v>
      </c>
      <c r="P87" s="161">
        <f>'תקציב החברה לפיתוח 2022'!P87</f>
        <v>500000</v>
      </c>
      <c r="Q87" s="161">
        <f>'תקציב החברה לפיתוח 2022'!Q87</f>
        <v>0</v>
      </c>
      <c r="R87" s="161">
        <f>'תקציב החברה לפיתוח 2022'!R87</f>
        <v>0</v>
      </c>
      <c r="S87" s="161">
        <f>'תקציב החברה לפיתוח 2022'!S87</f>
        <v>0</v>
      </c>
      <c r="T87" s="161">
        <f>'תקציב החברה לפיתוח 2022'!T87</f>
        <v>0</v>
      </c>
      <c r="U87" s="161">
        <f>'תקציב החברה לפיתוח 2022'!U87</f>
        <v>200000</v>
      </c>
      <c r="V87" s="161">
        <f>'תקציב החברה לפיתוח 2022'!V87</f>
        <v>200000</v>
      </c>
      <c r="W87" s="161">
        <f>'תקציב החברה לפיתוח 2022'!W87</f>
        <v>0</v>
      </c>
      <c r="X87" s="161">
        <f>'תקציב החברה לפיתוח 2022'!X87</f>
        <v>0</v>
      </c>
      <c r="Y87" s="161">
        <f>'תקציב החברה לפיתוח 2022'!Y87</f>
        <v>0</v>
      </c>
      <c r="Z87" s="161">
        <f>'תקציב החברה לפיתוח 2022'!Z87</f>
        <v>0</v>
      </c>
      <c r="AA87" s="161">
        <f>'תקציב החברה לפיתוח 2022'!AA87</f>
        <v>0</v>
      </c>
      <c r="AB87" s="289" t="str">
        <f>'תקציב החברה לפיתוח 2022'!AB87</f>
        <v>תכנון וביצוע ניקוז ברחוב סוקולוב בשיתוף עם תאגיד המים. במסגרת תוכ. אב לניקוז.</v>
      </c>
      <c r="AC87" s="3">
        <v>742000</v>
      </c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</row>
    <row r="88" spans="1:55" s="5" customFormat="1" ht="60">
      <c r="A88" s="160">
        <f t="shared" si="1"/>
        <v>84</v>
      </c>
      <c r="B88" s="160">
        <f>'תקציב החברה לפיתוח 2022'!B88</f>
        <v>2194</v>
      </c>
      <c r="C88" s="289" t="str">
        <f>'תקציב החברה לפיתוח 2022'!C88</f>
        <v xml:space="preserve">עבודות ניקוז  רחוב רבינו תם </v>
      </c>
      <c r="D88" s="161">
        <f>'תקציב החברה לפיתוח 2022'!D88</f>
        <v>700000</v>
      </c>
      <c r="E88" s="161">
        <f>'תקציב החברה לפיתוח 2022'!E88</f>
        <v>700000</v>
      </c>
      <c r="F88" s="161">
        <f>'תקציב החברה לפיתוח 2022'!F88</f>
        <v>0</v>
      </c>
      <c r="G88" s="161">
        <f>'תקציב החברה לפיתוח 2022'!G88</f>
        <v>500000</v>
      </c>
      <c r="H88" s="161">
        <f>'תקציב החברה לפיתוח 2022'!H88</f>
        <v>0</v>
      </c>
      <c r="I88" s="161">
        <f>'תקציב החברה לפיתוח 2022'!I88</f>
        <v>0</v>
      </c>
      <c r="J88" s="161">
        <f>'תקציב החברה לפיתוח 2022'!J88</f>
        <v>0</v>
      </c>
      <c r="K88" s="161">
        <f>'תקציב החברה לפיתוח 2022'!K88</f>
        <v>0</v>
      </c>
      <c r="L88" s="161">
        <f>'תקציב החברה לפיתוח 2022'!L88</f>
        <v>0</v>
      </c>
      <c r="M88" s="161">
        <f>'תקציב החברה לפיתוח 2022'!M88</f>
        <v>500000</v>
      </c>
      <c r="N88" s="161">
        <f>'תקציב החברה לפיתוח 2022'!N88</f>
        <v>200000</v>
      </c>
      <c r="O88" s="161">
        <f>'תקציב החברה לפיתוח 2022'!O88</f>
        <v>0</v>
      </c>
      <c r="P88" s="161">
        <f>'תקציב החברה לפיתוח 2022'!P88</f>
        <v>500000</v>
      </c>
      <c r="Q88" s="161">
        <f>'תקציב החברה לפיתוח 2022'!Q88</f>
        <v>0</v>
      </c>
      <c r="R88" s="161">
        <f>'תקציב החברה לפיתוח 2022'!R88</f>
        <v>0</v>
      </c>
      <c r="S88" s="161">
        <f>'תקציב החברה לפיתוח 2022'!S88</f>
        <v>0</v>
      </c>
      <c r="T88" s="161">
        <f>'תקציב החברה לפיתוח 2022'!T88</f>
        <v>0</v>
      </c>
      <c r="U88" s="161">
        <f>'תקציב החברה לפיתוח 2022'!U88</f>
        <v>200000</v>
      </c>
      <c r="V88" s="161">
        <f>'תקציב החברה לפיתוח 2022'!V88</f>
        <v>200000</v>
      </c>
      <c r="W88" s="161">
        <f>'תקציב החברה לפיתוח 2022'!W88</f>
        <v>0</v>
      </c>
      <c r="X88" s="161">
        <f>'תקציב החברה לפיתוח 2022'!X88</f>
        <v>0</v>
      </c>
      <c r="Y88" s="161">
        <f>'תקציב החברה לפיתוח 2022'!Y88</f>
        <v>0</v>
      </c>
      <c r="Z88" s="161">
        <f>'תקציב החברה לפיתוח 2022'!Z88</f>
        <v>0</v>
      </c>
      <c r="AA88" s="161">
        <f>'תקציב החברה לפיתוח 2022'!AA88</f>
        <v>0</v>
      </c>
      <c r="AB88" s="289" t="str">
        <f>'תקציב החברה לפיתוח 2022'!AB88</f>
        <v>תכנון וביצוע ניקוז ברחוב רבנו תם בשיתוף עם תאגיד המים. במסגרת תוכ. אב לניקוז.</v>
      </c>
      <c r="AC88" s="3">
        <v>742000</v>
      </c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</row>
    <row r="89" spans="1:55" s="5" customFormat="1" ht="60">
      <c r="A89" s="160">
        <f t="shared" si="1"/>
        <v>85</v>
      </c>
      <c r="B89" s="160">
        <f>'תקציב החברה לפיתוח 2022'!B89</f>
        <v>2196</v>
      </c>
      <c r="C89" s="289" t="str">
        <f>'תקציב החברה לפיתוח 2022'!C89</f>
        <v xml:space="preserve">עבודות ניקוז   רחוב הרב גורן </v>
      </c>
      <c r="D89" s="161">
        <f>'תקציב החברה לפיתוח 2022'!D89</f>
        <v>21135000</v>
      </c>
      <c r="E89" s="161">
        <f>'תקציב החברה לפיתוח 2022'!E89</f>
        <v>2000000</v>
      </c>
      <c r="F89" s="161">
        <f>'תקציב החברה לפיתוח 2022'!F89</f>
        <v>19135000</v>
      </c>
      <c r="G89" s="161">
        <f>'תקציב החברה לפיתוח 2022'!G89</f>
        <v>400000</v>
      </c>
      <c r="H89" s="161">
        <f>'תקציב החברה לפיתוח 2022'!H89</f>
        <v>0</v>
      </c>
      <c r="I89" s="161">
        <f>'תקציב החברה לפיתוח 2022'!I89</f>
        <v>0</v>
      </c>
      <c r="J89" s="161">
        <f>'תקציב החברה לפיתוח 2022'!J89</f>
        <v>0</v>
      </c>
      <c r="K89" s="161">
        <f>'תקציב החברה לפיתוח 2022'!K89</f>
        <v>0</v>
      </c>
      <c r="L89" s="161">
        <f>'תקציב החברה לפיתוח 2022'!L89</f>
        <v>0</v>
      </c>
      <c r="M89" s="161">
        <f>'תקציב החברה לפיתוח 2022'!M89</f>
        <v>400000</v>
      </c>
      <c r="N89" s="161">
        <f>'תקציב החברה לפיתוח 2022'!N89</f>
        <v>600000</v>
      </c>
      <c r="O89" s="161">
        <f>'תקציב החברה לפיתוח 2022'!O89</f>
        <v>20135000</v>
      </c>
      <c r="P89" s="161">
        <f>'תקציב החברה לפיתוח 2022'!P89</f>
        <v>400000</v>
      </c>
      <c r="Q89" s="161">
        <f>'תקציב החברה לפיתוח 2022'!Q89</f>
        <v>0</v>
      </c>
      <c r="R89" s="161">
        <f>'תקציב החברה לפיתוח 2022'!R89</f>
        <v>0</v>
      </c>
      <c r="S89" s="161">
        <f>'תקציב החברה לפיתוח 2022'!S89</f>
        <v>0</v>
      </c>
      <c r="T89" s="161">
        <f>'תקציב החברה לפיתוח 2022'!T89</f>
        <v>0</v>
      </c>
      <c r="U89" s="161">
        <f>'תקציב החברה לפיתוח 2022'!U89</f>
        <v>600000</v>
      </c>
      <c r="V89" s="161">
        <f>'תקציב החברה לפיתוח 2022'!V89</f>
        <v>600000</v>
      </c>
      <c r="W89" s="161">
        <f>'תקציב החברה לפיתוח 2022'!W89</f>
        <v>0</v>
      </c>
      <c r="X89" s="161">
        <f>'תקציב החברה לפיתוח 2022'!X89</f>
        <v>0</v>
      </c>
      <c r="Y89" s="161">
        <f>'תקציב החברה לפיתוח 2022'!Y89</f>
        <v>0</v>
      </c>
      <c r="Z89" s="161">
        <f>'תקציב החברה לפיתוח 2022'!Z89</f>
        <v>0</v>
      </c>
      <c r="AA89" s="161">
        <f>'תקציב החברה לפיתוח 2022'!AA89</f>
        <v>0</v>
      </c>
      <c r="AB89" s="289" t="str">
        <f>'תקציב החברה לפיתוח 2022'!AB89</f>
        <v>תכנון וביצוע ניקוז ברחוב הרב גורן בשיתוף עם תאגיד המים. במסגרת תוכ. אב לניקוז.</v>
      </c>
      <c r="AC89" s="3">
        <v>742000</v>
      </c>
      <c r="AD89" s="154"/>
      <c r="AE89" s="154"/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</row>
    <row r="90" spans="1:55" s="5" customFormat="1" ht="60">
      <c r="A90" s="160">
        <f t="shared" si="1"/>
        <v>86</v>
      </c>
      <c r="B90" s="160">
        <f>'תקציב החברה לפיתוח 2022'!B90</f>
        <v>2197</v>
      </c>
      <c r="C90" s="289" t="str">
        <f>'תקציב החברה לפיתוח 2022'!C90</f>
        <v xml:space="preserve">עבודות ניקוז   רחוב רוחמה ושבטי ישראל </v>
      </c>
      <c r="D90" s="161">
        <f>'תקציב החברה לפיתוח 2022'!D90</f>
        <v>15160000</v>
      </c>
      <c r="E90" s="161">
        <f>'תקציב החברה לפיתוח 2022'!E90</f>
        <v>4000000</v>
      </c>
      <c r="F90" s="161">
        <f>'תקציב החברה לפיתוח 2022'!F90</f>
        <v>11160000</v>
      </c>
      <c r="G90" s="161">
        <f>'תקציב החברה לפיתוח 2022'!G90</f>
        <v>300000</v>
      </c>
      <c r="H90" s="161">
        <f>'תקציב החברה לפיתוח 2022'!H90</f>
        <v>0</v>
      </c>
      <c r="I90" s="161">
        <f>'תקציב החברה לפיתוח 2022'!I90</f>
        <v>0</v>
      </c>
      <c r="J90" s="161">
        <f>'תקציב החברה לפיתוח 2022'!J90</f>
        <v>0</v>
      </c>
      <c r="K90" s="161">
        <f>'תקציב החברה לפיתוח 2022'!K90</f>
        <v>0</v>
      </c>
      <c r="L90" s="161">
        <f>'תקציב החברה לפיתוח 2022'!L90</f>
        <v>0</v>
      </c>
      <c r="M90" s="161">
        <f>'תקציב החברה לפיתוח 2022'!M90</f>
        <v>300000</v>
      </c>
      <c r="N90" s="161">
        <f>'תקציב החברה לפיתוח 2022'!N90</f>
        <v>400000</v>
      </c>
      <c r="O90" s="161">
        <f>'תקציב החברה לפיתוח 2022'!O90</f>
        <v>14460000</v>
      </c>
      <c r="P90" s="161">
        <f>'תקציב החברה לפיתוח 2022'!P90</f>
        <v>300000</v>
      </c>
      <c r="Q90" s="161">
        <f>'תקציב החברה לפיתוח 2022'!Q90</f>
        <v>0</v>
      </c>
      <c r="R90" s="161">
        <f>'תקציב החברה לפיתוח 2022'!R90</f>
        <v>0</v>
      </c>
      <c r="S90" s="161">
        <f>'תקציב החברה לפיתוח 2022'!S90</f>
        <v>0</v>
      </c>
      <c r="T90" s="161">
        <f>'תקציב החברה לפיתוח 2022'!T90</f>
        <v>0</v>
      </c>
      <c r="U90" s="161">
        <f>'תקציב החברה לפיתוח 2022'!U90</f>
        <v>400000</v>
      </c>
      <c r="V90" s="161">
        <f>'תקציב החברה לפיתוח 2022'!V90</f>
        <v>400000</v>
      </c>
      <c r="W90" s="161">
        <f>'תקציב החברה לפיתוח 2022'!W90</f>
        <v>0</v>
      </c>
      <c r="X90" s="161">
        <f>'תקציב החברה לפיתוח 2022'!X90</f>
        <v>0</v>
      </c>
      <c r="Y90" s="161">
        <f>'תקציב החברה לפיתוח 2022'!Y90</f>
        <v>0</v>
      </c>
      <c r="Z90" s="161">
        <f>'תקציב החברה לפיתוח 2022'!Z90</f>
        <v>0</v>
      </c>
      <c r="AA90" s="161">
        <f>'תקציב החברה לפיתוח 2022'!AA90</f>
        <v>0</v>
      </c>
      <c r="AB90" s="289" t="str">
        <f>'תקציב החברה לפיתוח 2022'!AB90</f>
        <v>תכנון וביצוע ניקוז ברחוב רוחמה ושבאי ישראל בשיתוף עם תאגיד המים. במסגרת תוכ. אב לניקוז.</v>
      </c>
      <c r="AC90" s="3">
        <v>742000</v>
      </c>
      <c r="AD90" s="154"/>
      <c r="AE90" s="154"/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</row>
    <row r="91" spans="1:55" s="5" customFormat="1" ht="45">
      <c r="A91" s="160">
        <f t="shared" si="1"/>
        <v>87</v>
      </c>
      <c r="B91" s="160">
        <f>'תקציב החברה לפיתוח 2022'!B91</f>
        <v>2198</v>
      </c>
      <c r="C91" s="289" t="str">
        <f>'תקציב החברה לפיתוח 2022'!C91</f>
        <v>פיתוח דרך מזרחית מקבילה לקיבוץ גלויות</v>
      </c>
      <c r="D91" s="161">
        <f>'תקציב החברה לפיתוח 2022'!D91</f>
        <v>16030000</v>
      </c>
      <c r="E91" s="161">
        <f>'תקציב החברה לפיתוח 2022'!E91</f>
        <v>9500000</v>
      </c>
      <c r="F91" s="161">
        <f>'תקציב החברה לפיתוח 2022'!F91</f>
        <v>6530000</v>
      </c>
      <c r="G91" s="161">
        <f>'תקציב החברה לפיתוח 2022'!G91</f>
        <v>500000</v>
      </c>
      <c r="H91" s="161">
        <f>'תקציב החברה לפיתוח 2022'!H91</f>
        <v>0</v>
      </c>
      <c r="I91" s="161">
        <f>'תקציב החברה לפיתוח 2022'!I91</f>
        <v>0</v>
      </c>
      <c r="J91" s="161">
        <f>'תקציב החברה לפיתוח 2022'!J91</f>
        <v>0</v>
      </c>
      <c r="K91" s="161">
        <f>'תקציב החברה לפיתוח 2022'!K91</f>
        <v>0</v>
      </c>
      <c r="L91" s="161">
        <f>'תקציב החברה לפיתוח 2022'!L91</f>
        <v>0</v>
      </c>
      <c r="M91" s="161">
        <f>'תקציב החברה לפיתוח 2022'!M91</f>
        <v>500000</v>
      </c>
      <c r="N91" s="161">
        <f>'תקציב החברה לפיתוח 2022'!N91</f>
        <v>300000</v>
      </c>
      <c r="O91" s="161">
        <f>'תקציב החברה לפיתוח 2022'!O91</f>
        <v>15230000</v>
      </c>
      <c r="P91" s="161">
        <f>'תקציב החברה לפיתוח 2022'!P91</f>
        <v>500000</v>
      </c>
      <c r="Q91" s="161">
        <f>'תקציב החברה לפיתוח 2022'!Q91</f>
        <v>0</v>
      </c>
      <c r="R91" s="161">
        <f>'תקציב החברה לפיתוח 2022'!R91</f>
        <v>0</v>
      </c>
      <c r="S91" s="161">
        <f>'תקציב החברה לפיתוח 2022'!S91</f>
        <v>0</v>
      </c>
      <c r="T91" s="161">
        <f>'תקציב החברה לפיתוח 2022'!T91</f>
        <v>0</v>
      </c>
      <c r="U91" s="161">
        <f>'תקציב החברה לפיתוח 2022'!U91</f>
        <v>300000</v>
      </c>
      <c r="V91" s="161">
        <f>'תקציב החברה לפיתוח 2022'!V91</f>
        <v>300000</v>
      </c>
      <c r="W91" s="161">
        <f>'תקציב החברה לפיתוח 2022'!W91</f>
        <v>0</v>
      </c>
      <c r="X91" s="161">
        <f>'תקציב החברה לפיתוח 2022'!X91</f>
        <v>0</v>
      </c>
      <c r="Y91" s="161">
        <f>'תקציב החברה לפיתוח 2022'!Y91</f>
        <v>0</v>
      </c>
      <c r="Z91" s="161">
        <f>'תקציב החברה לפיתוח 2022'!Z91</f>
        <v>0</v>
      </c>
      <c r="AA91" s="161">
        <f>'תקציב החברה לפיתוח 2022'!AA91</f>
        <v>0</v>
      </c>
      <c r="AB91" s="289" t="str">
        <f>'תקציב החברה לפיתוח 2022'!AB91</f>
        <v>פיתוח רחוב חדש המזרחי ביותר בנווה עמל.  תכנון.</v>
      </c>
      <c r="AC91" s="3">
        <v>742000</v>
      </c>
      <c r="AD91" s="154"/>
      <c r="AE91" s="154"/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</row>
    <row r="92" spans="1:55" s="5" customFormat="1" ht="75">
      <c r="A92" s="160">
        <f t="shared" si="1"/>
        <v>88</v>
      </c>
      <c r="B92" s="160">
        <f>'תקציב החברה לפיתוח 2022'!B92</f>
        <v>2201</v>
      </c>
      <c r="C92" s="289" t="str">
        <f>'תקציב החברה לפיתוח 2022'!C92</f>
        <v>מתחם בי"ס הנדיב</v>
      </c>
      <c r="D92" s="161">
        <f>'תקציב החברה לפיתוח 2022'!D92</f>
        <v>80000000</v>
      </c>
      <c r="E92" s="161">
        <f>'תקציב החברה לפיתוח 2022'!E92</f>
        <v>80000000</v>
      </c>
      <c r="F92" s="161">
        <f>'תקציב החברה לפיתוח 2022'!F92</f>
        <v>0</v>
      </c>
      <c r="G92" s="161">
        <f>'תקציב החברה לפיתוח 2022'!G92</f>
        <v>100000</v>
      </c>
      <c r="H92" s="161">
        <f>'תקציב החברה לפיתוח 2022'!H92</f>
        <v>0</v>
      </c>
      <c r="I92" s="161">
        <f>'תקציב החברה לפיתוח 2022'!I92</f>
        <v>0</v>
      </c>
      <c r="J92" s="161">
        <f>'תקציב החברה לפיתוח 2022'!J92</f>
        <v>52188</v>
      </c>
      <c r="K92" s="161">
        <f>'תקציב החברה לפיתוח 2022'!K92</f>
        <v>52188</v>
      </c>
      <c r="L92" s="161">
        <f>'תקציב החברה לפיתוח 2022'!L92</f>
        <v>52188</v>
      </c>
      <c r="M92" s="161">
        <f>'תקציב החברה לפיתוח 2022'!M92</f>
        <v>447812</v>
      </c>
      <c r="N92" s="161">
        <f>'תקציב החברה לפיתוח 2022'!N92</f>
        <v>1000000</v>
      </c>
      <c r="O92" s="161">
        <f>'תקציב החברה לפיתוח 2022'!O92</f>
        <v>78500000</v>
      </c>
      <c r="P92" s="161">
        <f>'תקציב החברה לפיתוח 2022'!P92</f>
        <v>47812</v>
      </c>
      <c r="Q92" s="161">
        <f>'תקציב החברה לפיתוח 2022'!Q92</f>
        <v>400000</v>
      </c>
      <c r="R92" s="161">
        <f>'תקציב החברה לפיתוח 2022'!R92</f>
        <v>0</v>
      </c>
      <c r="S92" s="161">
        <f>'תקציב החברה לפיתוח 2022'!S92</f>
        <v>400000</v>
      </c>
      <c r="T92" s="161">
        <f>'תקציב החברה לפיתוח 2022'!T92</f>
        <v>0</v>
      </c>
      <c r="U92" s="161">
        <f>'תקציב החברה לפיתוח 2022'!U92</f>
        <v>1000000</v>
      </c>
      <c r="V92" s="161">
        <f>'תקציב החברה לפיתוח 2022'!V92</f>
        <v>1000000</v>
      </c>
      <c r="W92" s="161">
        <f>'תקציב החברה לפיתוח 2022'!W92</f>
        <v>0</v>
      </c>
      <c r="X92" s="161">
        <f>'תקציב החברה לפיתוח 2022'!X92</f>
        <v>0</v>
      </c>
      <c r="Y92" s="161">
        <f>'תקציב החברה לפיתוח 2022'!Y92</f>
        <v>0</v>
      </c>
      <c r="Z92" s="161">
        <f>'תקציב החברה לפיתוח 2022'!Z92</f>
        <v>0</v>
      </c>
      <c r="AA92" s="161">
        <f>'תקציב החברה לפיתוח 2022'!AA92</f>
        <v>0</v>
      </c>
      <c r="AB92" s="289" t="str">
        <f>'תקציב החברה לפיתוח 2022'!AB92</f>
        <v xml:space="preserve">הריסת מבנים קיימים ובניה מתחם חדש:בי"ס יסודי 24 כיתות, 4 כיתות ח"מ, אולם ספורט, מגרש ספורט מוצלל, 4 כיתות גנ"י. </v>
      </c>
      <c r="AC92" s="3">
        <v>810000</v>
      </c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</row>
    <row r="93" spans="1:55" s="5" customFormat="1" ht="30">
      <c r="A93" s="160">
        <f t="shared" si="1"/>
        <v>89</v>
      </c>
      <c r="B93" s="160">
        <f>'תקציב החברה לפיתוח 2022'!B93</f>
        <v>2202</v>
      </c>
      <c r="C93" s="289" t="str">
        <f>'תקציב החברה לפיתוח 2022'!C93</f>
        <v>בי"ס דמוקרטי</v>
      </c>
      <c r="D93" s="161">
        <f>'תקציב החברה לפיתוח 2022'!D93</f>
        <v>1000000</v>
      </c>
      <c r="E93" s="161">
        <f>'תקציב החברה לפיתוח 2022'!E93</f>
        <v>1000000</v>
      </c>
      <c r="F93" s="161">
        <f>'תקציב החברה לפיתוח 2022'!F93</f>
        <v>0</v>
      </c>
      <c r="G93" s="161">
        <f>'תקציב החברה לפיתוח 2022'!G93</f>
        <v>100000</v>
      </c>
      <c r="H93" s="161">
        <f>'תקציב החברה לפיתוח 2022'!H93</f>
        <v>0</v>
      </c>
      <c r="I93" s="161">
        <f>'תקציב החברה לפיתוח 2022'!I93</f>
        <v>0</v>
      </c>
      <c r="J93" s="161">
        <f>'תקציב החברה לפיתוח 2022'!J93</f>
        <v>0</v>
      </c>
      <c r="K93" s="161">
        <f>'תקציב החברה לפיתוח 2022'!K93</f>
        <v>0</v>
      </c>
      <c r="L93" s="161">
        <f>'תקציב החברה לפיתוח 2022'!L93</f>
        <v>0</v>
      </c>
      <c r="M93" s="161">
        <f>'תקציב החברה לפיתוח 2022'!M93</f>
        <v>1000000</v>
      </c>
      <c r="N93" s="161">
        <f>'תקציב החברה לפיתוח 2022'!N93</f>
        <v>0</v>
      </c>
      <c r="O93" s="161">
        <f>'תקציב החברה לפיתוח 2022'!O93</f>
        <v>0</v>
      </c>
      <c r="P93" s="161">
        <f>'תקציב החברה לפיתוח 2022'!P93</f>
        <v>100000</v>
      </c>
      <c r="Q93" s="161">
        <f>'תקציב החברה לפיתוח 2022'!Q93</f>
        <v>900000</v>
      </c>
      <c r="R93" s="161">
        <f>'תקציב החברה לפיתוח 2022'!R93</f>
        <v>0</v>
      </c>
      <c r="S93" s="161">
        <f>'תקציב החברה לפיתוח 2022'!S93</f>
        <v>900000</v>
      </c>
      <c r="T93" s="161">
        <f>'תקציב החברה לפיתוח 2022'!T93</f>
        <v>0</v>
      </c>
      <c r="U93" s="161">
        <f>'תקציב החברה לפיתוח 2022'!U93</f>
        <v>0</v>
      </c>
      <c r="V93" s="161">
        <f>'תקציב החברה לפיתוח 2022'!V93</f>
        <v>0</v>
      </c>
      <c r="W93" s="161">
        <f>'תקציב החברה לפיתוח 2022'!W93</f>
        <v>0</v>
      </c>
      <c r="X93" s="161">
        <f>'תקציב החברה לפיתוח 2022'!X93</f>
        <v>0</v>
      </c>
      <c r="Y93" s="161">
        <f>'תקציב החברה לפיתוח 2022'!Y93</f>
        <v>0</v>
      </c>
      <c r="Z93" s="161">
        <f>'תקציב החברה לפיתוח 2022'!Z93</f>
        <v>0</v>
      </c>
      <c r="AA93" s="161">
        <f>'תקציב החברה לפיתוח 2022'!AA93</f>
        <v>0</v>
      </c>
      <c r="AB93" s="289" t="str">
        <f>'תקציב החברה לפיתוח 2022'!AB93</f>
        <v xml:space="preserve">בדיקת היתכנות להקמת בי"ס יסודי 18 כיתות. </v>
      </c>
      <c r="AC93" s="3">
        <v>810000</v>
      </c>
      <c r="AD93" s="154"/>
      <c r="AE93" s="154"/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</row>
    <row r="94" spans="1:55" s="5" customFormat="1" ht="60">
      <c r="A94" s="160">
        <f t="shared" si="1"/>
        <v>90</v>
      </c>
      <c r="B94" s="160">
        <f>'תקציב החברה לפיתוח 2022'!B94</f>
        <v>2203</v>
      </c>
      <c r="C94" s="289" t="str">
        <f>'תקציב החברה לפיתוח 2022'!C94</f>
        <v>אולם ספורט בי"ס יוחנני (*) עדכון ובניית כיתות וגנ"י</v>
      </c>
      <c r="D94" s="161">
        <f>'תקציב החברה לפיתוח 2022'!D94</f>
        <v>1000000</v>
      </c>
      <c r="E94" s="161">
        <f>'תקציב החברה לפיתוח 2022'!E94</f>
        <v>1000000</v>
      </c>
      <c r="F94" s="161">
        <f>'תקציב החברה לפיתוח 2022'!F94</f>
        <v>0</v>
      </c>
      <c r="G94" s="161">
        <f>'תקציב החברה לפיתוח 2022'!G94</f>
        <v>100000</v>
      </c>
      <c r="H94" s="161">
        <f>'תקציב החברה לפיתוח 2022'!H94</f>
        <v>0</v>
      </c>
      <c r="I94" s="161">
        <f>'תקציב החברה לפיתוח 2022'!I94</f>
        <v>0</v>
      </c>
      <c r="J94" s="161">
        <f>'תקציב החברה לפיתוח 2022'!J94</f>
        <v>0</v>
      </c>
      <c r="K94" s="161">
        <f>'תקציב החברה לפיתוח 2022'!K94</f>
        <v>0</v>
      </c>
      <c r="L94" s="161">
        <f>'תקציב החברה לפיתוח 2022'!L94</f>
        <v>0</v>
      </c>
      <c r="M94" s="161">
        <f>'תקציב החברה לפיתוח 2022'!M94</f>
        <v>1000000</v>
      </c>
      <c r="N94" s="161">
        <f>'תקציב החברה לפיתוח 2022'!N94</f>
        <v>0</v>
      </c>
      <c r="O94" s="161">
        <f>'תקציב החברה לפיתוח 2022'!O94</f>
        <v>0</v>
      </c>
      <c r="P94" s="161">
        <f>'תקציב החברה לפיתוח 2022'!P94</f>
        <v>100000</v>
      </c>
      <c r="Q94" s="161">
        <f>'תקציב החברה לפיתוח 2022'!Q94</f>
        <v>900000</v>
      </c>
      <c r="R94" s="161">
        <f>'תקציב החברה לפיתוח 2022'!R94</f>
        <v>0</v>
      </c>
      <c r="S94" s="161">
        <f>'תקציב החברה לפיתוח 2022'!S94</f>
        <v>900000</v>
      </c>
      <c r="T94" s="161">
        <f>'תקציב החברה לפיתוח 2022'!T94</f>
        <v>0</v>
      </c>
      <c r="U94" s="161">
        <f>'תקציב החברה לפיתוח 2022'!U94</f>
        <v>0</v>
      </c>
      <c r="V94" s="161">
        <f>'תקציב החברה לפיתוח 2022'!V94</f>
        <v>0</v>
      </c>
      <c r="W94" s="161">
        <f>'תקציב החברה לפיתוח 2022'!W94</f>
        <v>0</v>
      </c>
      <c r="X94" s="161">
        <f>'תקציב החברה לפיתוח 2022'!X94</f>
        <v>0</v>
      </c>
      <c r="Y94" s="161">
        <f>'תקציב החברה לפיתוח 2022'!Y94</f>
        <v>0</v>
      </c>
      <c r="Z94" s="161">
        <f>'תקציב החברה לפיתוח 2022'!Z94</f>
        <v>0</v>
      </c>
      <c r="AA94" s="161">
        <f>'תקציב החברה לפיתוח 2022'!AA94</f>
        <v>0</v>
      </c>
      <c r="AB94" s="289" t="str">
        <f>'תקציב החברה לפיתוח 2022'!AB94</f>
        <v xml:space="preserve">הריסת א. ספורט קיים, בנית חדש ובניית 6  כיתות לימוד ובניית 3 גנ"י במקום גן קיים אלה. </v>
      </c>
      <c r="AC94" s="834">
        <v>829000</v>
      </c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</row>
    <row r="95" spans="1:55" s="5" customFormat="1" ht="45">
      <c r="A95" s="160">
        <f t="shared" si="1"/>
        <v>91</v>
      </c>
      <c r="B95" s="160">
        <f>'תקציב החברה לפיתוח 2022'!B95</f>
        <v>2204</v>
      </c>
      <c r="C95" s="289" t="str">
        <f>'תקציב החברה לפיתוח 2022'!C95</f>
        <v>בי"ס נוף ים-תוספת 6 כיתות ומקלט</v>
      </c>
      <c r="D95" s="161">
        <f>'תקציב החברה לפיתוח 2022'!D95</f>
        <v>800000</v>
      </c>
      <c r="E95" s="161">
        <f>'תקציב החברה לפיתוח 2022'!E95</f>
        <v>800000</v>
      </c>
      <c r="F95" s="161">
        <f>'תקציב החברה לפיתוח 2022'!F95</f>
        <v>0</v>
      </c>
      <c r="G95" s="161">
        <f>'תקציב החברה לפיתוח 2022'!G95</f>
        <v>100000</v>
      </c>
      <c r="H95" s="161">
        <f>'תקציב החברה לפיתוח 2022'!H95</f>
        <v>0</v>
      </c>
      <c r="I95" s="161">
        <f>'תקציב החברה לפיתוח 2022'!I95</f>
        <v>0</v>
      </c>
      <c r="J95" s="161">
        <f>'תקציב החברה לפיתוח 2022'!J95</f>
        <v>0</v>
      </c>
      <c r="K95" s="161">
        <f>'תקציב החברה לפיתוח 2022'!K95</f>
        <v>0</v>
      </c>
      <c r="L95" s="161">
        <f>'תקציב החברה לפיתוח 2022'!L95</f>
        <v>0</v>
      </c>
      <c r="M95" s="161">
        <f>'תקציב החברה לפיתוח 2022'!M95</f>
        <v>800000</v>
      </c>
      <c r="N95" s="161">
        <f>'תקציב החברה לפיתוח 2022'!N95</f>
        <v>0</v>
      </c>
      <c r="O95" s="161">
        <f>'תקציב החברה לפיתוח 2022'!O95</f>
        <v>0</v>
      </c>
      <c r="P95" s="161">
        <f>'תקציב החברה לפיתוח 2022'!P95</f>
        <v>100000</v>
      </c>
      <c r="Q95" s="161">
        <f>'תקציב החברה לפיתוח 2022'!Q95</f>
        <v>700000</v>
      </c>
      <c r="R95" s="161">
        <f>'תקציב החברה לפיתוח 2022'!R95</f>
        <v>0</v>
      </c>
      <c r="S95" s="161">
        <f>'תקציב החברה לפיתוח 2022'!S95</f>
        <v>700000</v>
      </c>
      <c r="T95" s="161">
        <f>'תקציב החברה לפיתוח 2022'!T95</f>
        <v>0</v>
      </c>
      <c r="U95" s="161">
        <f>'תקציב החברה לפיתוח 2022'!U95</f>
        <v>0</v>
      </c>
      <c r="V95" s="161">
        <f>'תקציב החברה לפיתוח 2022'!V95</f>
        <v>0</v>
      </c>
      <c r="W95" s="161">
        <f>'תקציב החברה לפיתוח 2022'!W95</f>
        <v>0</v>
      </c>
      <c r="X95" s="161">
        <f>'תקציב החברה לפיתוח 2022'!X95</f>
        <v>0</v>
      </c>
      <c r="Y95" s="161">
        <f>'תקציב החברה לפיתוח 2022'!Y95</f>
        <v>0</v>
      </c>
      <c r="Z95" s="161">
        <f>'תקציב החברה לפיתוח 2022'!Z95</f>
        <v>0</v>
      </c>
      <c r="AA95" s="161">
        <f>'תקציב החברה לפיתוח 2022'!AA95</f>
        <v>0</v>
      </c>
      <c r="AB95" s="289" t="str">
        <f>'תקציב החברה לפיתוח 2022'!AB95</f>
        <v xml:space="preserve">בדיקת היתכנות 6 כיתות  בי"ס יסודי . הרחבה ל - 18 כיתות.  </v>
      </c>
      <c r="AC95" s="3">
        <v>810000</v>
      </c>
      <c r="AD95" s="154"/>
      <c r="AE95" s="154"/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</row>
    <row r="96" spans="1:55" s="5" customFormat="1" ht="45">
      <c r="A96" s="160">
        <f t="shared" si="1"/>
        <v>92</v>
      </c>
      <c r="B96" s="160">
        <f>'תקציב החברה לפיתוח 2022'!B96</f>
        <v>2205</v>
      </c>
      <c r="C96" s="289" t="str">
        <f>'תקציב החברה לפיתוח 2022'!C96</f>
        <v xml:space="preserve">תיכון היובל </v>
      </c>
      <c r="D96" s="161">
        <f>'תקציב החברה לפיתוח 2022'!D96</f>
        <v>16000000</v>
      </c>
      <c r="E96" s="161">
        <f>'תקציב החברה לפיתוח 2022'!E96</f>
        <v>16000000</v>
      </c>
      <c r="F96" s="161">
        <f>'תקציב החברה לפיתוח 2022'!F96</f>
        <v>0</v>
      </c>
      <c r="G96" s="161">
        <f>'תקציב החברה לפיתוח 2022'!G96</f>
        <v>150000</v>
      </c>
      <c r="H96" s="161">
        <f>'תקציב החברה לפיתוח 2022'!H96</f>
        <v>1032</v>
      </c>
      <c r="I96" s="161">
        <f>'תקציב החברה לפיתוח 2022'!I96</f>
        <v>0</v>
      </c>
      <c r="J96" s="161">
        <f>'תקציב החברה לפיתוח 2022'!J96</f>
        <v>61020</v>
      </c>
      <c r="K96" s="161">
        <f>'תקציב החברה לפיתוח 2022'!K96</f>
        <v>61020</v>
      </c>
      <c r="L96" s="161">
        <f>'תקציב החברה לפיתוח 2022'!L96</f>
        <v>62052</v>
      </c>
      <c r="M96" s="161">
        <f>'תקציב החברה לפיתוח 2022'!M96</f>
        <v>387948</v>
      </c>
      <c r="N96" s="161">
        <f>'תקציב החברה לפיתוח 2022'!N96</f>
        <v>7000000</v>
      </c>
      <c r="O96" s="161">
        <f>'תקציב החברה לפיתוח 2022'!O96</f>
        <v>8550000</v>
      </c>
      <c r="P96" s="161">
        <f>'תקציב החברה לפיתוח 2022'!P96</f>
        <v>87948</v>
      </c>
      <c r="Q96" s="161">
        <f>'תקציב החברה לפיתוח 2022'!Q96</f>
        <v>300000</v>
      </c>
      <c r="R96" s="161">
        <f>'תקציב החברה לפיתוח 2022'!R96</f>
        <v>0</v>
      </c>
      <c r="S96" s="161">
        <f>'תקציב החברה לפיתוח 2022'!S96</f>
        <v>300000</v>
      </c>
      <c r="T96" s="161">
        <f>'תקציב החברה לפיתוח 2022'!T96</f>
        <v>0</v>
      </c>
      <c r="U96" s="161">
        <f>'תקציב החברה לפיתוח 2022'!U96</f>
        <v>7000000</v>
      </c>
      <c r="V96" s="161">
        <f>'תקציב החברה לפיתוח 2022'!V96</f>
        <v>7000000</v>
      </c>
      <c r="W96" s="161">
        <f>'תקציב החברה לפיתוח 2022'!W96</f>
        <v>0</v>
      </c>
      <c r="X96" s="161">
        <f>'תקציב החברה לפיתוח 2022'!X96</f>
        <v>0</v>
      </c>
      <c r="Y96" s="161">
        <f>'תקציב החברה לפיתוח 2022'!Y96</f>
        <v>0</v>
      </c>
      <c r="Z96" s="161">
        <f>'תקציב החברה לפיתוח 2022'!Z96</f>
        <v>0</v>
      </c>
      <c r="AA96" s="161">
        <f>'תקציב החברה לפיתוח 2022'!AA96</f>
        <v>0</v>
      </c>
      <c r="AB96" s="289" t="str">
        <f>'תקציב החברה לפיתוח 2022'!AB96</f>
        <v xml:space="preserve">תכנון וביצוע של תוספת 6 כיתות ומעבדות בתיכון היובל. </v>
      </c>
      <c r="AC96" s="3">
        <v>810000</v>
      </c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</row>
    <row r="97" spans="1:55" s="5" customFormat="1" ht="30">
      <c r="A97" s="160">
        <f t="shared" si="1"/>
        <v>93</v>
      </c>
      <c r="B97" s="160">
        <f>'תקציב החברה לפיתוח 2022'!B97</f>
        <v>2206</v>
      </c>
      <c r="C97" s="289" t="str">
        <f>'תקציב החברה לפיתוח 2022'!C97</f>
        <v>חט"ב באלתרמן</v>
      </c>
      <c r="D97" s="161">
        <f>'תקציב החברה לפיתוח 2022'!D97</f>
        <v>4000000</v>
      </c>
      <c r="E97" s="161">
        <f>'תקציב החברה לפיתוח 2022'!E97</f>
        <v>1000000</v>
      </c>
      <c r="F97" s="161">
        <f>'תקציב החברה לפיתוח 2022'!F97</f>
        <v>3000000</v>
      </c>
      <c r="G97" s="161">
        <f>'תקציב החברה לפיתוח 2022'!G97</f>
        <v>200000</v>
      </c>
      <c r="H97" s="161">
        <f>'תקציב החברה לפיתוח 2022'!H97</f>
        <v>6845</v>
      </c>
      <c r="I97" s="161">
        <f>'תקציב החברה לפיתוח 2022'!I97</f>
        <v>0</v>
      </c>
      <c r="J97" s="161">
        <f>'תקציב החברה לפיתוח 2022'!J97</f>
        <v>117175</v>
      </c>
      <c r="K97" s="161">
        <f>'תקציב החברה לפיתוח 2022'!K97</f>
        <v>117175</v>
      </c>
      <c r="L97" s="161">
        <f>'תקציב החברה לפיתוח 2022'!L97</f>
        <v>124020</v>
      </c>
      <c r="M97" s="161">
        <f>'תקציב החברה לפיתוח 2022'!M97</f>
        <v>875980</v>
      </c>
      <c r="N97" s="161">
        <f>'תקציב החברה לפיתוח 2022'!N97</f>
        <v>900000</v>
      </c>
      <c r="O97" s="161">
        <f>'תקציב החברה לפיתוח 2022'!O97</f>
        <v>2100000</v>
      </c>
      <c r="P97" s="161">
        <f>'תקציב החברה לפיתוח 2022'!P97</f>
        <v>75980</v>
      </c>
      <c r="Q97" s="161">
        <f>'תקציב החברה לפיתוח 2022'!Q97</f>
        <v>800000</v>
      </c>
      <c r="R97" s="161">
        <f>'תקציב החברה לפיתוח 2022'!R97</f>
        <v>0</v>
      </c>
      <c r="S97" s="161">
        <f>'תקציב החברה לפיתוח 2022'!S97</f>
        <v>800000</v>
      </c>
      <c r="T97" s="161">
        <f>'תקציב החברה לפיתוח 2022'!T97</f>
        <v>0</v>
      </c>
      <c r="U97" s="161">
        <f>'תקציב החברה לפיתוח 2022'!U97</f>
        <v>900000</v>
      </c>
      <c r="V97" s="161">
        <f>'תקציב החברה לפיתוח 2022'!V97</f>
        <v>900000</v>
      </c>
      <c r="W97" s="161">
        <f>'תקציב החברה לפיתוח 2022'!W97</f>
        <v>0</v>
      </c>
      <c r="X97" s="161">
        <f>'תקציב החברה לפיתוח 2022'!X97</f>
        <v>0</v>
      </c>
      <c r="Y97" s="161">
        <f>'תקציב החברה לפיתוח 2022'!Y97</f>
        <v>0</v>
      </c>
      <c r="Z97" s="161">
        <f>'תקציב החברה לפיתוח 2022'!Z97</f>
        <v>0</v>
      </c>
      <c r="AA97" s="161">
        <f>'תקציב החברה לפיתוח 2022'!AA97</f>
        <v>0</v>
      </c>
      <c r="AB97" s="289" t="str">
        <f>'תקציב החברה לפיתוח 2022'!AB97</f>
        <v xml:space="preserve">תכנון חט"ב חדשה 24 כיתות באלתרמן. </v>
      </c>
      <c r="AC97" s="3">
        <v>810000</v>
      </c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</row>
    <row r="98" spans="1:55" s="5" customFormat="1" ht="25.15" customHeight="1">
      <c r="A98" s="160">
        <f t="shared" si="1"/>
        <v>94</v>
      </c>
      <c r="B98" s="160">
        <f>'תקציב החברה לפיתוח 2022'!B98</f>
        <v>2207</v>
      </c>
      <c r="C98" s="289" t="str">
        <f>'תקציב החברה לפיתוח 2022'!C98</f>
        <v>בית כנסת גליל ים</v>
      </c>
      <c r="D98" s="161">
        <f>'תקציב החברה לפיתוח 2022'!D98</f>
        <v>500000</v>
      </c>
      <c r="E98" s="161">
        <f>'תקציב החברה לפיתוח 2022'!E98</f>
        <v>500000</v>
      </c>
      <c r="F98" s="161">
        <f>'תקציב החברה לפיתוח 2022'!F98</f>
        <v>0</v>
      </c>
      <c r="G98" s="161">
        <f>'תקציב החברה לפיתוח 2022'!G98</f>
        <v>100000</v>
      </c>
      <c r="H98" s="161">
        <f>'תקציב החברה לפיתוח 2022'!H98</f>
        <v>0</v>
      </c>
      <c r="I98" s="161">
        <f>'תקציב החברה לפיתוח 2022'!I98</f>
        <v>0</v>
      </c>
      <c r="J98" s="161">
        <f>'תקציב החברה לפיתוח 2022'!J98</f>
        <v>0</v>
      </c>
      <c r="K98" s="161">
        <f>'תקציב החברה לפיתוח 2022'!K98</f>
        <v>0</v>
      </c>
      <c r="L98" s="161">
        <f>'תקציב החברה לפיתוח 2022'!L98</f>
        <v>0</v>
      </c>
      <c r="M98" s="161">
        <f>'תקציב החברה לפיתוח 2022'!M98</f>
        <v>500000</v>
      </c>
      <c r="N98" s="161">
        <f>'תקציב החברה לפיתוח 2022'!N98</f>
        <v>0</v>
      </c>
      <c r="O98" s="161">
        <f>'תקציב החברה לפיתוח 2022'!O98</f>
        <v>0</v>
      </c>
      <c r="P98" s="161">
        <f>'תקציב החברה לפיתוח 2022'!P98</f>
        <v>100000</v>
      </c>
      <c r="Q98" s="161">
        <f>'תקציב החברה לפיתוח 2022'!Q98</f>
        <v>400000</v>
      </c>
      <c r="R98" s="161">
        <f>'תקציב החברה לפיתוח 2022'!R98</f>
        <v>0</v>
      </c>
      <c r="S98" s="161">
        <f>'תקציב החברה לפיתוח 2022'!S98</f>
        <v>400000</v>
      </c>
      <c r="T98" s="161">
        <f>'תקציב החברה לפיתוח 2022'!T98</f>
        <v>0</v>
      </c>
      <c r="U98" s="161">
        <f>'תקציב החברה לפיתוח 2022'!U98</f>
        <v>0</v>
      </c>
      <c r="V98" s="161">
        <f>'תקציב החברה לפיתוח 2022'!V98</f>
        <v>0</v>
      </c>
      <c r="W98" s="161">
        <f>'תקציב החברה לפיתוח 2022'!W98</f>
        <v>0</v>
      </c>
      <c r="X98" s="161">
        <f>'תקציב החברה לפיתוח 2022'!X98</f>
        <v>0</v>
      </c>
      <c r="Y98" s="161">
        <f>'תקציב החברה לפיתוח 2022'!Y98</f>
        <v>0</v>
      </c>
      <c r="Z98" s="161">
        <f>'תקציב החברה לפיתוח 2022'!Z98</f>
        <v>0</v>
      </c>
      <c r="AA98" s="161">
        <f>'תקציב החברה לפיתוח 2022'!AA98</f>
        <v>0</v>
      </c>
      <c r="AB98" s="289" t="str">
        <f>'תקציב החברה לפיתוח 2022'!AB98</f>
        <v>תכנון ביכנ"ס במתחם גליל ים. כולל בניית ביכנ"ס זמני .</v>
      </c>
      <c r="AC98" s="834">
        <v>850000</v>
      </c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</row>
    <row r="99" spans="1:55" s="5" customFormat="1" ht="25.15" customHeight="1">
      <c r="A99" s="160">
        <f t="shared" si="1"/>
        <v>95</v>
      </c>
      <c r="B99" s="160">
        <f>'תקציב החברה לפיתוח 2022'!B99</f>
        <v>2208</v>
      </c>
      <c r="C99" s="289" t="str">
        <f>'תקציב החברה לפיתוח 2022'!C99</f>
        <v>מקווה גליל ים</v>
      </c>
      <c r="D99" s="161">
        <f>'תקציב החברה לפיתוח 2022'!D99</f>
        <v>500000</v>
      </c>
      <c r="E99" s="161">
        <f>'תקציב החברה לפיתוח 2022'!E99</f>
        <v>500000</v>
      </c>
      <c r="F99" s="161">
        <f>'תקציב החברה לפיתוח 2022'!F99</f>
        <v>0</v>
      </c>
      <c r="G99" s="161">
        <f>'תקציב החברה לפיתוח 2022'!G99</f>
        <v>100000</v>
      </c>
      <c r="H99" s="161">
        <f>'תקציב החברה לפיתוח 2022'!H99</f>
        <v>0</v>
      </c>
      <c r="I99" s="161">
        <f>'תקציב החברה לפיתוח 2022'!I99</f>
        <v>0</v>
      </c>
      <c r="J99" s="161">
        <f>'תקציב החברה לפיתוח 2022'!J99</f>
        <v>0</v>
      </c>
      <c r="K99" s="161">
        <f>'תקציב החברה לפיתוח 2022'!K99</f>
        <v>0</v>
      </c>
      <c r="L99" s="161">
        <f>'תקציב החברה לפיתוח 2022'!L99</f>
        <v>0</v>
      </c>
      <c r="M99" s="161">
        <f>'תקציב החברה לפיתוח 2022'!M99</f>
        <v>500000</v>
      </c>
      <c r="N99" s="161">
        <f>'תקציב החברה לפיתוח 2022'!N99</f>
        <v>0</v>
      </c>
      <c r="O99" s="161">
        <f>'תקציב החברה לפיתוח 2022'!O99</f>
        <v>0</v>
      </c>
      <c r="P99" s="161">
        <f>'תקציב החברה לפיתוח 2022'!P99</f>
        <v>100000</v>
      </c>
      <c r="Q99" s="161">
        <f>'תקציב החברה לפיתוח 2022'!Q99</f>
        <v>400000</v>
      </c>
      <c r="R99" s="161">
        <f>'תקציב החברה לפיתוח 2022'!R99</f>
        <v>0</v>
      </c>
      <c r="S99" s="161">
        <f>'תקציב החברה לפיתוח 2022'!S99</f>
        <v>400000</v>
      </c>
      <c r="T99" s="161">
        <f>'תקציב החברה לפיתוח 2022'!T99</f>
        <v>0</v>
      </c>
      <c r="U99" s="161">
        <f>'תקציב החברה לפיתוח 2022'!U99</f>
        <v>0</v>
      </c>
      <c r="V99" s="161">
        <f>'תקציב החברה לפיתוח 2022'!V99</f>
        <v>0</v>
      </c>
      <c r="W99" s="161">
        <f>'תקציב החברה לפיתוח 2022'!W99</f>
        <v>0</v>
      </c>
      <c r="X99" s="161">
        <f>'תקציב החברה לפיתוח 2022'!X99</f>
        <v>0</v>
      </c>
      <c r="Y99" s="161">
        <f>'תקציב החברה לפיתוח 2022'!Y99</f>
        <v>0</v>
      </c>
      <c r="Z99" s="161">
        <f>'תקציב החברה לפיתוח 2022'!Z99</f>
        <v>0</v>
      </c>
      <c r="AA99" s="161">
        <f>'תקציב החברה לפיתוח 2022'!AA99</f>
        <v>0</v>
      </c>
      <c r="AB99" s="289" t="str">
        <f>'תקציב החברה לפיתוח 2022'!AB99</f>
        <v>תכנון מקווה במתחם גליל ים.</v>
      </c>
      <c r="AC99" s="834">
        <v>850000</v>
      </c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</row>
    <row r="100" spans="1:55" s="5" customFormat="1" ht="60">
      <c r="A100" s="160">
        <f t="shared" si="1"/>
        <v>96</v>
      </c>
      <c r="B100" s="160">
        <f>'תקציב החברה לפיתוח 2022'!B100</f>
        <v>2209</v>
      </c>
      <c r="C100" s="289" t="str">
        <f>'תקציב החברה לפיתוח 2022'!C100</f>
        <v>בית ספר ברנר (תוספת 6 כיתות)</v>
      </c>
      <c r="D100" s="161">
        <f>'תקציב החברה לפיתוח 2022'!D100</f>
        <v>46500000</v>
      </c>
      <c r="E100" s="161">
        <f>'תקציב החברה לפיתוח 2022'!E100</f>
        <v>500000</v>
      </c>
      <c r="F100" s="161">
        <f>'תקציב החברה לפיתוח 2022'!F100</f>
        <v>46000000</v>
      </c>
      <c r="G100" s="161">
        <f>'תקציב החברה לפיתוח 2022'!G100</f>
        <v>150000</v>
      </c>
      <c r="H100" s="161">
        <f>'תקציב החברה לפיתוח 2022'!H100</f>
        <v>25733</v>
      </c>
      <c r="I100" s="161">
        <f>'תקציב החברה לפיתוח 2022'!I100</f>
        <v>0</v>
      </c>
      <c r="J100" s="161">
        <f>'תקציב החברה לפיתוח 2022'!J100</f>
        <v>48679</v>
      </c>
      <c r="K100" s="161">
        <f>'תקציב החברה לפיתוח 2022'!K100</f>
        <v>48679</v>
      </c>
      <c r="L100" s="161">
        <f>'תקציב החברה לפיתוח 2022'!L100</f>
        <v>74412</v>
      </c>
      <c r="M100" s="161">
        <f>'תקציב החברה לפיתוח 2022'!M100</f>
        <v>425588</v>
      </c>
      <c r="N100" s="161">
        <f>'תקציב החברה לפיתוח 2022'!N100</f>
        <v>1000000</v>
      </c>
      <c r="O100" s="161">
        <f>'תקציב החברה לפיתוח 2022'!O100</f>
        <v>45000000</v>
      </c>
      <c r="P100" s="161">
        <f>'תקציב החברה לפיתוח 2022'!P100</f>
        <v>75588</v>
      </c>
      <c r="Q100" s="161">
        <f>'תקציב החברה לפיתוח 2022'!Q100</f>
        <v>350000</v>
      </c>
      <c r="R100" s="161">
        <f>'תקציב החברה לפיתוח 2022'!R100</f>
        <v>0</v>
      </c>
      <c r="S100" s="161">
        <f>'תקציב החברה לפיתוח 2022'!S100</f>
        <v>350000</v>
      </c>
      <c r="T100" s="161">
        <f>'תקציב החברה לפיתוח 2022'!T100</f>
        <v>0</v>
      </c>
      <c r="U100" s="161">
        <f>'תקציב החברה לפיתוח 2022'!U100</f>
        <v>1000000</v>
      </c>
      <c r="V100" s="161">
        <f>'תקציב החברה לפיתוח 2022'!V100</f>
        <v>1000000</v>
      </c>
      <c r="W100" s="161">
        <f>'תקציב החברה לפיתוח 2022'!W100</f>
        <v>0</v>
      </c>
      <c r="X100" s="161">
        <f>'תקציב החברה לפיתוח 2022'!X100</f>
        <v>0</v>
      </c>
      <c r="Y100" s="161">
        <f>'תקציב החברה לפיתוח 2022'!Y100</f>
        <v>0</v>
      </c>
      <c r="Z100" s="161">
        <f>'תקציב החברה לפיתוח 2022'!Z100</f>
        <v>0</v>
      </c>
      <c r="AA100" s="161">
        <f>'תקציב החברה לפיתוח 2022'!AA100</f>
        <v>0</v>
      </c>
      <c r="AB100" s="289" t="str">
        <f>'תקציב החברה לפיתוח 2022'!AB100</f>
        <v>תכנון וביצוע תוספת 8 כיתות בי"ס ברנר ובניית אולם ספורט. ב - 2022 : תכנוון .</v>
      </c>
      <c r="AC100" s="3">
        <v>810000</v>
      </c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</row>
    <row r="101" spans="1:55" s="498" customFormat="1" ht="105">
      <c r="A101" s="160">
        <f t="shared" si="1"/>
        <v>97</v>
      </c>
      <c r="B101" s="160">
        <f>'תקציב החברה לפיתוח 2022'!B101</f>
        <v>2213</v>
      </c>
      <c r="C101" s="289" t="str">
        <f>'תקציב החברה לפיתוח 2022'!C101</f>
        <v>הקמת מערכות pv מעל גגות מבני ציבור בהרצליה</v>
      </c>
      <c r="D101" s="161">
        <f>'תקציב החברה לפיתוח 2022'!D101</f>
        <v>7100000</v>
      </c>
      <c r="E101" s="161">
        <f>'תקציב החברה לפיתוח 2022'!E101</f>
        <v>7100000</v>
      </c>
      <c r="F101" s="161">
        <f>'תקציב החברה לפיתוח 2022'!F101</f>
        <v>0</v>
      </c>
      <c r="G101" s="161">
        <f>'תקציב החברה לפיתוח 2022'!G101</f>
        <v>0</v>
      </c>
      <c r="H101" s="161">
        <f>'תקציב החברה לפיתוח 2022'!H101</f>
        <v>0</v>
      </c>
      <c r="I101" s="161">
        <f>'תקציב החברה לפיתוח 2022'!I101</f>
        <v>0</v>
      </c>
      <c r="J101" s="161">
        <f>'תקציב החברה לפיתוח 2022'!J101</f>
        <v>0</v>
      </c>
      <c r="K101" s="161">
        <f>'תקציב החברה לפיתוח 2022'!K101</f>
        <v>0</v>
      </c>
      <c r="L101" s="161">
        <f>'תקציב החברה לפיתוח 2022'!L101</f>
        <v>0</v>
      </c>
      <c r="M101" s="161">
        <f>'תקציב החברה לפיתוח 2022'!M101</f>
        <v>0</v>
      </c>
      <c r="N101" s="161">
        <f>'תקציב החברה לפיתוח 2022'!N101</f>
        <v>7100000</v>
      </c>
      <c r="O101" s="161">
        <f>'תקציב החברה לפיתוח 2022'!O101</f>
        <v>0</v>
      </c>
      <c r="P101" s="161">
        <f>'תקציב החברה לפיתוח 2022'!P101</f>
        <v>0</v>
      </c>
      <c r="Q101" s="161">
        <f>'תקציב החברה לפיתוח 2022'!Q101</f>
        <v>0</v>
      </c>
      <c r="R101" s="161">
        <f>'תקציב החברה לפיתוח 2022'!R101</f>
        <v>0</v>
      </c>
      <c r="S101" s="161">
        <f>'תקציב החברה לפיתוח 2022'!S101</f>
        <v>0</v>
      </c>
      <c r="T101" s="161">
        <f>'תקציב החברה לפיתוח 2022'!T101</f>
        <v>0</v>
      </c>
      <c r="U101" s="161">
        <f>'תקציב החברה לפיתוח 2022'!U101</f>
        <v>7100000</v>
      </c>
      <c r="V101" s="161">
        <f>'תקציב החברה לפיתוח 2022'!V101</f>
        <v>0</v>
      </c>
      <c r="W101" s="161">
        <f>'תקציב החברה לפיתוח 2022'!W101</f>
        <v>0</v>
      </c>
      <c r="X101" s="161">
        <f>'תקציב החברה לפיתוח 2022'!X101</f>
        <v>0</v>
      </c>
      <c r="Y101" s="161">
        <f>'תקציב החברה לפיתוח 2022'!Y101</f>
        <v>0</v>
      </c>
      <c r="Z101" s="161">
        <f>'תקציב החברה לפיתוח 2022'!Z101</f>
        <v>7100000</v>
      </c>
      <c r="AA101" s="161">
        <f>'תקציב החברה לפיתוח 2022'!AA101</f>
        <v>0</v>
      </c>
      <c r="AB101" s="289" t="str">
        <f>'תקציב החברה לפיתוח 2022'!AB101</f>
        <v>הקמת מערכות סולאריות על גגות אולמות ספורט ומתנ"סים 14 במספר עפ"י רשימה. מימון הלוואות במסגרת מיזם  מאושר מפעל הפייס. עבר ממינהל התפעול.</v>
      </c>
      <c r="AC101" s="3">
        <v>870000</v>
      </c>
      <c r="AD101" s="154"/>
      <c r="AE101" s="154"/>
      <c r="AF101" s="154"/>
      <c r="AG101" s="154"/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</row>
    <row r="102" spans="1:55" s="5" customFormat="1" ht="60">
      <c r="A102" s="160">
        <f t="shared" si="1"/>
        <v>98</v>
      </c>
      <c r="B102" s="160">
        <f>'תקציב החברה לפיתוח 2022'!B102</f>
        <v>2220</v>
      </c>
      <c r="C102" s="289" t="str">
        <f>'תקציב החברה לפיתוח 2022'!C102</f>
        <v>גן יניב - פיתוח והקמת מתקני כושר</v>
      </c>
      <c r="D102" s="161">
        <f>'תקציב החברה לפיתוח 2022'!D102</f>
        <v>1000000</v>
      </c>
      <c r="E102" s="161">
        <f>'תקציב החברה לפיתוח 2022'!E102</f>
        <v>800000</v>
      </c>
      <c r="F102" s="161">
        <f>'תקציב החברה לפיתוח 2022'!F102</f>
        <v>200000</v>
      </c>
      <c r="G102" s="161">
        <f>'תקציב החברה לפיתוח 2022'!G102</f>
        <v>0</v>
      </c>
      <c r="H102" s="161">
        <f>'תקציב החברה לפיתוח 2022'!H102</f>
        <v>0</v>
      </c>
      <c r="I102" s="161">
        <f>'תקציב החברה לפיתוח 2022'!I102</f>
        <v>0</v>
      </c>
      <c r="J102" s="161">
        <f>'תקציב החברה לפיתוח 2022'!J102</f>
        <v>0</v>
      </c>
      <c r="K102" s="161">
        <f>'תקציב החברה לפיתוח 2022'!K102</f>
        <v>0</v>
      </c>
      <c r="L102" s="161">
        <f>'תקציב החברה לפיתוח 2022'!L102</f>
        <v>0</v>
      </c>
      <c r="M102" s="161">
        <f>'תקציב החברה לפיתוח 2022'!M102</f>
        <v>0</v>
      </c>
      <c r="N102" s="161">
        <f>'תקציב החברה לפיתוח 2022'!N102</f>
        <v>1000000</v>
      </c>
      <c r="O102" s="161">
        <f>'תקציב החברה לפיתוח 2022'!O102</f>
        <v>0</v>
      </c>
      <c r="P102" s="161">
        <f>'תקציב החברה לפיתוח 2022'!P102</f>
        <v>0</v>
      </c>
      <c r="Q102" s="161">
        <f>'תקציב החברה לפיתוח 2022'!Q102</f>
        <v>0</v>
      </c>
      <c r="R102" s="161">
        <f>'תקציב החברה לפיתוח 2022'!R102</f>
        <v>0</v>
      </c>
      <c r="S102" s="161">
        <f>'תקציב החברה לפיתוח 2022'!S102</f>
        <v>0</v>
      </c>
      <c r="T102" s="161">
        <f>'תקציב החברה לפיתוח 2022'!T102</f>
        <v>0</v>
      </c>
      <c r="U102" s="161">
        <f>'תקציב החברה לפיתוח 2022'!U102</f>
        <v>1000000</v>
      </c>
      <c r="V102" s="161">
        <f>'תקציב החברה לפיתוח 2022'!V102</f>
        <v>1000000</v>
      </c>
      <c r="W102" s="161">
        <f>'תקציב החברה לפיתוח 2022'!W102</f>
        <v>0</v>
      </c>
      <c r="X102" s="161">
        <f>'תקציב החברה לפיתוח 2022'!X102</f>
        <v>0</v>
      </c>
      <c r="Y102" s="161">
        <f>'תקציב החברה לפיתוח 2022'!Y102</f>
        <v>0</v>
      </c>
      <c r="Z102" s="161">
        <f>'תקציב החברה לפיתוח 2022'!Z102</f>
        <v>0</v>
      </c>
      <c r="AA102" s="161">
        <f>'תקציב החברה לפיתוח 2022'!AA102</f>
        <v>0</v>
      </c>
      <c r="AB102" s="289" t="str">
        <f>'תקציב החברה לפיתוח 2022'!AB102</f>
        <v>תכנון וביצוע הקמת מתקני כושר ופיתוח בשטח הגבול בין גינת הכלבים וחיבור לגן הציבורי בשטח של 1.3 דונם.</v>
      </c>
      <c r="AC102" s="3">
        <v>746000</v>
      </c>
      <c r="AD102" s="154"/>
      <c r="AE102" s="154"/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</row>
    <row r="103" spans="1:55" s="5" customFormat="1" ht="25.15" customHeight="1">
      <c r="A103" s="160">
        <f t="shared" si="1"/>
        <v>99</v>
      </c>
      <c r="B103" s="160">
        <f>'תקציב החברה לפיתוח 2022'!B103</f>
        <v>20010</v>
      </c>
      <c r="C103" s="289" t="str">
        <f>'תקציב החברה לפיתוח 2022'!C103</f>
        <v>גנ"י אחד העם</v>
      </c>
      <c r="D103" s="161">
        <f>'תקציב החברה לפיתוח 2022'!D103</f>
        <v>7000000</v>
      </c>
      <c r="E103" s="161">
        <f>'תקציב החברה לפיתוח 2022'!E103</f>
        <v>0</v>
      </c>
      <c r="F103" s="161">
        <f>'תקציב החברה לפיתוח 2022'!F103</f>
        <v>7000000</v>
      </c>
      <c r="G103" s="161">
        <f>'תקציב החברה לפיתוח 2022'!G103</f>
        <v>0</v>
      </c>
      <c r="H103" s="161">
        <f>'תקציב החברה לפיתוח 2022'!H103</f>
        <v>0</v>
      </c>
      <c r="I103" s="161">
        <f>'תקציב החברה לפיתוח 2022'!I103</f>
        <v>0</v>
      </c>
      <c r="J103" s="161">
        <f>'תקציב החברה לפיתוח 2022'!J103</f>
        <v>0</v>
      </c>
      <c r="K103" s="161">
        <f>'תקציב החברה לפיתוח 2022'!K103</f>
        <v>0</v>
      </c>
      <c r="L103" s="161">
        <f>'תקציב החברה לפיתוח 2022'!L103</f>
        <v>0</v>
      </c>
      <c r="M103" s="161">
        <f>'תקציב החברה לפיתוח 2022'!M103</f>
        <v>0</v>
      </c>
      <c r="N103" s="161">
        <f>'תקציב החברה לפיתוח 2022'!N103</f>
        <v>500000</v>
      </c>
      <c r="O103" s="161">
        <f>'תקציב החברה לפיתוח 2022'!O103</f>
        <v>6500000</v>
      </c>
      <c r="P103" s="161">
        <f>'תקציב החברה לפיתוח 2022'!P103</f>
        <v>0</v>
      </c>
      <c r="Q103" s="161">
        <f>'תקציב החברה לפיתוח 2022'!Q103</f>
        <v>0</v>
      </c>
      <c r="R103" s="161">
        <f>'תקציב החברה לפיתוח 2022'!R103</f>
        <v>0</v>
      </c>
      <c r="S103" s="161">
        <f>'תקציב החברה לפיתוח 2022'!S103</f>
        <v>0</v>
      </c>
      <c r="T103" s="161">
        <f>'תקציב החברה לפיתוח 2022'!T103</f>
        <v>0</v>
      </c>
      <c r="U103" s="161">
        <f>'תקציב החברה לפיתוח 2022'!U103</f>
        <v>500000</v>
      </c>
      <c r="V103" s="161">
        <f>'תקציב החברה לפיתוח 2022'!V103</f>
        <v>500000</v>
      </c>
      <c r="W103" s="161">
        <f>'תקציב החברה לפיתוח 2022'!W103</f>
        <v>0</v>
      </c>
      <c r="X103" s="161">
        <f>'תקציב החברה לפיתוח 2022'!X103</f>
        <v>0</v>
      </c>
      <c r="Y103" s="161">
        <f>'תקציב החברה לפיתוח 2022'!Y103</f>
        <v>0</v>
      </c>
      <c r="Z103" s="161">
        <f>'תקציב החברה לפיתוח 2022'!Z103</f>
        <v>0</v>
      </c>
      <c r="AA103" s="161">
        <f>'תקציב החברה לפיתוח 2022'!AA103</f>
        <v>0</v>
      </c>
      <c r="AB103" s="289" t="str">
        <f>'תקציב החברה לפיתוח 2022'!AB103</f>
        <v xml:space="preserve">תכנון וביצוע 2 גנ"י. </v>
      </c>
      <c r="AC103" s="3">
        <v>810000</v>
      </c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</row>
    <row r="104" spans="1:55" s="5" customFormat="1" ht="30">
      <c r="A104" s="160">
        <f t="shared" si="1"/>
        <v>100</v>
      </c>
      <c r="B104" s="160">
        <f>'תקציב החברה לפיתוח 2022'!B104</f>
        <v>20011</v>
      </c>
      <c r="C104" s="289" t="str">
        <f>'תקציב החברה לפיתוח 2022'!C104</f>
        <v>גנ"י חנה רובינא</v>
      </c>
      <c r="D104" s="161">
        <f>'תקציב החברה לפיתוח 2022'!D104</f>
        <v>18500000</v>
      </c>
      <c r="E104" s="161">
        <f>'תקציב החברה לפיתוח 2022'!E104</f>
        <v>0</v>
      </c>
      <c r="F104" s="161">
        <f>'תקציב החברה לפיתוח 2022'!F104</f>
        <v>18500000</v>
      </c>
      <c r="G104" s="161">
        <f>'תקציב החברה לפיתוח 2022'!G104</f>
        <v>0</v>
      </c>
      <c r="H104" s="161">
        <f>'תקציב החברה לפיתוח 2022'!H104</f>
        <v>0</v>
      </c>
      <c r="I104" s="161">
        <f>'תקציב החברה לפיתוח 2022'!I104</f>
        <v>0</v>
      </c>
      <c r="J104" s="161">
        <f>'תקציב החברה לפיתוח 2022'!J104</f>
        <v>0</v>
      </c>
      <c r="K104" s="161">
        <f>'תקציב החברה לפיתוח 2022'!K104</f>
        <v>0</v>
      </c>
      <c r="L104" s="161">
        <f>'תקציב החברה לפיתוח 2022'!L104</f>
        <v>0</v>
      </c>
      <c r="M104" s="161">
        <f>'תקציב החברה לפיתוח 2022'!M104</f>
        <v>0</v>
      </c>
      <c r="N104" s="161">
        <f>'תקציב החברה לפיתוח 2022'!N104</f>
        <v>500000</v>
      </c>
      <c r="O104" s="161">
        <f>'תקציב החברה לפיתוח 2022'!O104</f>
        <v>18000000</v>
      </c>
      <c r="P104" s="161">
        <f>'תקציב החברה לפיתוח 2022'!P104</f>
        <v>0</v>
      </c>
      <c r="Q104" s="161">
        <f>'תקציב החברה לפיתוח 2022'!Q104</f>
        <v>0</v>
      </c>
      <c r="R104" s="161">
        <f>'תקציב החברה לפיתוח 2022'!R104</f>
        <v>0</v>
      </c>
      <c r="S104" s="161">
        <f>'תקציב החברה לפיתוח 2022'!S104</f>
        <v>0</v>
      </c>
      <c r="T104" s="161">
        <f>'תקציב החברה לפיתוח 2022'!T104</f>
        <v>0</v>
      </c>
      <c r="U104" s="161">
        <f>'תקציב החברה לפיתוח 2022'!U104</f>
        <v>500000</v>
      </c>
      <c r="V104" s="161">
        <f>'תקציב החברה לפיתוח 2022'!V104</f>
        <v>500000</v>
      </c>
      <c r="W104" s="161">
        <f>'תקציב החברה לפיתוח 2022'!W104</f>
        <v>0</v>
      </c>
      <c r="X104" s="161">
        <f>'תקציב החברה לפיתוח 2022'!X104</f>
        <v>0</v>
      </c>
      <c r="Y104" s="161">
        <f>'תקציב החברה לפיתוח 2022'!Y104</f>
        <v>0</v>
      </c>
      <c r="Z104" s="161">
        <f>'תקציב החברה לפיתוח 2022'!Z104</f>
        <v>0</v>
      </c>
      <c r="AA104" s="161">
        <f>'תקציב החברה לפיתוח 2022'!AA104</f>
        <v>0</v>
      </c>
      <c r="AB104" s="289" t="str">
        <f>'תקציב החברה לפיתוח 2022'!AB104</f>
        <v>תכנון קמפוס גני ילדים בחנה רובינא.</v>
      </c>
      <c r="AC104" s="3">
        <v>810000</v>
      </c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</row>
    <row r="105" spans="1:55" s="5" customFormat="1" ht="25.15" customHeight="1">
      <c r="A105" s="160">
        <f t="shared" si="1"/>
        <v>101</v>
      </c>
      <c r="B105" s="160">
        <f>'תקציב החברה לפיתוח 2022'!B105</f>
        <v>20012</v>
      </c>
      <c r="C105" s="289" t="str">
        <f>'תקציב החברה לפיתוח 2022'!C105</f>
        <v>גנ"י יהודה הנשיא</v>
      </c>
      <c r="D105" s="161">
        <f>'תקציב החברה לפיתוח 2022'!D105</f>
        <v>7000000</v>
      </c>
      <c r="E105" s="161">
        <f>'תקציב החברה לפיתוח 2022'!E105</f>
        <v>0</v>
      </c>
      <c r="F105" s="161">
        <f>'תקציב החברה לפיתוח 2022'!F105</f>
        <v>7000000</v>
      </c>
      <c r="G105" s="161">
        <f>'תקציב החברה לפיתוח 2022'!G105</f>
        <v>0</v>
      </c>
      <c r="H105" s="161">
        <f>'תקציב החברה לפיתוח 2022'!H105</f>
        <v>0</v>
      </c>
      <c r="I105" s="161">
        <f>'תקציב החברה לפיתוח 2022'!I105</f>
        <v>0</v>
      </c>
      <c r="J105" s="161">
        <f>'תקציב החברה לפיתוח 2022'!J105</f>
        <v>0</v>
      </c>
      <c r="K105" s="161">
        <f>'תקציב החברה לפיתוח 2022'!K105</f>
        <v>0</v>
      </c>
      <c r="L105" s="161">
        <f>'תקציב החברה לפיתוח 2022'!L105</f>
        <v>0</v>
      </c>
      <c r="M105" s="161">
        <f>'תקציב החברה לפיתוח 2022'!M105</f>
        <v>0</v>
      </c>
      <c r="N105" s="161">
        <f>'תקציב החברה לפיתוח 2022'!N105</f>
        <v>500000</v>
      </c>
      <c r="O105" s="161">
        <f>'תקציב החברה לפיתוח 2022'!O105</f>
        <v>6500000</v>
      </c>
      <c r="P105" s="161">
        <f>'תקציב החברה לפיתוח 2022'!P105</f>
        <v>0</v>
      </c>
      <c r="Q105" s="161">
        <f>'תקציב החברה לפיתוח 2022'!Q105</f>
        <v>0</v>
      </c>
      <c r="R105" s="161">
        <f>'תקציב החברה לפיתוח 2022'!R105</f>
        <v>0</v>
      </c>
      <c r="S105" s="161">
        <f>'תקציב החברה לפיתוח 2022'!S105</f>
        <v>0</v>
      </c>
      <c r="T105" s="161">
        <f>'תקציב החברה לפיתוח 2022'!T105</f>
        <v>0</v>
      </c>
      <c r="U105" s="161">
        <f>'תקציב החברה לפיתוח 2022'!U105</f>
        <v>500000</v>
      </c>
      <c r="V105" s="161">
        <f>'תקציב החברה לפיתוח 2022'!V105</f>
        <v>500000</v>
      </c>
      <c r="W105" s="161">
        <f>'תקציב החברה לפיתוח 2022'!W105</f>
        <v>0</v>
      </c>
      <c r="X105" s="161">
        <f>'תקציב החברה לפיתוח 2022'!X105</f>
        <v>0</v>
      </c>
      <c r="Y105" s="161">
        <f>'תקציב החברה לפיתוח 2022'!Y105</f>
        <v>0</v>
      </c>
      <c r="Z105" s="161">
        <f>'תקציב החברה לפיתוח 2022'!Z105</f>
        <v>0</v>
      </c>
      <c r="AA105" s="161">
        <f>'תקציב החברה לפיתוח 2022'!AA105</f>
        <v>0</v>
      </c>
      <c r="AB105" s="289" t="str">
        <f>'תקציב החברה לפיתוח 2022'!AB105</f>
        <v>תכנון 3 גנ"י ביהודה הנשיא.</v>
      </c>
      <c r="AC105" s="3">
        <v>810000</v>
      </c>
      <c r="AD105" s="154"/>
      <c r="AE105" s="154"/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</row>
    <row r="106" spans="1:55" s="5" customFormat="1" ht="41.45" customHeight="1">
      <c r="A106" s="160">
        <f t="shared" si="1"/>
        <v>102</v>
      </c>
      <c r="B106" s="160">
        <f>'תקציב החברה לפיתוח 2022'!B106</f>
        <v>20013</v>
      </c>
      <c r="C106" s="289" t="str">
        <f>'תקציב החברה לפיתוח 2022'!C106</f>
        <v>גנ"י ומעונות יום רח הזמר העברי מתחם המסילה</v>
      </c>
      <c r="D106" s="161">
        <f>'תקציב החברה לפיתוח 2022'!D106</f>
        <v>500000</v>
      </c>
      <c r="E106" s="161">
        <f>'תקציב החברה לפיתוח 2022'!E106</f>
        <v>0</v>
      </c>
      <c r="F106" s="161">
        <f>'תקציב החברה לפיתוח 2022'!F106</f>
        <v>500000</v>
      </c>
      <c r="G106" s="161">
        <f>'תקציב החברה לפיתוח 2022'!G106</f>
        <v>0</v>
      </c>
      <c r="H106" s="161">
        <f>'תקציב החברה לפיתוח 2022'!H106</f>
        <v>0</v>
      </c>
      <c r="I106" s="161">
        <f>'תקציב החברה לפיתוח 2022'!I106</f>
        <v>0</v>
      </c>
      <c r="J106" s="161">
        <f>'תקציב החברה לפיתוח 2022'!J106</f>
        <v>0</v>
      </c>
      <c r="K106" s="161">
        <f>'תקציב החברה לפיתוח 2022'!K106</f>
        <v>0</v>
      </c>
      <c r="L106" s="161">
        <f>'תקציב החברה לפיתוח 2022'!L106</f>
        <v>0</v>
      </c>
      <c r="M106" s="161">
        <f>'תקציב החברה לפיתוח 2022'!M106</f>
        <v>0</v>
      </c>
      <c r="N106" s="161">
        <f>'תקציב החברה לפיתוח 2022'!N106</f>
        <v>500000</v>
      </c>
      <c r="O106" s="161">
        <f>'תקציב החברה לפיתוח 2022'!O106</f>
        <v>0</v>
      </c>
      <c r="P106" s="161">
        <f>'תקציב החברה לפיתוח 2022'!P106</f>
        <v>0</v>
      </c>
      <c r="Q106" s="161">
        <f>'תקציב החברה לפיתוח 2022'!Q106</f>
        <v>0</v>
      </c>
      <c r="R106" s="161">
        <f>'תקציב החברה לפיתוח 2022'!R106</f>
        <v>0</v>
      </c>
      <c r="S106" s="161">
        <f>'תקציב החברה לפיתוח 2022'!S106</f>
        <v>0</v>
      </c>
      <c r="T106" s="161">
        <f>'תקציב החברה לפיתוח 2022'!T106</f>
        <v>0</v>
      </c>
      <c r="U106" s="161">
        <f>'תקציב החברה לפיתוח 2022'!U106</f>
        <v>500000</v>
      </c>
      <c r="V106" s="161">
        <f>'תקציב החברה לפיתוח 2022'!V106</f>
        <v>500000</v>
      </c>
      <c r="W106" s="161">
        <f>'תקציב החברה לפיתוח 2022'!W106</f>
        <v>0</v>
      </c>
      <c r="X106" s="161">
        <f>'תקציב החברה לפיתוח 2022'!X106</f>
        <v>0</v>
      </c>
      <c r="Y106" s="161">
        <f>'תקציב החברה לפיתוח 2022'!Y106</f>
        <v>0</v>
      </c>
      <c r="Z106" s="161">
        <f>'תקציב החברה לפיתוח 2022'!Z106</f>
        <v>0</v>
      </c>
      <c r="AA106" s="161">
        <f>'תקציב החברה לפיתוח 2022'!AA106</f>
        <v>0</v>
      </c>
      <c r="AB106" s="289" t="str">
        <f>'תקציב החברה לפיתוח 2022'!AB106</f>
        <v>תכנון 4 גנ"י ומעונות יום במתחם המסילה.</v>
      </c>
      <c r="AC106" s="3">
        <v>810000</v>
      </c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</row>
    <row r="107" spans="1:55" s="5" customFormat="1" ht="75">
      <c r="A107" s="160">
        <f t="shared" si="1"/>
        <v>103</v>
      </c>
      <c r="B107" s="160">
        <f>'תקציב החברה לפיתוח 2022'!B107</f>
        <v>20014</v>
      </c>
      <c r="C107" s="289" t="str">
        <f>'תקציב החברה לפיתוח 2022'!C107</f>
        <v>מתחם ספורט משותף במתחם אלתרמן</v>
      </c>
      <c r="D107" s="161">
        <f>'תקציב החברה לפיתוח 2022'!D107</f>
        <v>200000</v>
      </c>
      <c r="E107" s="161">
        <f>'תקציב החברה לפיתוח 2022'!E107</f>
        <v>0</v>
      </c>
      <c r="F107" s="161">
        <f>'תקציב החברה לפיתוח 2022'!F107</f>
        <v>200000</v>
      </c>
      <c r="G107" s="161">
        <f>'תקציב החברה לפיתוח 2022'!G107</f>
        <v>0</v>
      </c>
      <c r="H107" s="161">
        <f>'תקציב החברה לפיתוח 2022'!H107</f>
        <v>0</v>
      </c>
      <c r="I107" s="161">
        <f>'תקציב החברה לפיתוח 2022'!I107</f>
        <v>0</v>
      </c>
      <c r="J107" s="161">
        <f>'תקציב החברה לפיתוח 2022'!J107</f>
        <v>0</v>
      </c>
      <c r="K107" s="161">
        <f>'תקציב החברה לפיתוח 2022'!K107</f>
        <v>0</v>
      </c>
      <c r="L107" s="161">
        <f>'תקציב החברה לפיתוח 2022'!L107</f>
        <v>0</v>
      </c>
      <c r="M107" s="161">
        <f>'תקציב החברה לפיתוח 2022'!M107</f>
        <v>0</v>
      </c>
      <c r="N107" s="161">
        <f>'תקציב החברה לפיתוח 2022'!N107</f>
        <v>200000</v>
      </c>
      <c r="O107" s="161">
        <f>'תקציב החברה לפיתוח 2022'!O107</f>
        <v>0</v>
      </c>
      <c r="P107" s="161">
        <f>'תקציב החברה לפיתוח 2022'!P107</f>
        <v>0</v>
      </c>
      <c r="Q107" s="161">
        <f>'תקציב החברה לפיתוח 2022'!Q107</f>
        <v>0</v>
      </c>
      <c r="R107" s="161">
        <f>'תקציב החברה לפיתוח 2022'!R107</f>
        <v>0</v>
      </c>
      <c r="S107" s="161">
        <f>'תקציב החברה לפיתוח 2022'!S107</f>
        <v>0</v>
      </c>
      <c r="T107" s="161">
        <f>'תקציב החברה לפיתוח 2022'!T107</f>
        <v>0</v>
      </c>
      <c r="U107" s="161">
        <f>'תקציב החברה לפיתוח 2022'!U107</f>
        <v>200000</v>
      </c>
      <c r="V107" s="161">
        <f>'תקציב החברה לפיתוח 2022'!V107</f>
        <v>200000</v>
      </c>
      <c r="W107" s="161">
        <f>'תקציב החברה לפיתוח 2022'!W107</f>
        <v>0</v>
      </c>
      <c r="X107" s="161">
        <f>'תקציב החברה לפיתוח 2022'!X107</f>
        <v>0</v>
      </c>
      <c r="Y107" s="161">
        <f>'תקציב החברה לפיתוח 2022'!Y107</f>
        <v>0</v>
      </c>
      <c r="Z107" s="161">
        <f>'תקציב החברה לפיתוח 2022'!Z107</f>
        <v>0</v>
      </c>
      <c r="AA107" s="161">
        <f>'תקציב החברה לפיתוח 2022'!AA107</f>
        <v>0</v>
      </c>
      <c r="AB107" s="289" t="str">
        <f>'תקציב החברה לפיתוח 2022'!AB107</f>
        <v>מתחם ספורט משותף: אולם ומגרש ספורט לתיכון היובל, אולם ספורט לבי״ס נבון ואולם התעמלות מכשירים. ב - 2022: תכנון.</v>
      </c>
      <c r="AC107" s="3">
        <v>829000</v>
      </c>
      <c r="AD107" s="154"/>
      <c r="AE107" s="154"/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</row>
    <row r="108" spans="1:55" s="5" customFormat="1" ht="30">
      <c r="A108" s="160">
        <f t="shared" si="1"/>
        <v>104</v>
      </c>
      <c r="B108" s="160">
        <f>'תקציב החברה לפיתוח 2022'!B108</f>
        <v>20015</v>
      </c>
      <c r="C108" s="289" t="str">
        <f>'תקציב החברה לפיתוח 2022'!C108</f>
        <v>מועדון קרמבו ים</v>
      </c>
      <c r="D108" s="161">
        <f>'תקציב החברה לפיתוח 2022'!D108</f>
        <v>2000000</v>
      </c>
      <c r="E108" s="161">
        <f>'תקציב החברה לפיתוח 2022'!E108</f>
        <v>0</v>
      </c>
      <c r="F108" s="161">
        <f>'תקציב החברה לפיתוח 2022'!F108</f>
        <v>2000000</v>
      </c>
      <c r="G108" s="161">
        <f>'תקציב החברה לפיתוח 2022'!G108</f>
        <v>0</v>
      </c>
      <c r="H108" s="161">
        <f>'תקציב החברה לפיתוח 2022'!H108</f>
        <v>0</v>
      </c>
      <c r="I108" s="161">
        <f>'תקציב החברה לפיתוח 2022'!I108</f>
        <v>0</v>
      </c>
      <c r="J108" s="161">
        <f>'תקציב החברה לפיתוח 2022'!J108</f>
        <v>0</v>
      </c>
      <c r="K108" s="161">
        <f>'תקציב החברה לפיתוח 2022'!K108</f>
        <v>0</v>
      </c>
      <c r="L108" s="161">
        <f>'תקציב החברה לפיתוח 2022'!L108</f>
        <v>0</v>
      </c>
      <c r="M108" s="161">
        <f>'תקציב החברה לפיתוח 2022'!M108</f>
        <v>0</v>
      </c>
      <c r="N108" s="161">
        <f>'תקציב החברה לפיתוח 2022'!N108</f>
        <v>1500000</v>
      </c>
      <c r="O108" s="161">
        <f>'תקציב החברה לפיתוח 2022'!O108</f>
        <v>500000</v>
      </c>
      <c r="P108" s="161">
        <f>'תקציב החברה לפיתוח 2022'!P108</f>
        <v>0</v>
      </c>
      <c r="Q108" s="161">
        <f>'תקציב החברה לפיתוח 2022'!Q108</f>
        <v>0</v>
      </c>
      <c r="R108" s="161">
        <f>'תקציב החברה לפיתוח 2022'!R108</f>
        <v>0</v>
      </c>
      <c r="S108" s="161">
        <f>'תקציב החברה לפיתוח 2022'!S108</f>
        <v>0</v>
      </c>
      <c r="T108" s="161">
        <f>'תקציב החברה לפיתוח 2022'!T108</f>
        <v>0</v>
      </c>
      <c r="U108" s="161">
        <f>'תקציב החברה לפיתוח 2022'!U108</f>
        <v>1500000</v>
      </c>
      <c r="V108" s="161">
        <f>'תקציב החברה לפיתוח 2022'!V108</f>
        <v>1500000</v>
      </c>
      <c r="W108" s="161">
        <f>'תקציב החברה לפיתוח 2022'!W108</f>
        <v>0</v>
      </c>
      <c r="X108" s="161">
        <f>'תקציב החברה לפיתוח 2022'!X108</f>
        <v>0</v>
      </c>
      <c r="Y108" s="161">
        <f>'תקציב החברה לפיתוח 2022'!Y108</f>
        <v>0</v>
      </c>
      <c r="Z108" s="161">
        <f>'תקציב החברה לפיתוח 2022'!Z108</f>
        <v>0</v>
      </c>
      <c r="AA108" s="161">
        <f>'תקציב החברה לפיתוח 2022'!AA108</f>
        <v>0</v>
      </c>
      <c r="AB108" s="289" t="str">
        <f>'תקציב החברה לפיתוח 2022'!AB108</f>
        <v>הריסה ובניה  חדשה של מועדון צופי ים.</v>
      </c>
      <c r="AC108" s="3">
        <v>829000</v>
      </c>
      <c r="AD108" s="154"/>
      <c r="AE108" s="154"/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</row>
    <row r="109" spans="1:55" s="5" customFormat="1" ht="75">
      <c r="A109" s="160">
        <f t="shared" si="1"/>
        <v>105</v>
      </c>
      <c r="B109" s="160">
        <f>'תקציב החברה לפיתוח 2022'!B109</f>
        <v>20016</v>
      </c>
      <c r="C109" s="289" t="str">
        <f>'תקציב החברה לפיתוח 2022'!C109</f>
        <v>מרכז תרבות בנושא האקלים ברחוב בן גוריון</v>
      </c>
      <c r="D109" s="161">
        <f>'תקציב החברה לפיתוח 2022'!D109</f>
        <v>700000</v>
      </c>
      <c r="E109" s="161">
        <f>'תקציב החברה לפיתוח 2022'!E109</f>
        <v>0</v>
      </c>
      <c r="F109" s="161">
        <f>'תקציב החברה לפיתוח 2022'!F109</f>
        <v>700000</v>
      </c>
      <c r="G109" s="161">
        <f>'תקציב החברה לפיתוח 2022'!G109</f>
        <v>0</v>
      </c>
      <c r="H109" s="161">
        <f>'תקציב החברה לפיתוח 2022'!H109</f>
        <v>0</v>
      </c>
      <c r="I109" s="161">
        <f>'תקציב החברה לפיתוח 2022'!I109</f>
        <v>0</v>
      </c>
      <c r="J109" s="161">
        <f>'תקציב החברה לפיתוח 2022'!J109</f>
        <v>0</v>
      </c>
      <c r="K109" s="161">
        <f>'תקציב החברה לפיתוח 2022'!K109</f>
        <v>0</v>
      </c>
      <c r="L109" s="161">
        <f>'תקציב החברה לפיתוח 2022'!L109</f>
        <v>0</v>
      </c>
      <c r="M109" s="161">
        <f>'תקציב החברה לפיתוח 2022'!M109</f>
        <v>0</v>
      </c>
      <c r="N109" s="161">
        <f>'תקציב החברה לפיתוח 2022'!N109</f>
        <v>500000</v>
      </c>
      <c r="O109" s="161">
        <f>'תקציב החברה לפיתוח 2022'!O109</f>
        <v>200000</v>
      </c>
      <c r="P109" s="161">
        <f>'תקציב החברה לפיתוח 2022'!P109</f>
        <v>0</v>
      </c>
      <c r="Q109" s="161">
        <f>'תקציב החברה לפיתוח 2022'!Q109</f>
        <v>0</v>
      </c>
      <c r="R109" s="161">
        <f>'תקציב החברה לפיתוח 2022'!R109</f>
        <v>0</v>
      </c>
      <c r="S109" s="161">
        <f>'תקציב החברה לפיתוח 2022'!S109</f>
        <v>0</v>
      </c>
      <c r="T109" s="161">
        <f>'תקציב החברה לפיתוח 2022'!T109</f>
        <v>0</v>
      </c>
      <c r="U109" s="161">
        <f>'תקציב החברה לפיתוח 2022'!U109</f>
        <v>500000</v>
      </c>
      <c r="V109" s="161">
        <f>'תקציב החברה לפיתוח 2022'!V109</f>
        <v>500000</v>
      </c>
      <c r="W109" s="161">
        <f>'תקציב החברה לפיתוח 2022'!W109</f>
        <v>0</v>
      </c>
      <c r="X109" s="161">
        <f>'תקציב החברה לפיתוח 2022'!X109</f>
        <v>0</v>
      </c>
      <c r="Y109" s="161">
        <f>'תקציב החברה לפיתוח 2022'!Y109</f>
        <v>0</v>
      </c>
      <c r="Z109" s="161">
        <f>'תקציב החברה לפיתוח 2022'!Z109</f>
        <v>0</v>
      </c>
      <c r="AA109" s="161">
        <f>'תקציב החברה לפיתוח 2022'!AA109</f>
        <v>0</v>
      </c>
      <c r="AB109" s="289" t="str">
        <f>'תקציב החברה לפיתוח 2022'!AB109</f>
        <v xml:space="preserve">הקמת מרכז תרבות עם קונספט אקלימי חדשני בו יהיו גם פעילויות חינוכית, פיתוח עסקי, חברתי ותיירותי בתחום. </v>
      </c>
      <c r="AC109" s="3">
        <v>826000</v>
      </c>
      <c r="AD109" s="154"/>
      <c r="AE109" s="154"/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</row>
    <row r="110" spans="1:55" s="5" customFormat="1" ht="30">
      <c r="A110" s="160">
        <f t="shared" si="1"/>
        <v>106</v>
      </c>
      <c r="B110" s="160">
        <f>'תקציב החברה לפיתוח 2022'!B110</f>
        <v>20017</v>
      </c>
      <c r="C110" s="289" t="str">
        <f>'תקציב החברה לפיתוח 2022'!C110</f>
        <v>ביכנ"ס  הרצליה הירוקה</v>
      </c>
      <c r="D110" s="161">
        <f>'תקציב החברה לפיתוח 2022'!D110</f>
        <v>500000</v>
      </c>
      <c r="E110" s="161">
        <f>'תקציב החברה לפיתוח 2022'!E110</f>
        <v>0</v>
      </c>
      <c r="F110" s="161">
        <f>'תקציב החברה לפיתוח 2022'!F110</f>
        <v>500000</v>
      </c>
      <c r="G110" s="161">
        <f>'תקציב החברה לפיתוח 2022'!G110</f>
        <v>0</v>
      </c>
      <c r="H110" s="161">
        <f>'תקציב החברה לפיתוח 2022'!H110</f>
        <v>0</v>
      </c>
      <c r="I110" s="161">
        <f>'תקציב החברה לפיתוח 2022'!I110</f>
        <v>0</v>
      </c>
      <c r="J110" s="161">
        <f>'תקציב החברה לפיתוח 2022'!J110</f>
        <v>0</v>
      </c>
      <c r="K110" s="161">
        <f>'תקציב החברה לפיתוח 2022'!K110</f>
        <v>0</v>
      </c>
      <c r="L110" s="161">
        <f>'תקציב החברה לפיתוח 2022'!L110</f>
        <v>0</v>
      </c>
      <c r="M110" s="161">
        <f>'תקציב החברה לפיתוח 2022'!M110</f>
        <v>0</v>
      </c>
      <c r="N110" s="161">
        <f>'תקציב החברה לפיתוח 2022'!N110</f>
        <v>100000</v>
      </c>
      <c r="O110" s="161">
        <f>'תקציב החברה לפיתוח 2022'!O110</f>
        <v>400000</v>
      </c>
      <c r="P110" s="161">
        <f>'תקציב החברה לפיתוח 2022'!P110</f>
        <v>0</v>
      </c>
      <c r="Q110" s="161">
        <f>'תקציב החברה לפיתוח 2022'!Q110</f>
        <v>0</v>
      </c>
      <c r="R110" s="161">
        <f>'תקציב החברה לפיתוח 2022'!R110</f>
        <v>0</v>
      </c>
      <c r="S110" s="161">
        <f>'תקציב החברה לפיתוח 2022'!S110</f>
        <v>0</v>
      </c>
      <c r="T110" s="161">
        <f>'תקציב החברה לפיתוח 2022'!T110</f>
        <v>0</v>
      </c>
      <c r="U110" s="161">
        <f>'תקציב החברה לפיתוח 2022'!U110</f>
        <v>100000</v>
      </c>
      <c r="V110" s="161">
        <f>'תקציב החברה לפיתוח 2022'!V110</f>
        <v>100000</v>
      </c>
      <c r="W110" s="161">
        <f>'תקציב החברה לפיתוח 2022'!W110</f>
        <v>0</v>
      </c>
      <c r="X110" s="161">
        <f>'תקציב החברה לפיתוח 2022'!X110</f>
        <v>0</v>
      </c>
      <c r="Y110" s="161">
        <f>'תקציב החברה לפיתוח 2022'!Y110</f>
        <v>0</v>
      </c>
      <c r="Z110" s="161">
        <f>'תקציב החברה לפיתוח 2022'!Z110</f>
        <v>0</v>
      </c>
      <c r="AA110" s="161">
        <f>'תקציב החברה לפיתוח 2022'!AA110</f>
        <v>0</v>
      </c>
      <c r="AB110" s="289" t="str">
        <f>'תקציב החברה לפיתוח 2022'!AB110</f>
        <v>תכנון ביכנ"ס גוש 6536 חלקה 964 הרצליה הירוקה.</v>
      </c>
      <c r="AC110" s="3">
        <v>850000</v>
      </c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</row>
    <row r="111" spans="1:55" s="5" customFormat="1" ht="45">
      <c r="A111" s="160">
        <f t="shared" si="1"/>
        <v>107</v>
      </c>
      <c r="B111" s="160">
        <f>'תקציב החברה לפיתוח 2022'!B111</f>
        <v>20018</v>
      </c>
      <c r="C111" s="289" t="str">
        <f>'תקציב החברה לפיתוח 2022'!C111</f>
        <v>מוזיאון הרצליה - הרחבה ושיפוץ</v>
      </c>
      <c r="D111" s="161">
        <f>'תקציב החברה לפיתוח 2022'!D111</f>
        <v>150000</v>
      </c>
      <c r="E111" s="161">
        <f>'תקציב החברה לפיתוח 2022'!E111</f>
        <v>0</v>
      </c>
      <c r="F111" s="161">
        <f>'תקציב החברה לפיתוח 2022'!F111</f>
        <v>150000</v>
      </c>
      <c r="G111" s="161">
        <f>'תקציב החברה לפיתוח 2022'!G111</f>
        <v>0</v>
      </c>
      <c r="H111" s="161">
        <f>'תקציב החברה לפיתוח 2022'!H111</f>
        <v>0</v>
      </c>
      <c r="I111" s="161">
        <f>'תקציב החברה לפיתוח 2022'!I111</f>
        <v>0</v>
      </c>
      <c r="J111" s="161">
        <f>'תקציב החברה לפיתוח 2022'!J111</f>
        <v>0</v>
      </c>
      <c r="K111" s="161">
        <f>'תקציב החברה לפיתוח 2022'!K111</f>
        <v>0</v>
      </c>
      <c r="L111" s="161">
        <f>'תקציב החברה לפיתוח 2022'!L111</f>
        <v>0</v>
      </c>
      <c r="M111" s="161">
        <f>'תקציב החברה לפיתוח 2022'!M111</f>
        <v>0</v>
      </c>
      <c r="N111" s="161">
        <f>'תקציב החברה לפיתוח 2022'!N111</f>
        <v>150000</v>
      </c>
      <c r="O111" s="161">
        <f>'תקציב החברה לפיתוח 2022'!O111</f>
        <v>0</v>
      </c>
      <c r="P111" s="161">
        <f>'תקציב החברה לפיתוח 2022'!P111</f>
        <v>0</v>
      </c>
      <c r="Q111" s="161">
        <f>'תקציב החברה לפיתוח 2022'!Q111</f>
        <v>0</v>
      </c>
      <c r="R111" s="161">
        <f>'תקציב החברה לפיתוח 2022'!R111</f>
        <v>0</v>
      </c>
      <c r="S111" s="161">
        <f>'תקציב החברה לפיתוח 2022'!S111</f>
        <v>0</v>
      </c>
      <c r="T111" s="161">
        <f>'תקציב החברה לפיתוח 2022'!T111</f>
        <v>0</v>
      </c>
      <c r="U111" s="161">
        <f>'תקציב החברה לפיתוח 2022'!U111</f>
        <v>150000</v>
      </c>
      <c r="V111" s="161">
        <f>'תקציב החברה לפיתוח 2022'!V111</f>
        <v>150000</v>
      </c>
      <c r="W111" s="161">
        <f>'תקציב החברה לפיתוח 2022'!W111</f>
        <v>0</v>
      </c>
      <c r="X111" s="161">
        <f>'תקציב החברה לפיתוח 2022'!X111</f>
        <v>0</v>
      </c>
      <c r="Y111" s="161">
        <f>'תקציב החברה לפיתוח 2022'!Y111</f>
        <v>0</v>
      </c>
      <c r="Z111" s="161">
        <f>'תקציב החברה לפיתוח 2022'!Z111</f>
        <v>0</v>
      </c>
      <c r="AA111" s="161">
        <f>'תקציב החברה לפיתוח 2022'!AA111</f>
        <v>0</v>
      </c>
      <c r="AB111" s="289" t="str">
        <f>'תקציב החברה לפיתוח 2022'!AB111</f>
        <v>תוספת קומה כ - 300 מ"ר , עבודות שיפוץ ופיתוח רחבת המוזיאון.</v>
      </c>
      <c r="AC111" s="3">
        <v>826000</v>
      </c>
      <c r="AD111" s="154"/>
      <c r="AE111" s="154"/>
      <c r="AF111" s="154"/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</row>
    <row r="112" spans="1:55" s="271" customFormat="1" ht="30" customHeight="1">
      <c r="A112" s="166"/>
      <c r="B112" s="270"/>
      <c r="C112" s="166" t="s">
        <v>204</v>
      </c>
      <c r="D112" s="168">
        <f t="shared" ref="D112:AA112" si="2">SUM(D5:D111)</f>
        <v>2196063843</v>
      </c>
      <c r="E112" s="168">
        <f t="shared" si="2"/>
        <v>2001644187</v>
      </c>
      <c r="F112" s="168">
        <f t="shared" si="2"/>
        <v>194419656</v>
      </c>
      <c r="G112" s="168">
        <f t="shared" si="2"/>
        <v>917940342</v>
      </c>
      <c r="H112" s="168">
        <f t="shared" si="2"/>
        <v>761689266</v>
      </c>
      <c r="I112" s="168">
        <f t="shared" si="2"/>
        <v>3316292</v>
      </c>
      <c r="J112" s="168">
        <f t="shared" si="2"/>
        <v>36255668</v>
      </c>
      <c r="K112" s="168">
        <f t="shared" si="2"/>
        <v>39571960</v>
      </c>
      <c r="L112" s="168">
        <f t="shared" si="2"/>
        <v>801261226</v>
      </c>
      <c r="M112" s="168">
        <f t="shared" si="2"/>
        <v>247736582</v>
      </c>
      <c r="N112" s="168">
        <f t="shared" si="2"/>
        <v>163127549</v>
      </c>
      <c r="O112" s="168">
        <f t="shared" si="2"/>
        <v>983938486</v>
      </c>
      <c r="P112" s="168">
        <f t="shared" si="2"/>
        <v>116679116</v>
      </c>
      <c r="Q112" s="168">
        <f t="shared" si="2"/>
        <v>125060000</v>
      </c>
      <c r="R112" s="168">
        <f t="shared" si="2"/>
        <v>12861802</v>
      </c>
      <c r="S112" s="168">
        <f t="shared" si="2"/>
        <v>137921802</v>
      </c>
      <c r="T112" s="168">
        <f t="shared" si="2"/>
        <v>6864336</v>
      </c>
      <c r="U112" s="168">
        <f t="shared" si="2"/>
        <v>156263213</v>
      </c>
      <c r="V112" s="168">
        <f t="shared" si="2"/>
        <v>93560980</v>
      </c>
      <c r="W112" s="168">
        <f t="shared" si="2"/>
        <v>1500000</v>
      </c>
      <c r="X112" s="168">
        <f t="shared" si="2"/>
        <v>0</v>
      </c>
      <c r="Y112" s="168">
        <f t="shared" si="2"/>
        <v>0</v>
      </c>
      <c r="Z112" s="168">
        <f t="shared" si="2"/>
        <v>7100000</v>
      </c>
      <c r="AA112" s="168">
        <f t="shared" si="2"/>
        <v>54102233</v>
      </c>
      <c r="AB112" s="168">
        <f>SUM(AB5:AB58)</f>
        <v>0</v>
      </c>
      <c r="AC112" s="168"/>
      <c r="AD112" s="154"/>
      <c r="AE112" s="154"/>
      <c r="AF112" s="154"/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</row>
    <row r="113" spans="1:55" s="271" customFormat="1" ht="30" hidden="1" customHeight="1">
      <c r="A113" s="166"/>
      <c r="B113" s="270"/>
      <c r="C113" s="166"/>
      <c r="D113" s="168"/>
      <c r="E113" s="168"/>
      <c r="F113" s="168"/>
      <c r="G113" s="168"/>
      <c r="H113" s="168"/>
      <c r="I113" s="168"/>
      <c r="J113" s="168"/>
      <c r="K113" s="168"/>
      <c r="L113" s="168">
        <f>K112+H112</f>
        <v>801261226</v>
      </c>
      <c r="M113" s="168">
        <f>P113+S112-T112</f>
        <v>247736582</v>
      </c>
      <c r="N113" s="168"/>
      <c r="O113" s="168"/>
      <c r="P113" s="161">
        <f>G112-L113</f>
        <v>116679116</v>
      </c>
      <c r="Q113" s="168"/>
      <c r="R113" s="168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54"/>
      <c r="AE113" s="154"/>
      <c r="AF113" s="154"/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</row>
    <row r="114" spans="1:55" s="271" customFormat="1" ht="30" customHeight="1">
      <c r="A114" s="166"/>
      <c r="B114" s="270"/>
      <c r="C114" s="166"/>
      <c r="D114" s="168"/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61">
        <f>G114-L114</f>
        <v>0</v>
      </c>
      <c r="Q114" s="168"/>
      <c r="R114" s="168"/>
      <c r="S114" s="168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</row>
    <row r="115" spans="1:55" s="271" customFormat="1" ht="30" customHeight="1">
      <c r="A115" s="166"/>
      <c r="B115" s="270"/>
      <c r="C115" s="166" t="s">
        <v>150</v>
      </c>
      <c r="D115" s="168"/>
      <c r="E115" s="168"/>
      <c r="F115" s="168"/>
      <c r="G115" s="168"/>
      <c r="H115" s="168"/>
      <c r="I115" s="168"/>
      <c r="J115" s="168"/>
      <c r="K115" s="168"/>
      <c r="L115" s="168"/>
      <c r="M115" s="168"/>
      <c r="N115" s="168"/>
      <c r="O115" s="168"/>
      <c r="P115" s="161">
        <f>G115-L115</f>
        <v>0</v>
      </c>
      <c r="Q115" s="168"/>
      <c r="R115" s="168"/>
      <c r="S115" s="168"/>
      <c r="T115" s="168"/>
      <c r="U115" s="168"/>
      <c r="V115" s="168"/>
      <c r="W115" s="168"/>
      <c r="X115" s="168"/>
      <c r="Y115" s="168"/>
      <c r="Z115" s="168"/>
      <c r="AA115" s="168"/>
      <c r="AB115" s="157"/>
      <c r="AC115" s="166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</row>
    <row r="116" spans="1:55" s="164" customFormat="1" ht="30">
      <c r="A116" s="160">
        <f>A111+1</f>
        <v>108</v>
      </c>
      <c r="B116" s="160">
        <f>'תקציב החברה לפיתוח 2022'!B116</f>
        <v>1547</v>
      </c>
      <c r="C116" s="289" t="str">
        <f>'תקציב החברה לפיתוח 2022'!C116</f>
        <v>פיתוח מתחם גליל ים הר' 1985 א'</v>
      </c>
      <c r="D116" s="161">
        <f>'תקציב החברה לפיתוח 2022'!D116</f>
        <v>144000000</v>
      </c>
      <c r="E116" s="161">
        <f>'תקציב החברה לפיתוח 2022'!E116</f>
        <v>144000000</v>
      </c>
      <c r="F116" s="161">
        <f>'תקציב החברה לפיתוח 2022'!F116</f>
        <v>0</v>
      </c>
      <c r="G116" s="161">
        <f>'תקציב החברה לפיתוח 2022'!G116</f>
        <v>114000000</v>
      </c>
      <c r="H116" s="161">
        <f>'תקציב החברה לפיתוח 2022'!H116</f>
        <v>104414485</v>
      </c>
      <c r="I116" s="161">
        <f>'תקציב החברה לפיתוח 2022'!I116</f>
        <v>0</v>
      </c>
      <c r="J116" s="161">
        <f>'תקציב החברה לפיתוח 2022'!J116</f>
        <v>2378300</v>
      </c>
      <c r="K116" s="161">
        <f>'תקציב החברה לפיתוח 2022'!K116</f>
        <v>2378300</v>
      </c>
      <c r="L116" s="161">
        <f>'תקציב החברה לפיתוח 2022'!L116</f>
        <v>106792785</v>
      </c>
      <c r="M116" s="161">
        <f>'תקציב החברה לפיתוח 2022'!M116</f>
        <v>7207215</v>
      </c>
      <c r="N116" s="161">
        <f>'תקציב החברה לפיתוח 2022'!N116</f>
        <v>0</v>
      </c>
      <c r="O116" s="161">
        <f>'תקציב החברה לפיתוח 2022'!O116</f>
        <v>30000000</v>
      </c>
      <c r="P116" s="161">
        <f>'תקציב החברה לפיתוח 2022'!P116</f>
        <v>7207215</v>
      </c>
      <c r="Q116" s="161">
        <f>'תקציב החברה לפיתוח 2022'!Q116</f>
        <v>0</v>
      </c>
      <c r="R116" s="161">
        <f>'תקציב החברה לפיתוח 2022'!R116</f>
        <v>0</v>
      </c>
      <c r="S116" s="161">
        <f>'תקציב החברה לפיתוח 2022'!S116</f>
        <v>0</v>
      </c>
      <c r="T116" s="161">
        <f>'תקציב החברה לפיתוח 2022'!T116</f>
        <v>0</v>
      </c>
      <c r="U116" s="161">
        <f>'תקציב החברה לפיתוח 2022'!U116</f>
        <v>0</v>
      </c>
      <c r="V116" s="161">
        <f>'תקציב החברה לפיתוח 2022'!V116</f>
        <v>0</v>
      </c>
      <c r="W116" s="161">
        <f>'תקציב החברה לפיתוח 2022'!W116</f>
        <v>0</v>
      </c>
      <c r="X116" s="161">
        <f>'תקציב החברה לפיתוח 2022'!X116</f>
        <v>0</v>
      </c>
      <c r="Y116" s="161">
        <f>'תקציב החברה לפיתוח 2022'!Y116</f>
        <v>0</v>
      </c>
      <c r="Z116" s="161">
        <f>'תקציב החברה לפיתוח 2022'!Z116</f>
        <v>0</v>
      </c>
      <c r="AA116" s="161">
        <f>'תקציב החברה לפיתוח 2022'!AA116</f>
        <v>0</v>
      </c>
      <c r="AB116" s="289" t="str">
        <f>'תקציב החברה לפיתוח 2022'!AB116</f>
        <v>עבודות פיתוח. מימון רמ"י במסגרת הסכם "הגג".</v>
      </c>
      <c r="AC116" s="160">
        <v>742000</v>
      </c>
      <c r="AD116" s="154"/>
      <c r="AE116" s="154"/>
      <c r="AF116" s="154"/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</row>
    <row r="117" spans="1:55" ht="30">
      <c r="A117" s="160">
        <f>A116+1</f>
        <v>109</v>
      </c>
      <c r="B117" s="160">
        <f>'תקציב החברה לפיתוח 2022'!B117</f>
        <v>1827</v>
      </c>
      <c r="C117" s="289" t="str">
        <f>'תקציב החברה לפיתוח 2022'!C117</f>
        <v xml:space="preserve">פארק גליל ים </v>
      </c>
      <c r="D117" s="161">
        <f>'תקציב החברה לפיתוח 2022'!D117</f>
        <v>100000000</v>
      </c>
      <c r="E117" s="161">
        <f>'תקציב החברה לפיתוח 2022'!E117</f>
        <v>100000000</v>
      </c>
      <c r="F117" s="161">
        <f>'תקציב החברה לפיתוח 2022'!F117</f>
        <v>0</v>
      </c>
      <c r="G117" s="161">
        <f>'תקציב החברה לפיתוח 2022'!G117</f>
        <v>96320302</v>
      </c>
      <c r="H117" s="161">
        <f>'תקציב החברה לפיתוח 2022'!H117</f>
        <v>78059808</v>
      </c>
      <c r="I117" s="161">
        <f>'תקציב החברה לפיתוח 2022'!I117</f>
        <v>0</v>
      </c>
      <c r="J117" s="161">
        <f>'תקציב החברה לפיתוח 2022'!J117</f>
        <v>3324726</v>
      </c>
      <c r="K117" s="161">
        <f>'תקציב החברה לפיתוח 2022'!K117</f>
        <v>3324726</v>
      </c>
      <c r="L117" s="161">
        <f>'תקציב החברה לפיתוח 2022'!L117</f>
        <v>81384534</v>
      </c>
      <c r="M117" s="161">
        <f>'תקציב החברה לפיתוח 2022'!M117</f>
        <v>5935768</v>
      </c>
      <c r="N117" s="161">
        <f>'תקציב החברה לפיתוח 2022'!N117</f>
        <v>7000000</v>
      </c>
      <c r="O117" s="161">
        <f>'תקציב החברה לפיתוח 2022'!O117</f>
        <v>5679698</v>
      </c>
      <c r="P117" s="161">
        <f>'תקציב החברה לפיתוח 2022'!P117</f>
        <v>14935768</v>
      </c>
      <c r="Q117" s="161">
        <f>'תקציב החברה לפיתוח 2022'!Q117</f>
        <v>0</v>
      </c>
      <c r="R117" s="161">
        <f>'תקציב החברה לפיתוח 2022'!R117</f>
        <v>-9000000</v>
      </c>
      <c r="S117" s="161">
        <f>'תקציב החברה לפיתוח 2022'!S117</f>
        <v>-9000000</v>
      </c>
      <c r="T117" s="161">
        <f>'תקציב החברה לפיתוח 2022'!T117</f>
        <v>0</v>
      </c>
      <c r="U117" s="161">
        <f>'תקציב החברה לפיתוח 2022'!U117</f>
        <v>7000000</v>
      </c>
      <c r="V117" s="161">
        <f>'תקציב החברה לפיתוח 2022'!V117</f>
        <v>3320302</v>
      </c>
      <c r="W117" s="161">
        <f>'תקציב החברה לפיתוח 2022'!W117</f>
        <v>0</v>
      </c>
      <c r="X117" s="161">
        <f>'תקציב החברה לפיתוח 2022'!X117</f>
        <v>0</v>
      </c>
      <c r="Y117" s="161">
        <f>'תקציב החברה לפיתוח 2022'!Y117</f>
        <v>0</v>
      </c>
      <c r="Z117" s="161">
        <f>'תקציב החברה לפיתוח 2022'!Z117</f>
        <v>0</v>
      </c>
      <c r="AA117" s="161">
        <f>'תקציב החברה לפיתוח 2022'!AA117</f>
        <v>3679698</v>
      </c>
      <c r="AB117" s="289" t="str">
        <f>'תקציב החברה לפיתוח 2022'!AB117</f>
        <v>עבודות פיתוח. מימון רמ"י במסגרת הסכם "הגג".</v>
      </c>
      <c r="AC117" s="160">
        <v>746000</v>
      </c>
    </row>
    <row r="118" spans="1:55" s="164" customFormat="1" ht="30" customHeight="1">
      <c r="A118" s="160">
        <f>A117+1</f>
        <v>110</v>
      </c>
      <c r="B118" s="160">
        <f>'תקציב החברה לפיתוח 2022'!B118</f>
        <v>1905</v>
      </c>
      <c r="C118" s="289" t="str">
        <f>'תקציב החברה לפיתוח 2022'!C118</f>
        <v>שצ"פ מערב קיר אקוסטי גליל ים ב'</v>
      </c>
      <c r="D118" s="161">
        <f>'תקציב החברה לפיתוח 2022'!D118</f>
        <v>3366000</v>
      </c>
      <c r="E118" s="161">
        <f>'תקציב החברה לפיתוח 2022'!E118</f>
        <v>3366000</v>
      </c>
      <c r="F118" s="161">
        <f>'תקציב החברה לפיתוח 2022'!F118</f>
        <v>0</v>
      </c>
      <c r="G118" s="161">
        <f>'תקציב החברה לפיתוח 2022'!G118</f>
        <v>3366000</v>
      </c>
      <c r="H118" s="161">
        <f>'תקציב החברה לפיתוח 2022'!H118</f>
        <v>0</v>
      </c>
      <c r="I118" s="161">
        <f>'תקציב החברה לפיתוח 2022'!I118</f>
        <v>0</v>
      </c>
      <c r="J118" s="161">
        <f>'תקציב החברה לפיתוח 2022'!J118</f>
        <v>0</v>
      </c>
      <c r="K118" s="161">
        <f>'תקציב החברה לפיתוח 2022'!K118</f>
        <v>0</v>
      </c>
      <c r="L118" s="161">
        <f>'תקציב החברה לפיתוח 2022'!L118</f>
        <v>0</v>
      </c>
      <c r="M118" s="161">
        <f>'תקציב החברה לפיתוח 2022'!M118</f>
        <v>3366000</v>
      </c>
      <c r="N118" s="161">
        <f>'תקציב החברה לפיתוח 2022'!N118</f>
        <v>0</v>
      </c>
      <c r="O118" s="161">
        <f>'תקציב החברה לפיתוח 2022'!O118</f>
        <v>0</v>
      </c>
      <c r="P118" s="161">
        <f>'תקציב החברה לפיתוח 2022'!P118</f>
        <v>3366000</v>
      </c>
      <c r="Q118" s="161">
        <f>'תקציב החברה לפיתוח 2022'!Q118</f>
        <v>0</v>
      </c>
      <c r="R118" s="161">
        <f>'תקציב החברה לפיתוח 2022'!R118</f>
        <v>0</v>
      </c>
      <c r="S118" s="161">
        <f>'תקציב החברה לפיתוח 2022'!S118</f>
        <v>0</v>
      </c>
      <c r="T118" s="161">
        <f>'תקציב החברה לפיתוח 2022'!T118</f>
        <v>0</v>
      </c>
      <c r="U118" s="161">
        <f>'תקציב החברה לפיתוח 2022'!U118</f>
        <v>0</v>
      </c>
      <c r="V118" s="161">
        <f>'תקציב החברה לפיתוח 2022'!V118</f>
        <v>0</v>
      </c>
      <c r="W118" s="161">
        <f>'תקציב החברה לפיתוח 2022'!W118</f>
        <v>0</v>
      </c>
      <c r="X118" s="161">
        <f>'תקציב החברה לפיתוח 2022'!X118</f>
        <v>0</v>
      </c>
      <c r="Y118" s="161">
        <f>'תקציב החברה לפיתוח 2022'!Y118</f>
        <v>0</v>
      </c>
      <c r="Z118" s="161">
        <f>'תקציב החברה לפיתוח 2022'!Z118</f>
        <v>0</v>
      </c>
      <c r="AA118" s="161">
        <f>'תקציב החברה לפיתוח 2022'!AA118</f>
        <v>0</v>
      </c>
      <c r="AB118" s="289" t="str">
        <f>'תקציב החברה לפיתוח 2022'!AB118</f>
        <v>מימון רמ"י במסגרת הסכם "הגג".</v>
      </c>
      <c r="AC118" s="160">
        <v>746000</v>
      </c>
      <c r="AD118" s="154"/>
      <c r="AE118" s="154"/>
      <c r="AF118" s="154"/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</row>
    <row r="119" spans="1:55" s="164" customFormat="1" ht="30">
      <c r="A119" s="160">
        <f t="shared" ref="A119:A128" si="3">A118+1</f>
        <v>111</v>
      </c>
      <c r="B119" s="160">
        <f>'תקציב החברה לפיתוח 2022'!B119</f>
        <v>1908</v>
      </c>
      <c r="C119" s="289" t="str">
        <f>'תקציב החברה לפיתוח 2022'!C119</f>
        <v>כיתות מעון וגן שטח 303 גליל ים א'</v>
      </c>
      <c r="D119" s="161">
        <f>'תקציב החברה לפיתוח 2022'!D119</f>
        <v>19054496</v>
      </c>
      <c r="E119" s="161">
        <f>'תקציב החברה לפיתוח 2022'!E119</f>
        <v>19080000</v>
      </c>
      <c r="F119" s="161">
        <f>'תקציב החברה לפיתוח 2022'!F119</f>
        <v>-25504</v>
      </c>
      <c r="G119" s="161">
        <f>'תקציב החברה לפיתוח 2022'!G119</f>
        <v>16080000</v>
      </c>
      <c r="H119" s="161">
        <f>'תקציב החברה לפיתוח 2022'!H119</f>
        <v>12703082</v>
      </c>
      <c r="I119" s="161">
        <f>'תקציב החברה לפיתוח 2022'!I119</f>
        <v>0</v>
      </c>
      <c r="J119" s="161">
        <f>'תקציב החברה לפיתוח 2022'!J119</f>
        <v>1979662</v>
      </c>
      <c r="K119" s="161">
        <f>'תקציב החברה לפיתוח 2022'!K119</f>
        <v>1979662</v>
      </c>
      <c r="L119" s="161">
        <f>'תקציב החברה לפיתוח 2022'!L119</f>
        <v>14682744</v>
      </c>
      <c r="M119" s="161">
        <f>'תקציב החברה לפיתוח 2022'!M119</f>
        <v>4371752</v>
      </c>
      <c r="N119" s="161">
        <f>'תקציב החברה לפיתוח 2022'!N119</f>
        <v>0</v>
      </c>
      <c r="O119" s="161">
        <f>'תקציב החברה לפיתוח 2022'!O119</f>
        <v>0</v>
      </c>
      <c r="P119" s="161">
        <f>'תקציב החברה לפיתוח 2022'!P119</f>
        <v>1397256</v>
      </c>
      <c r="Q119" s="161">
        <f>'תקציב החברה לפיתוח 2022'!Q119</f>
        <v>1474496</v>
      </c>
      <c r="R119" s="161">
        <f>'תקציב החברה לפיתוח 2022'!R119</f>
        <v>1500000</v>
      </c>
      <c r="S119" s="161">
        <f>'תקציב החברה לפיתוח 2022'!S119</f>
        <v>2974496</v>
      </c>
      <c r="T119" s="161">
        <f>'תקציב החברה לפיתוח 2022'!T119</f>
        <v>0</v>
      </c>
      <c r="U119" s="161">
        <f>'תקציב החברה לפיתוח 2022'!U119</f>
        <v>0</v>
      </c>
      <c r="V119" s="161">
        <f>'תקציב החברה לפיתוח 2022'!V119</f>
        <v>0</v>
      </c>
      <c r="W119" s="161">
        <f>'תקציב החברה לפיתוח 2022'!W119</f>
        <v>0</v>
      </c>
      <c r="X119" s="161">
        <f>'תקציב החברה לפיתוח 2022'!X119</f>
        <v>0</v>
      </c>
      <c r="Y119" s="161">
        <f>'תקציב החברה לפיתוח 2022'!Y119</f>
        <v>0</v>
      </c>
      <c r="Z119" s="161">
        <f>'תקציב החברה לפיתוח 2022'!Z119</f>
        <v>0</v>
      </c>
      <c r="AA119" s="161">
        <f>'תקציב החברה לפיתוח 2022'!AA119</f>
        <v>0</v>
      </c>
      <c r="AB119" s="289" t="str">
        <f>'תקציב החברה לפיתוח 2022'!AB119</f>
        <v xml:space="preserve"> כיתות גן (7) . </v>
      </c>
      <c r="AC119" s="160">
        <v>810000</v>
      </c>
      <c r="AD119" s="154"/>
      <c r="AE119" s="154"/>
      <c r="AF119" s="154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</row>
    <row r="120" spans="1:55" ht="90">
      <c r="A120" s="160">
        <f t="shared" si="3"/>
        <v>112</v>
      </c>
      <c r="B120" s="160">
        <f>'תקציב החברה לפיתוח 2022'!B120</f>
        <v>1909</v>
      </c>
      <c r="C120" s="289" t="str">
        <f>'תקציב החברה לפיתוח 2022'!C120</f>
        <v xml:space="preserve">שטח 408 גליל ים ב'-גנ"י, בי"ס, ספריה </v>
      </c>
      <c r="D120" s="161">
        <f>'תקציב החברה לפיתוח 2022'!D120</f>
        <v>184500000</v>
      </c>
      <c r="E120" s="161">
        <f>'תקציב החברה לפיתוח 2022'!E120</f>
        <v>184500000</v>
      </c>
      <c r="F120" s="161">
        <f>'תקציב החברה לפיתוח 2022'!F120</f>
        <v>0</v>
      </c>
      <c r="G120" s="161">
        <f>'תקציב החברה לפיתוח 2022'!G120</f>
        <v>45650000</v>
      </c>
      <c r="H120" s="161">
        <f>'תקציב החברה לפיתוח 2022'!H120</f>
        <v>43462587</v>
      </c>
      <c r="I120" s="161">
        <f>'תקציב החברה לפיתוח 2022'!I120</f>
        <v>0</v>
      </c>
      <c r="J120" s="161">
        <f>'תקציב החברה לפיתוח 2022'!J120</f>
        <v>1485767</v>
      </c>
      <c r="K120" s="161">
        <f>'תקציב החברה לפיתוח 2022'!K120</f>
        <v>1485767</v>
      </c>
      <c r="L120" s="161">
        <f>'תקציב החברה לפיתוח 2022'!L120</f>
        <v>44948354</v>
      </c>
      <c r="M120" s="161">
        <f>'תקציב החברה לפיתוח 2022'!M120</f>
        <v>17806856</v>
      </c>
      <c r="N120" s="161">
        <f>'תקציב החברה לפיתוח 2022'!N120</f>
        <v>82850000</v>
      </c>
      <c r="O120" s="161">
        <f>'תקציב החברה לפיתוח 2022'!O120</f>
        <v>38894790</v>
      </c>
      <c r="P120" s="161">
        <f>'תקציב החברה לפיתוח 2022'!P120</f>
        <v>701646</v>
      </c>
      <c r="Q120" s="161">
        <f>'תקציב החברה לפיתוח 2022'!Q120</f>
        <v>17105210</v>
      </c>
      <c r="R120" s="161">
        <f>'תקציב החברה לפיתוח 2022'!R120</f>
        <v>0</v>
      </c>
      <c r="S120" s="161">
        <f>'תקציב החברה לפיתוח 2022'!S120</f>
        <v>17105210</v>
      </c>
      <c r="T120" s="161">
        <f>'תקציב החברה לפיתוח 2022'!T120</f>
        <v>0</v>
      </c>
      <c r="U120" s="161">
        <f>'תקציב החברה לפיתוח 2022'!U120</f>
        <v>82850000</v>
      </c>
      <c r="V120" s="161">
        <f>'תקציב החברה לפיתוח 2022'!V120</f>
        <v>63646245</v>
      </c>
      <c r="W120" s="161">
        <f>'תקציב החברה לפיתוח 2022'!W120</f>
        <v>0</v>
      </c>
      <c r="X120" s="161">
        <f>'תקציב החברה לפיתוח 2022'!X120</f>
        <v>0</v>
      </c>
      <c r="Y120" s="161">
        <f>'תקציב החברה לפיתוח 2022'!Y120</f>
        <v>0</v>
      </c>
      <c r="Z120" s="161">
        <f>'תקציב החברה לפיתוח 2022'!Z120</f>
        <v>0</v>
      </c>
      <c r="AA120" s="161">
        <f>'תקציב החברה לפיתוח 2022'!AA120</f>
        <v>19203755</v>
      </c>
      <c r="AB120" s="289" t="str">
        <f>'תקציב החברה לפיתוח 2022'!AB120</f>
        <v>בניית בי"ס יסודי 18 כיתות , 5 כיתות גן , מועדון תנועת נוער, אולם ספורט בינוני , מגרש ספורט משולב, חניון תתקרקעי 2 מפלסים.  מימון מ. החינוך בי"ס,גנ"י.</v>
      </c>
      <c r="AC120" s="160">
        <v>810000</v>
      </c>
    </row>
    <row r="121" spans="1:55" ht="45">
      <c r="A121" s="160">
        <f t="shared" si="3"/>
        <v>113</v>
      </c>
      <c r="B121" s="160">
        <f>'תקציב החברה לפיתוח 2022'!B121</f>
        <v>1911</v>
      </c>
      <c r="C121" s="289" t="str">
        <f>'תקציב החברה לפיתוח 2022'!C121</f>
        <v xml:space="preserve">כיתות מעון 5 יום 5 כיתות גן-. 404 גליל ים ב' </v>
      </c>
      <c r="D121" s="161">
        <f>'תקציב החברה לפיתוח 2022'!D121</f>
        <v>29050000</v>
      </c>
      <c r="E121" s="161">
        <f>'תקציב החברה לפיתוח 2022'!E121</f>
        <v>29050000</v>
      </c>
      <c r="F121" s="161">
        <f>'תקציב החברה לפיתוח 2022'!F121</f>
        <v>0</v>
      </c>
      <c r="G121" s="161">
        <f>'תקציב החברה לפיתוח 2022'!G121</f>
        <v>24050000</v>
      </c>
      <c r="H121" s="161">
        <f>'תקציב החברה לפיתוח 2022'!H121</f>
        <v>19323086</v>
      </c>
      <c r="I121" s="161">
        <f>'תקציב החברה לפיתוח 2022'!I121</f>
        <v>0</v>
      </c>
      <c r="J121" s="161">
        <f>'תקציב החברה לפיתוח 2022'!J121</f>
        <v>1960706</v>
      </c>
      <c r="K121" s="161">
        <f>'תקציב החברה לפיתוח 2022'!K121</f>
        <v>1960706</v>
      </c>
      <c r="L121" s="161">
        <f>'תקציב החברה לפיתוח 2022'!L121</f>
        <v>21283792</v>
      </c>
      <c r="M121" s="161">
        <f>'תקציב החברה לפיתוח 2022'!M121</f>
        <v>5952448</v>
      </c>
      <c r="N121" s="161">
        <f>'תקציב החברה לפיתוח 2022'!N121</f>
        <v>0</v>
      </c>
      <c r="O121" s="161">
        <f>'תקציב החברה לפיתוח 2022'!O121</f>
        <v>1813760</v>
      </c>
      <c r="P121" s="161">
        <f>'תקציב החברה לפיתוח 2022'!P121</f>
        <v>2766208</v>
      </c>
      <c r="Q121" s="161">
        <f>'תקציב החברה לפיתוח 2022'!Q121</f>
        <v>1186240</v>
      </c>
      <c r="R121" s="161">
        <f>'תקציב החברה לפיתוח 2022'!R121</f>
        <v>2000000</v>
      </c>
      <c r="S121" s="161">
        <f>'תקציב החברה לפיתוח 2022'!S121</f>
        <v>3186240</v>
      </c>
      <c r="T121" s="161">
        <f>'תקציב החברה לפיתוח 2022'!T121</f>
        <v>0</v>
      </c>
      <c r="U121" s="161">
        <f>'תקציב החברה לפיתוח 2022'!U121</f>
        <v>0</v>
      </c>
      <c r="V121" s="161">
        <f>'תקציב החברה לפיתוח 2022'!V121</f>
        <v>0</v>
      </c>
      <c r="W121" s="161">
        <f>'תקציב החברה לפיתוח 2022'!W121</f>
        <v>0</v>
      </c>
      <c r="X121" s="161">
        <f>'תקציב החברה לפיתוח 2022'!X121</f>
        <v>0</v>
      </c>
      <c r="Y121" s="161">
        <f>'תקציב החברה לפיתוח 2022'!Y121</f>
        <v>0</v>
      </c>
      <c r="Z121" s="161">
        <f>'תקציב החברה לפיתוח 2022'!Z121</f>
        <v>0</v>
      </c>
      <c r="AA121" s="161">
        <f>'תקציב החברה לפיתוח 2022'!AA121</f>
        <v>0</v>
      </c>
      <c r="AB121" s="289" t="str">
        <f>'תקציב החברה לפיתוח 2022'!AB121</f>
        <v xml:space="preserve">בניית 10 כיתות גן . </v>
      </c>
      <c r="AC121" s="160">
        <v>810000</v>
      </c>
    </row>
    <row r="122" spans="1:55" ht="75">
      <c r="A122" s="160">
        <f t="shared" si="3"/>
        <v>114</v>
      </c>
      <c r="B122" s="160">
        <f>'תקציב החברה לפיתוח 2022'!B122</f>
        <v>1912</v>
      </c>
      <c r="C122" s="289" t="str">
        <f>'תקציב החברה לפיתוח 2022'!C122</f>
        <v xml:space="preserve">קיריית החינוך ( מגרש 406)-ספריה, מרכז קהילתי </v>
      </c>
      <c r="D122" s="161">
        <f>'תקציב החברה לפיתוח 2022'!D122</f>
        <v>310000000</v>
      </c>
      <c r="E122" s="161">
        <f>'תקציב החברה לפיתוח 2022'!E122</f>
        <v>310000000</v>
      </c>
      <c r="F122" s="161">
        <f>'תקציב החברה לפיתוח 2022'!F122</f>
        <v>0</v>
      </c>
      <c r="G122" s="161">
        <f>'תקציב החברה לפיתוח 2022'!G122</f>
        <v>58500000</v>
      </c>
      <c r="H122" s="161">
        <f>'תקציב החברה לפיתוח 2022'!H122</f>
        <v>50080194</v>
      </c>
      <c r="I122" s="161">
        <f>'תקציב החברה לפיתוח 2022'!I122</f>
        <v>0</v>
      </c>
      <c r="J122" s="161">
        <f>'תקציב החברה לפיתוח 2022'!J122</f>
        <v>2502018</v>
      </c>
      <c r="K122" s="161">
        <f>'תקציב החברה לפיתוח 2022'!K122</f>
        <v>2502018</v>
      </c>
      <c r="L122" s="161">
        <f>'תקציב החברה לפיתוח 2022'!L122</f>
        <v>52582212</v>
      </c>
      <c r="M122" s="161">
        <f>'תקציב החברה לפיתוח 2022'!M122</f>
        <v>20710708</v>
      </c>
      <c r="N122" s="161">
        <f>'תקציב החברה לפיתוח 2022'!N122</f>
        <v>100000000</v>
      </c>
      <c r="O122" s="161">
        <f>'תקציב החברה לפיתוח 2022'!O122</f>
        <v>136707080</v>
      </c>
      <c r="P122" s="161">
        <f>'תקציב החברה לפיתוח 2022'!P122</f>
        <v>5917788</v>
      </c>
      <c r="Q122" s="161">
        <f>'תקציב החברה לפיתוח 2022'!Q122</f>
        <v>14792920</v>
      </c>
      <c r="R122" s="161">
        <f>'תקציב החברה לפיתוח 2022'!R122</f>
        <v>0</v>
      </c>
      <c r="S122" s="161">
        <f>'תקציב החברה לפיתוח 2022'!S122</f>
        <v>14792920</v>
      </c>
      <c r="T122" s="161">
        <f>'תקציב החברה לפיתוח 2022'!T122</f>
        <v>0</v>
      </c>
      <c r="U122" s="161">
        <f>'תקציב החברה לפיתוח 2022'!U122</f>
        <v>100000000</v>
      </c>
      <c r="V122" s="161">
        <f>'תקציב החברה לפיתוח 2022'!V122</f>
        <v>25371057</v>
      </c>
      <c r="W122" s="161">
        <f>'תקציב החברה לפיתוח 2022'!W122</f>
        <v>0</v>
      </c>
      <c r="X122" s="161">
        <f>'תקציב החברה לפיתוח 2022'!X122</f>
        <v>0</v>
      </c>
      <c r="Y122" s="161">
        <f>'תקציב החברה לפיתוח 2022'!Y122</f>
        <v>9000000</v>
      </c>
      <c r="Z122" s="161">
        <f>'תקציב החברה לפיתוח 2022'!Z122</f>
        <v>0</v>
      </c>
      <c r="AA122" s="161">
        <f>'תקציב החברה לפיתוח 2022'!AA122</f>
        <v>65628943</v>
      </c>
      <c r="AB122" s="289" t="str">
        <f>'תקציב החברה לפיתוח 2022'!AB122</f>
        <v>בניית בי"ס יסודי (18) , 24 כיתות חט"ב ותיכון , אולם ספורט בינוני , מגרש ספורט , חניון תתקרקעי 2 מפלסים. מימון מ. החינוך.</v>
      </c>
      <c r="AC122" s="160">
        <v>810000</v>
      </c>
    </row>
    <row r="123" spans="1:55" ht="34.15" customHeight="1">
      <c r="A123" s="160">
        <f t="shared" si="3"/>
        <v>115</v>
      </c>
      <c r="B123" s="160">
        <f>'תקציב החברה לפיתוח 2022'!B123</f>
        <v>1914</v>
      </c>
      <c r="C123" s="289" t="str">
        <f>'תקציב החברה לפיתוח 2022'!C123</f>
        <v>גן 3 כיתות 401 גליל ים ב'</v>
      </c>
      <c r="D123" s="161">
        <f>'תקציב החברה לפיתוח 2022'!D123</f>
        <v>8100000</v>
      </c>
      <c r="E123" s="161">
        <f>'תקציב החברה לפיתוח 2022'!E123</f>
        <v>8100000</v>
      </c>
      <c r="F123" s="161">
        <f>'תקציב החברה לפיתוח 2022'!F123</f>
        <v>0</v>
      </c>
      <c r="G123" s="161">
        <f>'תקציב החברה לפיתוח 2022'!G123</f>
        <v>8100000</v>
      </c>
      <c r="H123" s="161">
        <f>'תקציב החברה לפיתוח 2022'!H123</f>
        <v>7471625</v>
      </c>
      <c r="I123" s="161">
        <f>'תקציב החברה לפיתוח 2022'!I123</f>
        <v>0</v>
      </c>
      <c r="J123" s="161">
        <f>'תקציב החברה לפיתוח 2022'!J123</f>
        <v>113629</v>
      </c>
      <c r="K123" s="161">
        <f>'תקציב החברה לפיתוח 2022'!K123</f>
        <v>113629</v>
      </c>
      <c r="L123" s="161">
        <f>'תקציב החברה לפיתוח 2022'!L123</f>
        <v>7585254</v>
      </c>
      <c r="M123" s="161">
        <f>'תקציב החברה לפיתוח 2022'!M123</f>
        <v>514746</v>
      </c>
      <c r="N123" s="161">
        <f>'תקציב החברה לפיתוח 2022'!N123</f>
        <v>0</v>
      </c>
      <c r="O123" s="161">
        <f>'תקציב החברה לפיתוח 2022'!O123</f>
        <v>0</v>
      </c>
      <c r="P123" s="161">
        <f>'תקציב החברה לפיתוח 2022'!P123</f>
        <v>514746</v>
      </c>
      <c r="Q123" s="161">
        <f>'תקציב החברה לפיתוח 2022'!Q123</f>
        <v>0</v>
      </c>
      <c r="R123" s="161">
        <f>'תקציב החברה לפיתוח 2022'!R123</f>
        <v>0</v>
      </c>
      <c r="S123" s="161">
        <f>'תקציב החברה לפיתוח 2022'!S123</f>
        <v>0</v>
      </c>
      <c r="T123" s="161">
        <f>'תקציב החברה לפיתוח 2022'!T123</f>
        <v>0</v>
      </c>
      <c r="U123" s="161">
        <f>'תקציב החברה לפיתוח 2022'!U123</f>
        <v>0</v>
      </c>
      <c r="V123" s="161">
        <f>'תקציב החברה לפיתוח 2022'!V123</f>
        <v>0</v>
      </c>
      <c r="W123" s="161">
        <f>'תקציב החברה לפיתוח 2022'!W123</f>
        <v>0</v>
      </c>
      <c r="X123" s="161">
        <f>'תקציב החברה לפיתוח 2022'!X123</f>
        <v>0</v>
      </c>
      <c r="Y123" s="161">
        <f>'תקציב החברה לפיתוח 2022'!Y123</f>
        <v>0</v>
      </c>
      <c r="Z123" s="161">
        <f>'תקציב החברה לפיתוח 2022'!Z123</f>
        <v>0</v>
      </c>
      <c r="AA123" s="161">
        <f>'תקציב החברה לפיתוח 2022'!AA123</f>
        <v>0</v>
      </c>
      <c r="AB123" s="289" t="str">
        <f>'תקציב החברה לפיתוח 2022'!AB123</f>
        <v>במקביל,תבר הצטיידות בחינוך .</v>
      </c>
      <c r="AC123" s="160">
        <v>810000</v>
      </c>
    </row>
    <row r="124" spans="1:55" ht="30" customHeight="1">
      <c r="A124" s="160">
        <f t="shared" si="3"/>
        <v>116</v>
      </c>
      <c r="B124" s="160">
        <f>'תקציב החברה לפיתוח 2022'!B124</f>
        <v>1919</v>
      </c>
      <c r="C124" s="289" t="str">
        <f>'תקציב החברה לפיתוח 2022'!C124</f>
        <v>פיתוח גליל ים ב'</v>
      </c>
      <c r="D124" s="161">
        <f>'תקציב החברה לפיתוח 2022'!D124</f>
        <v>135100000</v>
      </c>
      <c r="E124" s="161">
        <f>'תקציב החברה לפיתוח 2022'!E124</f>
        <v>135100000</v>
      </c>
      <c r="F124" s="161">
        <f>'תקציב החברה לפיתוח 2022'!F124</f>
        <v>0</v>
      </c>
      <c r="G124" s="161">
        <f>'תקציב החברה לפיתוח 2022'!G124</f>
        <v>70359741</v>
      </c>
      <c r="H124" s="161">
        <f>'תקציב החברה לפיתוח 2022'!H124</f>
        <v>56023508</v>
      </c>
      <c r="I124" s="161">
        <f>'תקציב החברה לפיתוח 2022'!I124</f>
        <v>0</v>
      </c>
      <c r="J124" s="161">
        <f>'תקציב החברה לפיתוח 2022'!J124</f>
        <v>2291671</v>
      </c>
      <c r="K124" s="161">
        <f>'תקציב החברה לפיתוח 2022'!K124</f>
        <v>2291671</v>
      </c>
      <c r="L124" s="161">
        <f>'תקציב החברה לפיתוח 2022'!L124</f>
        <v>58315179</v>
      </c>
      <c r="M124" s="161">
        <f>'תקציב החברה לפיתוח 2022'!M124</f>
        <v>13709655</v>
      </c>
      <c r="N124" s="161">
        <f>'תקציב החברה לפיתוח 2022'!N124</f>
        <v>0</v>
      </c>
      <c r="O124" s="161">
        <f>'תקציב החברה לפיתוח 2022'!O124</f>
        <v>63075166</v>
      </c>
      <c r="P124" s="161">
        <f>'תקציב החברה לפיתוח 2022'!P124</f>
        <v>12044562</v>
      </c>
      <c r="Q124" s="161">
        <f>'תקציב החברה לפיתוח 2022'!Q124</f>
        <v>0</v>
      </c>
      <c r="R124" s="161">
        <f>'תקציב החברה לפיתוח 2022'!R124</f>
        <v>1665093</v>
      </c>
      <c r="S124" s="161">
        <f>'תקציב החברה לפיתוח 2022'!S124</f>
        <v>1665093</v>
      </c>
      <c r="T124" s="161">
        <f>'תקציב החברה לפיתוח 2022'!T124</f>
        <v>0</v>
      </c>
      <c r="U124" s="161">
        <f>'תקציב החברה לפיתוח 2022'!U124</f>
        <v>0</v>
      </c>
      <c r="V124" s="161">
        <f>'תקציב החברה לפיתוח 2022'!V124</f>
        <v>0</v>
      </c>
      <c r="W124" s="161">
        <f>'תקציב החברה לפיתוח 2022'!W124</f>
        <v>0</v>
      </c>
      <c r="X124" s="161">
        <f>'תקציב החברה לפיתוח 2022'!X124</f>
        <v>0</v>
      </c>
      <c r="Y124" s="161">
        <f>'תקציב החברה לפיתוח 2022'!Y124</f>
        <v>0</v>
      </c>
      <c r="Z124" s="161">
        <f>'תקציב החברה לפיתוח 2022'!Z124</f>
        <v>0</v>
      </c>
      <c r="AA124" s="161">
        <f>'תקציב החברה לפיתוח 2022'!AA124</f>
        <v>0</v>
      </c>
      <c r="AB124" s="289" t="str">
        <f>'תקציב החברה לפיתוח 2022'!AB124</f>
        <v xml:space="preserve">עבודות פיתוח. מימון רמ"י במסגרת הסכם "הגג". </v>
      </c>
      <c r="AC124" s="160">
        <v>742000</v>
      </c>
    </row>
    <row r="125" spans="1:55" ht="71.45" customHeight="1">
      <c r="A125" s="160">
        <f t="shared" si="3"/>
        <v>117</v>
      </c>
      <c r="B125" s="160">
        <f>'תקציב החברה לפיתוח 2022'!B125</f>
        <v>1960</v>
      </c>
      <c r="C125" s="289" t="str">
        <f>'תקציב החברה לפיתוח 2022'!C125</f>
        <v>גן 3 כיתות 402 גליל ים ב'(כולל חניון)</v>
      </c>
      <c r="D125" s="161">
        <f>'תקציב החברה לפיתוח 2022'!D125</f>
        <v>24710000</v>
      </c>
      <c r="E125" s="161">
        <f>'תקציב החברה לפיתוח 2022'!E125</f>
        <v>24710000</v>
      </c>
      <c r="F125" s="161">
        <f>'תקציב החברה לפיתוח 2022'!F125</f>
        <v>0</v>
      </c>
      <c r="G125" s="161">
        <f>'תקציב החברה לפיתוח 2022'!G125</f>
        <v>15710000</v>
      </c>
      <c r="H125" s="161">
        <f>'תקציב החברה לפיתוח 2022'!H125</f>
        <v>8681711</v>
      </c>
      <c r="I125" s="161">
        <f>'תקציב החברה לפיתוח 2022'!I125</f>
        <v>0</v>
      </c>
      <c r="J125" s="161">
        <f>'תקציב החברה לפיתוח 2022'!J125</f>
        <v>3583607</v>
      </c>
      <c r="K125" s="161">
        <f>'תקציב החברה לפיתוח 2022'!K125</f>
        <v>3583607</v>
      </c>
      <c r="L125" s="161">
        <f>'תקציב החברה לפיתוח 2022'!L125</f>
        <v>12265318</v>
      </c>
      <c r="M125" s="161">
        <f>'תקציב החברה לפיתוח 2022'!M125</f>
        <v>10156426</v>
      </c>
      <c r="N125" s="161">
        <f>'תקציב החברה לפיתוח 2022'!N125</f>
        <v>2288256</v>
      </c>
      <c r="O125" s="161">
        <f>'תקציב החברה לפיתוח 2022'!O125</f>
        <v>0</v>
      </c>
      <c r="P125" s="161">
        <f>'תקציב החברה לפיתוח 2022'!P125</f>
        <v>3444682</v>
      </c>
      <c r="Q125" s="161">
        <f>'תקציב החברה לפיתוח 2022'!Q125</f>
        <v>6711744</v>
      </c>
      <c r="R125" s="161">
        <f>'תקציב החברה לפיתוח 2022'!R125</f>
        <v>0</v>
      </c>
      <c r="S125" s="161">
        <f>'תקציב החברה לפיתוח 2022'!S125</f>
        <v>6711744</v>
      </c>
      <c r="T125" s="161">
        <f>'תקציב החברה לפיתוח 2022'!T125</f>
        <v>0</v>
      </c>
      <c r="U125" s="161">
        <f>'תקציב החברה לפיתוח 2022'!U125</f>
        <v>2288256</v>
      </c>
      <c r="V125" s="161">
        <f>'תקציב החברה לפיתוח 2022'!V125</f>
        <v>0</v>
      </c>
      <c r="W125" s="161">
        <f>'תקציב החברה לפיתוח 2022'!W125</f>
        <v>0</v>
      </c>
      <c r="X125" s="161">
        <f>'תקציב החברה לפיתוח 2022'!X125</f>
        <v>0</v>
      </c>
      <c r="Y125" s="161">
        <f>'תקציב החברה לפיתוח 2022'!Y125</f>
        <v>0</v>
      </c>
      <c r="Z125" s="161">
        <f>'תקציב החברה לפיתוח 2022'!Z125</f>
        <v>0</v>
      </c>
      <c r="AA125" s="161">
        <f>'תקציב החברה לפיתוח 2022'!AA125</f>
        <v>2288256</v>
      </c>
      <c r="AB125" s="289" t="str">
        <f>'תקציב החברה לפיתוח 2022'!AB125</f>
        <v xml:space="preserve">בניית 3 כיתות גן , בניית החניון במימון  חברת אפריקה ישראל. גנ"י:  מימון מ. החינוך. </v>
      </c>
      <c r="AC125" s="160">
        <v>810000</v>
      </c>
    </row>
    <row r="126" spans="1:55" ht="30">
      <c r="A126" s="160">
        <f t="shared" si="3"/>
        <v>118</v>
      </c>
      <c r="B126" s="160">
        <f>'תקציב החברה לפיתוח 2022'!B126</f>
        <v>1962</v>
      </c>
      <c r="C126" s="289" t="str">
        <f>'תקציב החברה לפיתוח 2022'!C126</f>
        <v>גשר הולכי רגל מעל שבעת הכוכבים</v>
      </c>
      <c r="D126" s="161">
        <f>'תקציב החברה לפיתוח 2022'!D126</f>
        <v>20000000</v>
      </c>
      <c r="E126" s="161">
        <f>'תקציב החברה לפיתוח 2022'!E126</f>
        <v>20000000</v>
      </c>
      <c r="F126" s="161">
        <f>'תקציב החברה לפיתוח 2022'!F126</f>
        <v>0</v>
      </c>
      <c r="G126" s="161">
        <f>'תקציב החברה לפיתוח 2022'!G126</f>
        <v>1000000</v>
      </c>
      <c r="H126" s="161">
        <f>'תקציב החברה לפיתוח 2022'!H126</f>
        <v>0</v>
      </c>
      <c r="I126" s="161">
        <f>'תקציב החברה לפיתוח 2022'!I126</f>
        <v>0</v>
      </c>
      <c r="J126" s="161">
        <f>'תקציב החברה לפיתוח 2022'!J126</f>
        <v>0</v>
      </c>
      <c r="K126" s="161">
        <f>'תקציב החברה לפיתוח 2022'!K126</f>
        <v>0</v>
      </c>
      <c r="L126" s="161">
        <f>'תקציב החברה לפיתוח 2022'!L126</f>
        <v>0</v>
      </c>
      <c r="M126" s="161">
        <f>'תקציב החברה לפיתוח 2022'!M126</f>
        <v>100000</v>
      </c>
      <c r="N126" s="161">
        <f>'תקציב החברה לפיתוח 2022'!N126</f>
        <v>0</v>
      </c>
      <c r="O126" s="161">
        <f>'תקציב החברה לפיתוח 2022'!O126</f>
        <v>19900000</v>
      </c>
      <c r="P126" s="161">
        <f>'תקציב החברה לפיתוח 2022'!P126</f>
        <v>1000000</v>
      </c>
      <c r="Q126" s="161">
        <f>'תקציב החברה לפיתוח 2022'!Q126</f>
        <v>0</v>
      </c>
      <c r="R126" s="161">
        <f>'תקציב החברה לפיתוח 2022'!R126</f>
        <v>0</v>
      </c>
      <c r="S126" s="161">
        <f>'תקציב החברה לפיתוח 2022'!S126</f>
        <v>0</v>
      </c>
      <c r="T126" s="161">
        <f>'תקציב החברה לפיתוח 2022'!T126</f>
        <v>900000</v>
      </c>
      <c r="U126" s="161">
        <f>'תקציב החברה לפיתוח 2022'!U126</f>
        <v>-900000</v>
      </c>
      <c r="V126" s="161">
        <f>'תקציב החברה לפיתוח 2022'!V126</f>
        <v>-900000</v>
      </c>
      <c r="W126" s="161">
        <f>'תקציב החברה לפיתוח 2022'!W126</f>
        <v>0</v>
      </c>
      <c r="X126" s="161">
        <f>'תקציב החברה לפיתוח 2022'!X126</f>
        <v>0</v>
      </c>
      <c r="Y126" s="161">
        <f>'תקציב החברה לפיתוח 2022'!Y126</f>
        <v>0</v>
      </c>
      <c r="Z126" s="161">
        <f>'תקציב החברה לפיתוח 2022'!Z126</f>
        <v>0</v>
      </c>
      <c r="AA126" s="161">
        <f>'תקציב החברה לפיתוח 2022'!AA126</f>
        <v>0</v>
      </c>
      <c r="AB126" s="289" t="str">
        <f>'תקציב החברה לפיתוח 2022'!AB126</f>
        <v>גשר מחבר בין הפארק לבין שבעת הכוכבים.</v>
      </c>
      <c r="AC126" s="160">
        <v>742000</v>
      </c>
    </row>
    <row r="127" spans="1:55" ht="45">
      <c r="A127" s="160">
        <f t="shared" si="3"/>
        <v>119</v>
      </c>
      <c r="B127" s="160">
        <f>'תקציב החברה לפיתוח 2022'!B127</f>
        <v>1965</v>
      </c>
      <c r="C127" s="289" t="str">
        <f>'תקציב החברה לפיתוח 2022'!C127</f>
        <v>בית ספר יסודי 18 כיתות מגרש 304 גלילי ים א'</v>
      </c>
      <c r="D127" s="161">
        <f>'תקציב החברה לפיתוח 2022'!D127</f>
        <v>35000000</v>
      </c>
      <c r="E127" s="161">
        <f>'תקציב החברה לפיתוח 2022'!E127</f>
        <v>35000000</v>
      </c>
      <c r="F127" s="161">
        <f>'תקציב החברה לפיתוח 2022'!F127</f>
        <v>0</v>
      </c>
      <c r="G127" s="161">
        <f>'תקציב החברה לפיתוח 2022'!G127</f>
        <v>1100000</v>
      </c>
      <c r="H127" s="161">
        <f>'תקציב החברה לפיתוח 2022'!H127</f>
        <v>221274</v>
      </c>
      <c r="I127" s="161">
        <f>'תקציב החברה לפיתוח 2022'!I127</f>
        <v>0</v>
      </c>
      <c r="J127" s="161">
        <f>'תקציב החברה לפיתוח 2022'!J127</f>
        <v>834538</v>
      </c>
      <c r="K127" s="161">
        <f>'תקציב החברה לפיתוח 2022'!K127</f>
        <v>834538</v>
      </c>
      <c r="L127" s="161">
        <f>'תקציב החברה לפיתוח 2022'!L127</f>
        <v>1055812</v>
      </c>
      <c r="M127" s="161">
        <f>'תקציב החברה לפיתוח 2022'!M127</f>
        <v>1044188</v>
      </c>
      <c r="N127" s="161">
        <f>'תקציב החברה לפיתוח 2022'!N127</f>
        <v>0</v>
      </c>
      <c r="O127" s="161">
        <f>'תקציב החברה לפיתוח 2022'!O127</f>
        <v>32900000</v>
      </c>
      <c r="P127" s="161">
        <f>'תקציב החברה לפיתוח 2022'!P127</f>
        <v>44188</v>
      </c>
      <c r="Q127" s="161">
        <f>'תקציב החברה לפיתוח 2022'!Q127</f>
        <v>1000000</v>
      </c>
      <c r="R127" s="161">
        <f>'תקציב החברה לפיתוח 2022'!R127</f>
        <v>0</v>
      </c>
      <c r="S127" s="161">
        <f>'תקציב החברה לפיתוח 2022'!S127</f>
        <v>1000000</v>
      </c>
      <c r="T127" s="161">
        <f>'תקציב החברה לפיתוח 2022'!T127</f>
        <v>0</v>
      </c>
      <c r="U127" s="161">
        <f>'תקציב החברה לפיתוח 2022'!U127</f>
        <v>0</v>
      </c>
      <c r="V127" s="161">
        <f>'תקציב החברה לפיתוח 2022'!V127</f>
        <v>0</v>
      </c>
      <c r="W127" s="161">
        <f>'תקציב החברה לפיתוח 2022'!W127</f>
        <v>0</v>
      </c>
      <c r="X127" s="161">
        <f>'תקציב החברה לפיתוח 2022'!X127</f>
        <v>0</v>
      </c>
      <c r="Y127" s="161">
        <f>'תקציב החברה לפיתוח 2022'!Y127</f>
        <v>0</v>
      </c>
      <c r="Z127" s="161">
        <f>'תקציב החברה לפיתוח 2022'!Z127</f>
        <v>0</v>
      </c>
      <c r="AA127" s="161">
        <f>'תקציב החברה לפיתוח 2022'!AA127</f>
        <v>0</v>
      </c>
      <c r="AB127" s="289" t="str">
        <f>'תקציב החברה לפיתוח 2022'!AB127</f>
        <v xml:space="preserve">בי"ס יסודי בשטח 304.ב - 2021: תכנון. </v>
      </c>
      <c r="AC127" s="160">
        <v>810000</v>
      </c>
    </row>
    <row r="128" spans="1:55" s="5" customFormat="1" ht="45">
      <c r="A128" s="160">
        <f t="shared" si="3"/>
        <v>120</v>
      </c>
      <c r="B128" s="160">
        <f>'תקציב החברה לפיתוח 2022'!B128</f>
        <v>2186</v>
      </c>
      <c r="C128" s="289" t="str">
        <f>'תקציב החברה לפיתוח 2022'!C128</f>
        <v>כיתות גן 3 נוספות מגרש 302 גליל ים</v>
      </c>
      <c r="D128" s="161">
        <f>'תקציב החברה לפיתוח 2022'!D128</f>
        <v>8100000</v>
      </c>
      <c r="E128" s="161">
        <f>'תקציב החברה לפיתוח 2022'!E128</f>
        <v>8100000</v>
      </c>
      <c r="F128" s="161">
        <f>'תקציב החברה לפיתוח 2022'!F128</f>
        <v>0</v>
      </c>
      <c r="G128" s="161">
        <f>'תקציב החברה לפיתוח 2022'!G128</f>
        <v>5811744</v>
      </c>
      <c r="H128" s="161">
        <f>'תקציב החברה לפיתוח 2022'!H128</f>
        <v>5471192</v>
      </c>
      <c r="I128" s="161">
        <f>'תקציב החברה לפיתוח 2022'!I128</f>
        <v>0</v>
      </c>
      <c r="J128" s="161">
        <f>'תקציב החברה לפיתוח 2022'!J128</f>
        <v>146534</v>
      </c>
      <c r="K128" s="161">
        <f>'תקציב החברה לפיתוח 2022'!K128</f>
        <v>146534</v>
      </c>
      <c r="L128" s="161">
        <f>'תקציב החברה לפיתוח 2022'!L128</f>
        <v>5617726</v>
      </c>
      <c r="M128" s="161">
        <f>'תקציב החברה לפיתוח 2022'!M128</f>
        <v>1394018</v>
      </c>
      <c r="N128" s="161">
        <f>'תקציב החברה לפיתוח 2022'!N128</f>
        <v>0</v>
      </c>
      <c r="O128" s="161">
        <f>'תקציב החברה לפיתוח 2022'!O128</f>
        <v>1088256</v>
      </c>
      <c r="P128" s="161">
        <f>'תקציב החברה לפיתוח 2022'!P128</f>
        <v>194018</v>
      </c>
      <c r="Q128" s="161">
        <f>'תקציב החברה לפיתוח 2022'!Q128</f>
        <v>0</v>
      </c>
      <c r="R128" s="161">
        <f>'תקציב החברה לפיתוח 2022'!R128</f>
        <v>1200000</v>
      </c>
      <c r="S128" s="161">
        <f>'תקציב החברה לפיתוח 2022'!S128</f>
        <v>1200000</v>
      </c>
      <c r="T128" s="161">
        <f>'תקציב החברה לפיתוח 2022'!T128</f>
        <v>0</v>
      </c>
      <c r="U128" s="161">
        <f>'תקציב החברה לפיתוח 2022'!U128</f>
        <v>0</v>
      </c>
      <c r="V128" s="161">
        <f>'תקציב החברה לפיתוח 2022'!V128</f>
        <v>0</v>
      </c>
      <c r="W128" s="161">
        <f>'תקציב החברה לפיתוח 2022'!W128</f>
        <v>0</v>
      </c>
      <c r="X128" s="161">
        <f>'תקציב החברה לפיתוח 2022'!X128</f>
        <v>0</v>
      </c>
      <c r="Y128" s="161">
        <f>'תקציב החברה לפיתוח 2022'!Y128</f>
        <v>0</v>
      </c>
      <c r="Z128" s="161">
        <f>'תקציב החברה לפיתוח 2022'!Z128</f>
        <v>0</v>
      </c>
      <c r="AA128" s="161">
        <f>'תקציב החברה לפיתוח 2022'!AA128</f>
        <v>0</v>
      </c>
      <c r="AB128" s="289" t="str">
        <f>'תקציב החברה לפיתוח 2022'!AB128</f>
        <v>כיתות גן (3) נוספות מגרש 302 גליל ים. מימון מ. החינוך.</v>
      </c>
      <c r="AC128" s="3">
        <v>810000</v>
      </c>
      <c r="AD128" s="154"/>
      <c r="AE128" s="154"/>
      <c r="AF128" s="154"/>
      <c r="AG128" s="154"/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</row>
    <row r="129" spans="1:55" s="271" customFormat="1" ht="30" customHeight="1">
      <c r="A129" s="166"/>
      <c r="B129" s="270"/>
      <c r="C129" s="166" t="s">
        <v>338</v>
      </c>
      <c r="D129" s="168">
        <f>SUM(D116:D128)</f>
        <v>1020980496</v>
      </c>
      <c r="E129" s="168">
        <f t="shared" ref="E129:AA129" si="4">SUM(E116:E128)</f>
        <v>1021006000</v>
      </c>
      <c r="F129" s="168">
        <f t="shared" si="4"/>
        <v>-25504</v>
      </c>
      <c r="G129" s="168">
        <f t="shared" si="4"/>
        <v>460047787</v>
      </c>
      <c r="H129" s="168">
        <f t="shared" si="4"/>
        <v>385912552</v>
      </c>
      <c r="I129" s="168">
        <f t="shared" si="4"/>
        <v>0</v>
      </c>
      <c r="J129" s="168">
        <f t="shared" si="4"/>
        <v>20601158</v>
      </c>
      <c r="K129" s="168">
        <f t="shared" si="4"/>
        <v>20601158</v>
      </c>
      <c r="L129" s="168">
        <f t="shared" si="4"/>
        <v>406513710</v>
      </c>
      <c r="M129" s="168">
        <f t="shared" si="4"/>
        <v>92269780</v>
      </c>
      <c r="N129" s="168">
        <f t="shared" si="4"/>
        <v>192138256</v>
      </c>
      <c r="O129" s="168">
        <f t="shared" si="4"/>
        <v>330058750</v>
      </c>
      <c r="P129" s="168">
        <f t="shared" si="4"/>
        <v>53534077</v>
      </c>
      <c r="Q129" s="168">
        <f t="shared" si="4"/>
        <v>42270610</v>
      </c>
      <c r="R129" s="168">
        <f t="shared" si="4"/>
        <v>-2634907</v>
      </c>
      <c r="S129" s="168">
        <f t="shared" si="4"/>
        <v>39635703</v>
      </c>
      <c r="T129" s="168">
        <f t="shared" si="4"/>
        <v>900000</v>
      </c>
      <c r="U129" s="168">
        <f t="shared" si="4"/>
        <v>191238256</v>
      </c>
      <c r="V129" s="168">
        <f t="shared" si="4"/>
        <v>91437604</v>
      </c>
      <c r="W129" s="168">
        <f t="shared" si="4"/>
        <v>0</v>
      </c>
      <c r="X129" s="168">
        <f t="shared" si="4"/>
        <v>0</v>
      </c>
      <c r="Y129" s="168">
        <f t="shared" si="4"/>
        <v>9000000</v>
      </c>
      <c r="Z129" s="168">
        <f t="shared" si="4"/>
        <v>0</v>
      </c>
      <c r="AA129" s="168">
        <f t="shared" si="4"/>
        <v>90800652</v>
      </c>
      <c r="AB129" s="157"/>
      <c r="AC129" s="166"/>
      <c r="AD129" s="154"/>
      <c r="AE129" s="154"/>
      <c r="AF129" s="154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</row>
    <row r="130" spans="1:55" s="370" customFormat="1" ht="30" customHeight="1">
      <c r="A130" s="302">
        <f>A128</f>
        <v>120</v>
      </c>
      <c r="B130" s="302"/>
      <c r="C130" s="32" t="s">
        <v>638</v>
      </c>
      <c r="D130" s="369">
        <f t="shared" ref="D130:AA130" si="5">D129+D112</f>
        <v>3217044339</v>
      </c>
      <c r="E130" s="369">
        <f t="shared" si="5"/>
        <v>3022650187</v>
      </c>
      <c r="F130" s="369">
        <f t="shared" si="5"/>
        <v>194394152</v>
      </c>
      <c r="G130" s="369">
        <f t="shared" si="5"/>
        <v>1377988129</v>
      </c>
      <c r="H130" s="369">
        <f t="shared" si="5"/>
        <v>1147601818</v>
      </c>
      <c r="I130" s="369">
        <f t="shared" si="5"/>
        <v>3316292</v>
      </c>
      <c r="J130" s="369">
        <f t="shared" si="5"/>
        <v>56856826</v>
      </c>
      <c r="K130" s="369">
        <f t="shared" si="5"/>
        <v>60173118</v>
      </c>
      <c r="L130" s="369">
        <f t="shared" si="5"/>
        <v>1207774936</v>
      </c>
      <c r="M130" s="369">
        <f t="shared" si="5"/>
        <v>340006362</v>
      </c>
      <c r="N130" s="369">
        <f t="shared" si="5"/>
        <v>355265805</v>
      </c>
      <c r="O130" s="369">
        <f t="shared" si="5"/>
        <v>1313997236</v>
      </c>
      <c r="P130" s="369">
        <f t="shared" si="5"/>
        <v>170213193</v>
      </c>
      <c r="Q130" s="369">
        <f t="shared" si="5"/>
        <v>167330610</v>
      </c>
      <c r="R130" s="369">
        <f t="shared" si="5"/>
        <v>10226895</v>
      </c>
      <c r="S130" s="369">
        <f t="shared" si="5"/>
        <v>177557505</v>
      </c>
      <c r="T130" s="369">
        <f t="shared" si="5"/>
        <v>7764336</v>
      </c>
      <c r="U130" s="369">
        <f t="shared" si="5"/>
        <v>347501469</v>
      </c>
      <c r="V130" s="369">
        <f t="shared" si="5"/>
        <v>184998584</v>
      </c>
      <c r="W130" s="369">
        <f t="shared" si="5"/>
        <v>1500000</v>
      </c>
      <c r="X130" s="369">
        <f t="shared" si="5"/>
        <v>0</v>
      </c>
      <c r="Y130" s="369">
        <f t="shared" si="5"/>
        <v>9000000</v>
      </c>
      <c r="Z130" s="369">
        <f t="shared" si="5"/>
        <v>7100000</v>
      </c>
      <c r="AA130" s="369">
        <f t="shared" si="5"/>
        <v>144902885</v>
      </c>
      <c r="AB130" s="369"/>
      <c r="AC130" s="835"/>
      <c r="AD130" s="154"/>
      <c r="AE130" s="154"/>
      <c r="AF130" s="154"/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</row>
    <row r="131" spans="1:55" hidden="1">
      <c r="C131" s="261"/>
      <c r="F131" s="274"/>
      <c r="G131" s="274"/>
      <c r="H131" s="274"/>
      <c r="I131" s="274"/>
      <c r="J131" s="274"/>
      <c r="K131" s="274"/>
      <c r="L131" s="274">
        <f>K130+H130</f>
        <v>1207774936</v>
      </c>
      <c r="M131" s="274">
        <f>P131+S130-T130</f>
        <v>340006362</v>
      </c>
      <c r="N131" s="274"/>
      <c r="O131" s="274"/>
      <c r="P131" s="274">
        <f>G130-L131</f>
        <v>170213193</v>
      </c>
      <c r="Q131" s="274"/>
      <c r="R131" s="273"/>
      <c r="S131" s="274"/>
      <c r="T131" s="274">
        <f>P130+S130-M130</f>
        <v>7764336</v>
      </c>
    </row>
    <row r="132" spans="1:55">
      <c r="F132" s="274"/>
      <c r="G132" s="274"/>
      <c r="H132" s="274"/>
      <c r="I132" s="274"/>
      <c r="J132" s="274"/>
      <c r="K132" s="274"/>
      <c r="L132" s="274"/>
      <c r="M132" s="274"/>
      <c r="N132" s="274"/>
      <c r="O132" s="274"/>
      <c r="P132" s="274"/>
      <c r="Q132" s="274"/>
      <c r="R132" s="273"/>
      <c r="S132" s="274"/>
      <c r="T132" s="274"/>
    </row>
    <row r="133" spans="1:55">
      <c r="C133" s="261"/>
      <c r="F133" s="274"/>
      <c r="G133" s="274"/>
      <c r="H133" s="274"/>
      <c r="I133" s="274"/>
      <c r="J133" s="274"/>
      <c r="K133" s="274"/>
      <c r="L133" s="274"/>
      <c r="M133" s="274"/>
      <c r="N133" s="274"/>
      <c r="O133" s="274"/>
      <c r="P133" s="274"/>
      <c r="Q133" s="274"/>
      <c r="R133" s="273"/>
      <c r="S133" s="274"/>
      <c r="T133" s="274"/>
    </row>
    <row r="134" spans="1:55">
      <c r="F134" s="274"/>
      <c r="G134" s="274"/>
      <c r="H134" s="274"/>
      <c r="I134" s="274"/>
      <c r="J134" s="274"/>
      <c r="K134" s="274"/>
      <c r="L134" s="274"/>
      <c r="M134" s="274"/>
      <c r="N134" s="274"/>
      <c r="O134" s="274"/>
      <c r="P134" s="274"/>
      <c r="Q134" s="274"/>
      <c r="R134" s="275"/>
      <c r="S134" s="274"/>
      <c r="T134" s="274"/>
    </row>
    <row r="135" spans="1:55">
      <c r="F135" s="274"/>
      <c r="G135" s="274"/>
      <c r="H135" s="274"/>
      <c r="I135" s="274"/>
      <c r="J135" s="274"/>
      <c r="K135" s="274"/>
      <c r="L135" s="274"/>
      <c r="M135" s="274"/>
      <c r="N135" s="274"/>
      <c r="O135" s="274"/>
      <c r="P135" s="274"/>
      <c r="Q135" s="274"/>
      <c r="R135" s="274"/>
      <c r="S135" s="274"/>
      <c r="T135" s="274"/>
      <c r="U135" s="274"/>
      <c r="V135" s="274"/>
      <c r="W135" s="274"/>
      <c r="X135" s="274"/>
      <c r="Y135" s="274"/>
      <c r="Z135" s="274"/>
      <c r="AA135" s="274"/>
    </row>
    <row r="136" spans="1:55">
      <c r="F136" s="274"/>
      <c r="G136" s="274"/>
      <c r="H136" s="274"/>
      <c r="I136" s="274"/>
      <c r="J136" s="274"/>
      <c r="K136" s="274"/>
      <c r="L136" s="274"/>
      <c r="M136" s="274"/>
      <c r="N136" s="274"/>
      <c r="O136" s="274"/>
      <c r="P136" s="274"/>
      <c r="Q136" s="274"/>
      <c r="R136" s="274"/>
      <c r="S136" s="274"/>
      <c r="T136" s="274"/>
      <c r="U136" s="274"/>
      <c r="V136" s="274"/>
      <c r="W136" s="274"/>
      <c r="X136" s="274"/>
      <c r="Y136" s="274"/>
      <c r="Z136" s="274"/>
      <c r="AA136" s="274"/>
    </row>
    <row r="137" spans="1:55">
      <c r="F137" s="274"/>
      <c r="G137" s="274"/>
      <c r="H137" s="274"/>
      <c r="I137" s="274"/>
      <c r="J137" s="274"/>
      <c r="K137" s="274"/>
      <c r="L137" s="274"/>
      <c r="M137" s="274"/>
      <c r="N137" s="274"/>
      <c r="O137" s="274"/>
      <c r="P137" s="274"/>
      <c r="Q137" s="274"/>
      <c r="R137" s="274"/>
      <c r="S137" s="274"/>
      <c r="T137" s="274"/>
      <c r="U137" s="274"/>
      <c r="V137" s="274"/>
      <c r="W137" s="274"/>
      <c r="X137" s="274"/>
      <c r="Y137" s="274"/>
      <c r="Z137" s="274"/>
      <c r="AA137" s="274"/>
    </row>
    <row r="138" spans="1:55">
      <c r="F138" s="274"/>
      <c r="G138" s="274"/>
      <c r="H138" s="274"/>
      <c r="I138" s="274"/>
      <c r="J138" s="274"/>
      <c r="K138" s="274"/>
      <c r="L138" s="274"/>
      <c r="M138" s="274"/>
      <c r="N138" s="274"/>
      <c r="O138" s="274"/>
      <c r="P138" s="274"/>
      <c r="Q138" s="274"/>
      <c r="R138" s="274"/>
      <c r="S138" s="274"/>
      <c r="T138" s="274"/>
      <c r="U138" s="274"/>
      <c r="V138" s="274"/>
      <c r="W138" s="274"/>
      <c r="X138" s="274"/>
      <c r="Y138" s="274"/>
      <c r="Z138" s="274"/>
      <c r="AA138" s="274"/>
    </row>
    <row r="139" spans="1:55">
      <c r="F139" s="274"/>
      <c r="G139" s="274"/>
      <c r="H139" s="274"/>
      <c r="I139" s="274"/>
      <c r="J139" s="274"/>
      <c r="K139" s="274"/>
      <c r="L139" s="274"/>
      <c r="M139" s="274"/>
      <c r="N139" s="274"/>
      <c r="O139" s="274"/>
      <c r="P139" s="274"/>
      <c r="Q139" s="274"/>
      <c r="R139" s="274"/>
      <c r="S139" s="274"/>
      <c r="T139" s="274"/>
      <c r="U139" s="274"/>
      <c r="V139" s="274"/>
      <c r="W139" s="274"/>
      <c r="X139" s="274"/>
      <c r="Y139" s="274"/>
      <c r="Z139" s="274"/>
      <c r="AA139" s="274"/>
    </row>
    <row r="140" spans="1:55">
      <c r="F140" s="274"/>
      <c r="G140" s="274"/>
      <c r="H140" s="274"/>
      <c r="I140" s="274"/>
      <c r="J140" s="274"/>
      <c r="K140" s="274"/>
      <c r="L140" s="274"/>
      <c r="M140" s="274"/>
      <c r="N140" s="274"/>
      <c r="O140" s="274"/>
      <c r="P140" s="274"/>
      <c r="Q140" s="274"/>
      <c r="R140" s="274"/>
      <c r="S140" s="274"/>
      <c r="T140" s="274"/>
      <c r="U140" s="274"/>
      <c r="V140" s="274"/>
      <c r="W140" s="274"/>
      <c r="X140" s="274"/>
      <c r="Y140" s="274"/>
      <c r="Z140" s="274"/>
      <c r="AA140" s="274"/>
    </row>
    <row r="141" spans="1:55">
      <c r="F141" s="274"/>
      <c r="G141" s="274"/>
      <c r="H141" s="274"/>
      <c r="I141" s="274"/>
      <c r="J141" s="274"/>
      <c r="K141" s="274"/>
      <c r="L141" s="274"/>
      <c r="M141" s="274"/>
      <c r="N141" s="274"/>
      <c r="O141" s="274"/>
      <c r="P141" s="274"/>
      <c r="Q141" s="274"/>
      <c r="R141" s="274"/>
      <c r="S141" s="274"/>
      <c r="T141" s="274"/>
      <c r="U141" s="274"/>
      <c r="V141" s="274"/>
      <c r="W141" s="274"/>
      <c r="X141" s="274"/>
      <c r="Y141" s="274"/>
      <c r="Z141" s="274"/>
      <c r="AA141" s="274"/>
    </row>
    <row r="142" spans="1:55">
      <c r="F142" s="274"/>
      <c r="G142" s="274"/>
      <c r="H142" s="274"/>
      <c r="I142" s="274"/>
      <c r="J142" s="274"/>
      <c r="K142" s="274"/>
      <c r="L142" s="274"/>
      <c r="M142" s="274"/>
      <c r="N142" s="274"/>
      <c r="O142" s="274"/>
      <c r="P142" s="274"/>
      <c r="Q142" s="274"/>
      <c r="R142" s="274"/>
      <c r="S142" s="274"/>
      <c r="T142" s="274"/>
      <c r="U142" s="274"/>
      <c r="V142" s="274"/>
      <c r="W142" s="274"/>
      <c r="X142" s="274"/>
      <c r="Y142" s="274"/>
      <c r="Z142" s="274"/>
      <c r="AA142" s="274"/>
    </row>
    <row r="143" spans="1:55">
      <c r="F143" s="274"/>
      <c r="G143" s="274"/>
      <c r="H143" s="274"/>
      <c r="I143" s="274"/>
      <c r="J143" s="274"/>
      <c r="K143" s="274"/>
      <c r="L143" s="274"/>
      <c r="M143" s="274"/>
      <c r="N143" s="274"/>
      <c r="O143" s="274"/>
      <c r="P143" s="274"/>
      <c r="Q143" s="274"/>
      <c r="R143" s="274"/>
      <c r="S143" s="274"/>
      <c r="T143" s="274"/>
      <c r="U143" s="634"/>
      <c r="V143" s="154" t="s">
        <v>2199</v>
      </c>
    </row>
    <row r="144" spans="1:55">
      <c r="F144" s="274"/>
      <c r="G144" s="274"/>
      <c r="H144" s="274"/>
      <c r="I144" s="274"/>
      <c r="J144" s="274"/>
      <c r="K144" s="274"/>
      <c r="L144" s="274"/>
      <c r="M144" s="274"/>
      <c r="N144" s="274"/>
      <c r="O144" s="274"/>
      <c r="P144" s="274"/>
      <c r="Q144" s="274"/>
      <c r="R144" s="274"/>
      <c r="S144" s="274"/>
      <c r="T144" s="274"/>
      <c r="U144" s="634"/>
    </row>
    <row r="145" spans="6:21">
      <c r="F145" s="274"/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4"/>
      <c r="S145" s="274"/>
      <c r="T145" s="274"/>
      <c r="U145" s="634"/>
    </row>
    <row r="146" spans="6:21">
      <c r="U146" s="634"/>
    </row>
    <row r="147" spans="6:21">
      <c r="U147" s="634"/>
    </row>
    <row r="148" spans="6:21">
      <c r="U148" s="634"/>
    </row>
    <row r="149" spans="6:21">
      <c r="U149" s="634"/>
    </row>
    <row r="150" spans="6:21">
      <c r="U150" s="634"/>
    </row>
    <row r="151" spans="6:21">
      <c r="U151" s="634"/>
    </row>
    <row r="152" spans="6:21">
      <c r="U152" s="634"/>
    </row>
    <row r="153" spans="6:21">
      <c r="U153" s="634"/>
    </row>
    <row r="154" spans="6:21">
      <c r="U154" s="634"/>
    </row>
    <row r="155" spans="6:21">
      <c r="U155" s="634"/>
    </row>
    <row r="156" spans="6:21">
      <c r="U156" s="634"/>
    </row>
    <row r="158" spans="6:21">
      <c r="U158" s="635"/>
    </row>
    <row r="160" spans="6:21">
      <c r="U160" s="635"/>
    </row>
    <row r="161" spans="21:21">
      <c r="U161" s="635"/>
    </row>
  </sheetData>
  <sheetProtection formatCells="0" formatColumns="0" formatRows="0" insertColumns="0" insertRows="0" insertHyperlinks="0" deleteColumns="0" deleteRows="0" sort="0" autoFilter="0" pivotTables="0"/>
  <conditionalFormatting sqref="AB4">
    <cfRule type="cellIs" dxfId="175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C167"/>
  <sheetViews>
    <sheetView showZeros="0" rightToLeft="1" zoomScaleNormal="100" workbookViewId="0">
      <pane xSplit="3" ySplit="4" topLeftCell="D77" activePane="bottomRight" state="frozen"/>
      <selection activeCell="E41" sqref="E41"/>
      <selection pane="topRight" activeCell="E41" sqref="E41"/>
      <selection pane="bottomLeft" activeCell="E41" sqref="E41"/>
      <selection pane="bottomRight" activeCell="E41" sqref="E41"/>
    </sheetView>
  </sheetViews>
  <sheetFormatPr defaultColWidth="9.140625" defaultRowHeight="18.75"/>
  <cols>
    <col min="1" max="1" width="5" style="261" customWidth="1"/>
    <col min="2" max="2" width="5.42578125" style="262" customWidth="1"/>
    <col min="3" max="3" width="19.28515625" style="288" customWidth="1"/>
    <col min="4" max="4" width="11.7109375" style="155" customWidth="1"/>
    <col min="5" max="5" width="14" style="155" hidden="1" customWidth="1"/>
    <col min="6" max="6" width="11.140625" style="155" hidden="1" customWidth="1"/>
    <col min="7" max="7" width="13.140625" style="155" hidden="1" customWidth="1"/>
    <col min="8" max="8" width="14.28515625" style="155" hidden="1" customWidth="1"/>
    <col min="9" max="11" width="10.7109375" style="155" hidden="1" customWidth="1"/>
    <col min="12" max="12" width="11.5703125" style="155" customWidth="1"/>
    <col min="13" max="13" width="10.85546875" style="155" customWidth="1"/>
    <col min="14" max="14" width="10.42578125" style="155" customWidth="1"/>
    <col min="15" max="15" width="11.7109375" style="155" customWidth="1"/>
    <col min="16" max="17" width="11.140625" style="155" hidden="1" customWidth="1"/>
    <col min="18" max="18" width="10.7109375" style="155" hidden="1" customWidth="1"/>
    <col min="19" max="19" width="13" style="155" hidden="1" customWidth="1"/>
    <col min="20" max="20" width="8.42578125" style="155" customWidth="1"/>
    <col min="21" max="21" width="10.5703125" style="154" bestFit="1" customWidth="1"/>
    <col min="22" max="22" width="10.140625" style="154" customWidth="1"/>
    <col min="23" max="23" width="10.7109375" style="154" customWidth="1"/>
    <col min="24" max="26" width="10.7109375" style="154" hidden="1" customWidth="1"/>
    <col min="27" max="27" width="10.28515625" style="154" customWidth="1"/>
    <col min="28" max="28" width="23.7109375" style="288" customWidth="1"/>
    <col min="29" max="29" width="10.7109375" style="154" customWidth="1"/>
    <col min="30" max="30" width="14" style="259" hidden="1" customWidth="1"/>
    <col min="31" max="31" width="24" style="259" hidden="1" customWidth="1"/>
    <col min="32" max="32" width="7.28515625" style="154" hidden="1" customWidth="1"/>
    <col min="33" max="33" width="7.5703125" style="154" hidden="1" customWidth="1"/>
    <col min="34" max="34" width="7.7109375" style="154" hidden="1" customWidth="1"/>
    <col min="35" max="35" width="8.7109375" style="154" hidden="1" customWidth="1"/>
    <col min="36" max="36" width="8.42578125" style="154" hidden="1" customWidth="1"/>
    <col min="37" max="37" width="9.140625" style="154" hidden="1" customWidth="1"/>
    <col min="38" max="38" width="19.7109375" style="154" hidden="1" customWidth="1"/>
    <col min="39" max="39" width="26.28515625" style="154" hidden="1" customWidth="1"/>
    <col min="40" max="40" width="21.42578125" style="154" hidden="1" customWidth="1"/>
    <col min="41" max="41" width="20" style="154" hidden="1" customWidth="1"/>
    <col min="42" max="42" width="19.28515625" style="154" hidden="1" customWidth="1"/>
    <col min="43" max="43" width="20.28515625" style="154" hidden="1" customWidth="1"/>
    <col min="44" max="44" width="16.140625" style="154" hidden="1" customWidth="1"/>
    <col min="45" max="45" width="25.5703125" style="154" hidden="1" customWidth="1"/>
    <col min="46" max="46" width="25.28515625" style="154" hidden="1" customWidth="1"/>
    <col min="47" max="47" width="22.28515625" style="154" hidden="1" customWidth="1"/>
    <col min="48" max="48" width="23" style="154" hidden="1" customWidth="1"/>
    <col min="49" max="49" width="12.28515625" style="637" hidden="1" customWidth="1"/>
    <col min="50" max="50" width="11.28515625" style="154" hidden="1" customWidth="1"/>
    <col min="51" max="52" width="10.7109375" style="154" hidden="1" customWidth="1"/>
    <col min="53" max="53" width="23" style="634" hidden="1" customWidth="1"/>
    <col min="54" max="54" width="13.140625" style="154" hidden="1" customWidth="1"/>
    <col min="55" max="55" width="17.7109375" style="154" hidden="1" customWidth="1"/>
    <col min="56" max="16384" width="9.140625" style="154"/>
  </cols>
  <sheetData>
    <row r="1" spans="1:55" s="259" customFormat="1">
      <c r="A1" s="257"/>
      <c r="B1" s="257"/>
      <c r="C1" s="772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774"/>
      <c r="AF1" s="154"/>
      <c r="AG1" s="154"/>
      <c r="AH1" s="154"/>
      <c r="AI1" s="154"/>
      <c r="AJ1" s="154"/>
      <c r="AW1" s="636"/>
      <c r="BA1" s="662"/>
    </row>
    <row r="2" spans="1:55">
      <c r="A2" s="257" t="s">
        <v>208</v>
      </c>
      <c r="B2" s="257"/>
      <c r="C2" s="772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</row>
    <row r="3" spans="1:55">
      <c r="U3" s="155"/>
      <c r="AF3" s="874" t="s">
        <v>1495</v>
      </c>
      <c r="AG3" s="874"/>
      <c r="AH3" s="874"/>
      <c r="AI3" s="874"/>
      <c r="AJ3" s="874"/>
      <c r="AK3" s="874"/>
    </row>
    <row r="4" spans="1:55" s="263" customFormat="1" ht="75">
      <c r="A4" s="517" t="s">
        <v>1496</v>
      </c>
      <c r="B4" s="157" t="s">
        <v>1</v>
      </c>
      <c r="C4" s="157" t="s">
        <v>2</v>
      </c>
      <c r="D4" s="157" t="s">
        <v>3</v>
      </c>
      <c r="E4" s="157" t="s">
        <v>4</v>
      </c>
      <c r="F4" s="157" t="s">
        <v>5</v>
      </c>
      <c r="G4" s="157" t="s">
        <v>6</v>
      </c>
      <c r="H4" s="157" t="s">
        <v>7</v>
      </c>
      <c r="I4" s="157" t="s">
        <v>9</v>
      </c>
      <c r="J4" s="157" t="s">
        <v>153</v>
      </c>
      <c r="K4" s="157" t="s">
        <v>10</v>
      </c>
      <c r="L4" s="403" t="s">
        <v>11</v>
      </c>
      <c r="M4" s="9" t="s">
        <v>891</v>
      </c>
      <c r="N4" s="9" t="s">
        <v>892</v>
      </c>
      <c r="O4" s="9" t="s">
        <v>893</v>
      </c>
      <c r="P4" s="9" t="s">
        <v>12</v>
      </c>
      <c r="Q4" s="9" t="s">
        <v>894</v>
      </c>
      <c r="R4" s="9" t="s">
        <v>895</v>
      </c>
      <c r="S4" s="9" t="s">
        <v>896</v>
      </c>
      <c r="T4" s="9" t="s">
        <v>897</v>
      </c>
      <c r="U4" s="9" t="s">
        <v>898</v>
      </c>
      <c r="V4" s="16" t="s">
        <v>13</v>
      </c>
      <c r="W4" s="16" t="s">
        <v>14</v>
      </c>
      <c r="X4" s="157" t="s">
        <v>15</v>
      </c>
      <c r="Y4" s="157" t="s">
        <v>265</v>
      </c>
      <c r="Z4" s="157" t="s">
        <v>749</v>
      </c>
      <c r="AA4" s="157" t="s">
        <v>84</v>
      </c>
      <c r="AB4" s="518" t="s">
        <v>304</v>
      </c>
      <c r="AC4" s="157" t="s">
        <v>16</v>
      </c>
      <c r="AD4" s="157" t="s">
        <v>1497</v>
      </c>
      <c r="AE4" s="157" t="s">
        <v>1498</v>
      </c>
      <c r="AF4" s="157" t="s">
        <v>1499</v>
      </c>
      <c r="AG4" s="157" t="s">
        <v>1500</v>
      </c>
      <c r="AH4" s="157" t="s">
        <v>1501</v>
      </c>
      <c r="AI4" s="157" t="s">
        <v>1502</v>
      </c>
      <c r="AJ4" s="157" t="s">
        <v>1503</v>
      </c>
      <c r="AK4" s="157" t="s">
        <v>1504</v>
      </c>
      <c r="AL4" s="157" t="s">
        <v>1505</v>
      </c>
      <c r="AM4" s="157" t="s">
        <v>1506</v>
      </c>
      <c r="AN4" s="157" t="s">
        <v>1507</v>
      </c>
      <c r="AO4" s="157" t="s">
        <v>1508</v>
      </c>
      <c r="AP4" s="157" t="s">
        <v>1509</v>
      </c>
      <c r="AQ4" s="157" t="s">
        <v>1510</v>
      </c>
      <c r="AR4" s="157" t="s">
        <v>936</v>
      </c>
      <c r="AS4" s="157" t="s">
        <v>1511</v>
      </c>
      <c r="AT4" s="157" t="s">
        <v>1512</v>
      </c>
      <c r="AU4" s="157" t="s">
        <v>938</v>
      </c>
      <c r="AV4" s="306" t="s">
        <v>2150</v>
      </c>
      <c r="AW4" s="157" t="s">
        <v>2202</v>
      </c>
      <c r="AX4" s="9" t="s">
        <v>2206</v>
      </c>
      <c r="AY4" s="9" t="s">
        <v>2223</v>
      </c>
      <c r="AZ4" s="9" t="s">
        <v>2224</v>
      </c>
      <c r="BA4" s="658" t="s">
        <v>2216</v>
      </c>
      <c r="BB4" s="658" t="s">
        <v>2220</v>
      </c>
      <c r="BC4" s="658" t="s">
        <v>2308</v>
      </c>
    </row>
    <row r="5" spans="1:55" s="164" customFormat="1" ht="45">
      <c r="A5" s="160">
        <v>1</v>
      </c>
      <c r="B5" s="160">
        <f>'תקציב החברה לפיתוח 2022'!B8</f>
        <v>634</v>
      </c>
      <c r="C5" s="289" t="str">
        <f>'תקציב החברה לפיתוח 2022'!C8</f>
        <v>מתחם המשתלה  תב"ע 1874</v>
      </c>
      <c r="D5" s="161">
        <f>'תקציב החברה לפיתוח 2022'!D8</f>
        <v>55650000</v>
      </c>
      <c r="E5" s="160">
        <f>'תקציב החברה לפיתוח 2022'!E8</f>
        <v>56350000</v>
      </c>
      <c r="F5" s="160">
        <f>'תקציב החברה לפיתוח 2022'!F8</f>
        <v>-700000</v>
      </c>
      <c r="G5" s="160">
        <f>'תקציב החברה לפיתוח 2022'!G8</f>
        <v>55950000</v>
      </c>
      <c r="H5" s="160">
        <f>'תקציב החברה לפיתוח 2022'!H8</f>
        <v>55561475</v>
      </c>
      <c r="I5" s="160">
        <f>'תקציב החברה לפיתוח 2022'!I8</f>
        <v>0</v>
      </c>
      <c r="J5" s="160">
        <f>'תקציב החברה לפיתוח 2022'!J8</f>
        <v>0</v>
      </c>
      <c r="K5" s="160">
        <f>'תקציב החברה לפיתוח 2022'!K8</f>
        <v>0</v>
      </c>
      <c r="L5" s="161">
        <f>'תקציב החברה לפיתוח 2022'!L8</f>
        <v>55561475</v>
      </c>
      <c r="M5" s="161">
        <f>'תקציב החברה לפיתוח 2022'!M8</f>
        <v>88525</v>
      </c>
      <c r="N5" s="161">
        <f>'תקציב החברה לפיתוח 2022'!N8</f>
        <v>0</v>
      </c>
      <c r="O5" s="161">
        <f>'תקציב החברה לפיתוח 2022'!O8</f>
        <v>0</v>
      </c>
      <c r="P5" s="161">
        <f>'תקציב החברה לפיתוח 2022'!P8</f>
        <v>388525</v>
      </c>
      <c r="Q5" s="161">
        <f>'תקציב החברה לפיתוח 2022'!Q8</f>
        <v>0</v>
      </c>
      <c r="R5" s="161">
        <f>'תקציב החברה לפיתוח 2022'!R8</f>
        <v>0</v>
      </c>
      <c r="S5" s="161">
        <f>'תקציב החברה לפיתוח 2022'!S8</f>
        <v>0</v>
      </c>
      <c r="T5" s="161">
        <f>'תקציב החברה לפיתוח 2022'!T8</f>
        <v>300000</v>
      </c>
      <c r="U5" s="161">
        <f>'תקציב החברה לפיתוח 2022'!U8</f>
        <v>-300000</v>
      </c>
      <c r="V5" s="161">
        <f>'תקציב החברה לפיתוח 2022'!V8</f>
        <v>-300000</v>
      </c>
      <c r="W5" s="161">
        <f>'תקציב החברה לפיתוח 2022'!W8</f>
        <v>0</v>
      </c>
      <c r="X5" s="161">
        <f>'תקציב החברה לפיתוח 2022'!X8</f>
        <v>0</v>
      </c>
      <c r="Y5" s="161">
        <f>'תקציב החברה לפיתוח 2022'!Y8</f>
        <v>0</v>
      </c>
      <c r="Z5" s="161">
        <f>'תקציב החברה לפיתוח 2022'!Z8</f>
        <v>0</v>
      </c>
      <c r="AA5" s="161">
        <f>'תקציב החברה לפיתוח 2022'!AA8</f>
        <v>0</v>
      </c>
      <c r="AB5" s="289" t="str">
        <f>'תקציב החברה לפיתוח 2022'!AB8</f>
        <v>השלמת עבודות גינון ותיקונים במתחם. ח-ן סופיים.</v>
      </c>
      <c r="AC5" s="160">
        <f>'תקציב החברה לפיתוח 2022'!AC8</f>
        <v>732000</v>
      </c>
      <c r="AD5" s="157" t="s">
        <v>1521</v>
      </c>
      <c r="AE5" s="157" t="s">
        <v>1522</v>
      </c>
      <c r="AF5" s="171"/>
      <c r="AG5" s="171"/>
      <c r="AH5" s="171"/>
      <c r="AI5" s="171"/>
      <c r="AJ5" s="171"/>
      <c r="AK5" s="166"/>
      <c r="AL5" s="166"/>
      <c r="AM5" s="266"/>
      <c r="AN5" s="277"/>
      <c r="AO5" s="160"/>
      <c r="AP5" s="166" t="s">
        <v>1523</v>
      </c>
      <c r="AQ5" s="166"/>
      <c r="AR5" s="160" t="s">
        <v>1524</v>
      </c>
      <c r="AS5" s="160"/>
      <c r="AT5" s="268"/>
      <c r="AU5" s="160" t="s">
        <v>1524</v>
      </c>
      <c r="AV5" s="272"/>
      <c r="AW5" s="638"/>
      <c r="AX5" s="166"/>
      <c r="AY5" s="161"/>
      <c r="AZ5" s="161"/>
      <c r="BA5" s="638"/>
      <c r="BB5" s="638"/>
      <c r="BC5" s="161"/>
    </row>
    <row r="6" spans="1:55" s="165" customFormat="1" ht="75">
      <c r="A6" s="160">
        <f>A5+1</f>
        <v>2</v>
      </c>
      <c r="B6" s="160">
        <f>'תקציב החברה לפיתוח 2022'!B26</f>
        <v>1693</v>
      </c>
      <c r="C6" s="289" t="str">
        <f>'תקציב החברה לפיתוח 2022'!C26</f>
        <v xml:space="preserve">פינוי בינוי צומת כדורי </v>
      </c>
      <c r="D6" s="161">
        <f>'תקציב החברה לפיתוח 2022'!D26</f>
        <v>4500000</v>
      </c>
      <c r="E6" s="160">
        <f>'תקציב החברה לפיתוח 2022'!E26</f>
        <v>4500000</v>
      </c>
      <c r="F6" s="160">
        <f>'תקציב החברה לפיתוח 2022'!F26</f>
        <v>0</v>
      </c>
      <c r="G6" s="160">
        <f>'תקציב החברה לפיתוח 2022'!G26</f>
        <v>2235481</v>
      </c>
      <c r="H6" s="160">
        <f>'תקציב החברה לפיתוח 2022'!H26</f>
        <v>312539</v>
      </c>
      <c r="I6" s="160">
        <f>'תקציב החברה לפיתוח 2022'!I26</f>
        <v>567525</v>
      </c>
      <c r="J6" s="160">
        <f>'תקציב החברה לפיתוח 2022'!J26</f>
        <v>321876</v>
      </c>
      <c r="K6" s="160">
        <f>'תקציב החברה לפיתוח 2022'!K26</f>
        <v>889401</v>
      </c>
      <c r="L6" s="161">
        <f>'תקציב החברה לפיתוח 2022'!L26</f>
        <v>1201940</v>
      </c>
      <c r="M6" s="161">
        <f>'תקציב החברה לפיתוח 2022'!M26</f>
        <v>1033541</v>
      </c>
      <c r="N6" s="161">
        <f>'תקציב החברה לפיתוח 2022'!N26</f>
        <v>181222</v>
      </c>
      <c r="O6" s="161">
        <f>'תקציב החברה לפיתוח 2022'!O26</f>
        <v>2083297</v>
      </c>
      <c r="P6" s="161">
        <f>'תקציב החברה לפיתוח 2022'!P26</f>
        <v>1033541</v>
      </c>
      <c r="Q6" s="161">
        <f>'תקציב החברה לפיתוח 2022'!Q26</f>
        <v>0</v>
      </c>
      <c r="R6" s="161">
        <f>'תקציב החברה לפיתוח 2022'!R26</f>
        <v>0</v>
      </c>
      <c r="S6" s="161">
        <f>'תקציב החברה לפיתוח 2022'!S26</f>
        <v>0</v>
      </c>
      <c r="T6" s="161">
        <f>'תקציב החברה לפיתוח 2022'!T26</f>
        <v>0</v>
      </c>
      <c r="U6" s="161">
        <f>'תקציב החברה לפיתוח 2022'!U26</f>
        <v>181222</v>
      </c>
      <c r="V6" s="161">
        <f>'תקציב החברה לפיתוח 2022'!V26</f>
        <v>0</v>
      </c>
      <c r="W6" s="161">
        <f>'תקציב החברה לפיתוח 2022'!W26</f>
        <v>0</v>
      </c>
      <c r="X6" s="161">
        <f>'תקציב החברה לפיתוח 2022'!X26</f>
        <v>0</v>
      </c>
      <c r="Y6" s="161">
        <f>'תקציב החברה לפיתוח 2022'!Y26</f>
        <v>0</v>
      </c>
      <c r="Z6" s="161">
        <f>'תקציב החברה לפיתוח 2022'!Z26</f>
        <v>0</v>
      </c>
      <c r="AA6" s="161">
        <f>'תקציב החברה לפיתוח 2022'!AA26</f>
        <v>181222</v>
      </c>
      <c r="AB6" s="289" t="str">
        <f>'תקציב החברה לפיתוח 2022'!AB26</f>
        <v>תכנון מתחם צומת כדורי לפינוי ובינוי.התוכנית בשלב של הנעת התכנון לשלבים סטטוטוריים. מימון מ. הבינוי.</v>
      </c>
      <c r="AC6" s="160">
        <f>'תקציב החברה לפיתוח 2022'!AC26</f>
        <v>732000</v>
      </c>
      <c r="AD6" s="157" t="s">
        <v>1559</v>
      </c>
      <c r="AE6" s="166" t="s">
        <v>1560</v>
      </c>
      <c r="AF6" s="374"/>
      <c r="AG6" s="3"/>
      <c r="AH6" s="3"/>
      <c r="AI6" s="3"/>
      <c r="AJ6" s="3"/>
      <c r="AK6" s="3"/>
      <c r="AL6" s="3"/>
      <c r="AM6" s="3"/>
      <c r="AN6" s="277"/>
      <c r="AO6" s="160"/>
      <c r="AP6" s="3"/>
      <c r="AQ6" s="3"/>
      <c r="AR6" s="3"/>
      <c r="AS6" s="3"/>
      <c r="AT6" s="268"/>
      <c r="AU6" s="3"/>
      <c r="AV6" s="30"/>
      <c r="AW6" s="638"/>
      <c r="AX6" s="3"/>
      <c r="AY6" s="161"/>
      <c r="AZ6" s="161"/>
      <c r="BA6" s="638"/>
      <c r="BB6" s="638"/>
      <c r="BC6" s="161"/>
    </row>
    <row r="7" spans="1:55" s="165" customFormat="1" ht="60">
      <c r="A7" s="160">
        <f>A6+1</f>
        <v>3</v>
      </c>
      <c r="B7" s="160">
        <f>'תקציב החברה לפיתוח 2022'!B27</f>
        <v>1723</v>
      </c>
      <c r="C7" s="289" t="str">
        <f>'תקציב החברה לפיתוח 2022'!C27</f>
        <v>מרכז תחבורה חדש</v>
      </c>
      <c r="D7" s="161">
        <f>'תקציב החברה לפיתוח 2022'!D27</f>
        <v>2378521</v>
      </c>
      <c r="E7" s="160">
        <f>'תקציב החברה לפיתוח 2022'!E27</f>
        <v>2442857</v>
      </c>
      <c r="F7" s="160">
        <f>'תקציב החברה לפיתוח 2022'!F27</f>
        <v>-64336</v>
      </c>
      <c r="G7" s="160">
        <f>'תקציב החברה לפיתוח 2022'!G27</f>
        <v>2442857</v>
      </c>
      <c r="H7" s="160">
        <f>'תקציב החברה לפיתוח 2022'!H27</f>
        <v>1578260</v>
      </c>
      <c r="I7" s="160">
        <f>'תקציב החברה לפיתוח 2022'!I27</f>
        <v>0</v>
      </c>
      <c r="J7" s="160">
        <f>'תקציב החברה לפיתוח 2022'!J27</f>
        <v>94054</v>
      </c>
      <c r="K7" s="160">
        <f>'תקציב החברה לפיתוח 2022'!K27</f>
        <v>94054</v>
      </c>
      <c r="L7" s="161">
        <f>'תקציב החברה לפיתוח 2022'!L27</f>
        <v>1672314</v>
      </c>
      <c r="M7" s="161">
        <f>'תקציב החברה לפיתוח 2022'!M27</f>
        <v>706207</v>
      </c>
      <c r="N7" s="161">
        <f>'תקציב החברה לפיתוח 2022'!N27</f>
        <v>0</v>
      </c>
      <c r="O7" s="161">
        <f>'תקציב החברה לפיתוח 2022'!O27</f>
        <v>0</v>
      </c>
      <c r="P7" s="161">
        <f>'תקציב החברה לפיתוח 2022'!P27</f>
        <v>770543</v>
      </c>
      <c r="Q7" s="161">
        <f>'תקציב החברה לפיתוח 2022'!Q27</f>
        <v>0</v>
      </c>
      <c r="R7" s="161">
        <f>'תקציב החברה לפיתוח 2022'!R27</f>
        <v>0</v>
      </c>
      <c r="S7" s="161">
        <f>'תקציב החברה לפיתוח 2022'!S27</f>
        <v>0</v>
      </c>
      <c r="T7" s="161">
        <f>'תקציב החברה לפיתוח 2022'!T27</f>
        <v>64336</v>
      </c>
      <c r="U7" s="161">
        <f>'תקציב החברה לפיתוח 2022'!U27</f>
        <v>-64336</v>
      </c>
      <c r="V7" s="161">
        <f>'תקציב החברה לפיתוח 2022'!V27</f>
        <v>0</v>
      </c>
      <c r="W7" s="161">
        <f>'תקציב החברה לפיתוח 2022'!W27</f>
        <v>0</v>
      </c>
      <c r="X7" s="161">
        <f>'תקציב החברה לפיתוח 2022'!X27</f>
        <v>0</v>
      </c>
      <c r="Y7" s="161">
        <f>'תקציב החברה לפיתוח 2022'!Y27</f>
        <v>0</v>
      </c>
      <c r="Z7" s="161">
        <f>'תקציב החברה לפיתוח 2022'!Z27</f>
        <v>0</v>
      </c>
      <c r="AA7" s="161">
        <f>'תקציב החברה לפיתוח 2022'!AA27</f>
        <v>-64336</v>
      </c>
      <c r="AB7" s="289" t="str">
        <f>'תקציב החברה לפיתוח 2022'!AB27</f>
        <v>השלמת תכנון עד להיתר לחניון אוטובוסים. ח-ן סופיים. יתרת מימון מ. התחבורה.</v>
      </c>
      <c r="AC7" s="160">
        <f>'תקציב החברה לפיתוח 2022'!AC27</f>
        <v>732000</v>
      </c>
      <c r="AD7" s="157"/>
      <c r="AE7" s="157" t="s">
        <v>1561</v>
      </c>
      <c r="AF7" s="171"/>
      <c r="AG7" s="171"/>
      <c r="AH7" s="171"/>
      <c r="AI7" s="171"/>
      <c r="AJ7" s="171"/>
      <c r="AK7" s="160"/>
      <c r="AL7" s="160"/>
      <c r="AM7" s="160"/>
      <c r="AN7" s="277"/>
      <c r="AO7" s="160"/>
      <c r="AP7" s="266" t="s">
        <v>1562</v>
      </c>
      <c r="AQ7" s="160" t="s">
        <v>1563</v>
      </c>
      <c r="AR7" s="3" t="s">
        <v>1524</v>
      </c>
      <c r="AS7" s="3"/>
      <c r="AT7" s="268"/>
      <c r="AU7" s="3"/>
      <c r="AV7" s="30"/>
      <c r="AW7" s="638"/>
      <c r="AX7" s="160"/>
      <c r="AY7" s="161"/>
      <c r="AZ7" s="161"/>
      <c r="BA7" s="638"/>
      <c r="BB7" s="638"/>
      <c r="BC7" s="161"/>
    </row>
    <row r="8" spans="1:55" s="164" customFormat="1" ht="75">
      <c r="A8" s="160">
        <f>A7+1</f>
        <v>4</v>
      </c>
      <c r="B8" s="160">
        <f>'תקציב החברה לפיתוח 2022'!B70</f>
        <v>2115</v>
      </c>
      <c r="C8" s="289" t="str">
        <f>'תקציב החברה לפיתוח 2022'!C70</f>
        <v>תוכנית מתאר איזור התעסוקה הר/2440</v>
      </c>
      <c r="D8" s="161">
        <f>'תקציב החברה לפיתוח 2022'!D70</f>
        <v>3100000</v>
      </c>
      <c r="E8" s="160">
        <f>'תקציב החברה לפיתוח 2022'!E70</f>
        <v>3100000</v>
      </c>
      <c r="F8" s="160">
        <f>'תקציב החברה לפיתוח 2022'!F70</f>
        <v>0</v>
      </c>
      <c r="G8" s="160">
        <f>'תקציב החברה לפיתוח 2022'!G70</f>
        <v>2000000</v>
      </c>
      <c r="H8" s="160">
        <f>'תקציב החברה לפיתוח 2022'!H70</f>
        <v>1139002</v>
      </c>
      <c r="I8" s="160">
        <f>'תקציב החברה לפיתוח 2022'!I70</f>
        <v>0</v>
      </c>
      <c r="J8" s="160">
        <f>'תקציב החברה לפיתוח 2022'!J70</f>
        <v>102262</v>
      </c>
      <c r="K8" s="160">
        <f>'תקציב החברה לפיתוח 2022'!K70</f>
        <v>102262</v>
      </c>
      <c r="L8" s="161">
        <f>'תקציב החברה לפיתוח 2022'!L70</f>
        <v>1241264</v>
      </c>
      <c r="M8" s="161">
        <f>'תקציב החברה לפיתוח 2022'!M70</f>
        <v>1858736</v>
      </c>
      <c r="N8" s="161">
        <f>'תקציב החברה לפיתוח 2022'!N70</f>
        <v>0</v>
      </c>
      <c r="O8" s="161">
        <f>'תקציב החברה לפיתוח 2022'!O70</f>
        <v>0</v>
      </c>
      <c r="P8" s="161">
        <f>'תקציב החברה לפיתוח 2022'!P70</f>
        <v>758736</v>
      </c>
      <c r="Q8" s="161">
        <f>'תקציב החברה לפיתוח 2022'!Q70</f>
        <v>1100000</v>
      </c>
      <c r="R8" s="161">
        <f>'תקציב החברה לפיתוח 2022'!R70</f>
        <v>0</v>
      </c>
      <c r="S8" s="161">
        <f>'תקציב החברה לפיתוח 2022'!S70</f>
        <v>1100000</v>
      </c>
      <c r="T8" s="161">
        <f>'תקציב החברה לפיתוח 2022'!T70</f>
        <v>0</v>
      </c>
      <c r="U8" s="161">
        <f>'תקציב החברה לפיתוח 2022'!U70</f>
        <v>0</v>
      </c>
      <c r="V8" s="161">
        <f>'תקציב החברה לפיתוח 2022'!V70</f>
        <v>0</v>
      </c>
      <c r="W8" s="161">
        <f>'תקציב החברה לפיתוח 2022'!W70</f>
        <v>0</v>
      </c>
      <c r="X8" s="161">
        <f>'תקציב החברה לפיתוח 2022'!X70</f>
        <v>0</v>
      </c>
      <c r="Y8" s="161">
        <f>'תקציב החברה לפיתוח 2022'!Y70</f>
        <v>0</v>
      </c>
      <c r="Z8" s="161">
        <f>'תקציב החברה לפיתוח 2022'!Z70</f>
        <v>0</v>
      </c>
      <c r="AA8" s="161">
        <f>'תקציב החברה לפיתוח 2022'!AA70</f>
        <v>0</v>
      </c>
      <c r="AB8" s="289" t="str">
        <f>'תקציב החברה לפיתוח 2022'!AB70</f>
        <v xml:space="preserve">הפיכת תוכנית אסטרטגית  לתוכנית סטטוטורית, לתוכנית מתאר בועדה המחוזית בהתאם ליו"ר הועדה המחוזית. </v>
      </c>
      <c r="AC8" s="160">
        <f>'תקציב החברה לפיתוח 2022'!AC70</f>
        <v>732000</v>
      </c>
      <c r="AD8" s="157"/>
      <c r="AE8" s="157"/>
      <c r="AF8" s="171"/>
      <c r="AG8" s="171"/>
      <c r="AH8" s="171"/>
      <c r="AI8" s="171"/>
      <c r="AJ8" s="171"/>
      <c r="AK8" s="7"/>
      <c r="AL8" s="7"/>
      <c r="AM8" s="266"/>
      <c r="AN8" s="277"/>
      <c r="AO8" s="160"/>
      <c r="AP8" s="266"/>
      <c r="AQ8" s="7"/>
      <c r="AR8" s="7"/>
      <c r="AS8" s="7"/>
      <c r="AT8" s="268"/>
      <c r="AU8" s="7"/>
      <c r="AV8" s="32"/>
      <c r="AW8" s="638"/>
      <c r="AX8" s="7"/>
      <c r="AY8" s="161"/>
      <c r="AZ8" s="161"/>
      <c r="BA8" s="663"/>
      <c r="BB8" s="638"/>
      <c r="BC8" s="161"/>
    </row>
    <row r="9" spans="1:55" s="165" customFormat="1" ht="60">
      <c r="A9" s="160">
        <f>A8+1</f>
        <v>5</v>
      </c>
      <c r="B9" s="160">
        <f>'תקציב החברה לפיתוח 2022'!B84</f>
        <v>2180</v>
      </c>
      <c r="C9" s="289" t="str">
        <f>'תקציב החברה לפיתוח 2022'!C84</f>
        <v>ליווי פרויקטים פינוי בינוי</v>
      </c>
      <c r="D9" s="161">
        <f>'תקציב החברה לפיתוח 2022'!D84</f>
        <v>1000000</v>
      </c>
      <c r="E9" s="160">
        <f>'תקציב החברה לפיתוח 2022'!E84</f>
        <v>1000000</v>
      </c>
      <c r="F9" s="160">
        <f>'תקציב החברה לפיתוח 2022'!F84</f>
        <v>0</v>
      </c>
      <c r="G9" s="160">
        <f>'תקציב החברה לפיתוח 2022'!G84</f>
        <v>500000</v>
      </c>
      <c r="H9" s="160">
        <f>'תקציב החברה לפיתוח 2022'!H84</f>
        <v>59582</v>
      </c>
      <c r="I9" s="160">
        <f>'תקציב החברה לפיתוח 2022'!I84</f>
        <v>0</v>
      </c>
      <c r="J9" s="160">
        <f>'תקציב החברה לפיתוח 2022'!J84</f>
        <v>64438</v>
      </c>
      <c r="K9" s="160">
        <f>'תקציב החברה לפיתוח 2022'!K84</f>
        <v>64438</v>
      </c>
      <c r="L9" s="161">
        <f>'תקציב החברה לפיתוח 2022'!L84</f>
        <v>124020</v>
      </c>
      <c r="M9" s="161">
        <f>'תקציב החברה לפיתוח 2022'!M84</f>
        <v>875980</v>
      </c>
      <c r="N9" s="161">
        <f>'תקציב החברה לפיתוח 2022'!N84</f>
        <v>0</v>
      </c>
      <c r="O9" s="161">
        <f>'תקציב החברה לפיתוח 2022'!O84</f>
        <v>0</v>
      </c>
      <c r="P9" s="161">
        <f>'תקציב החברה לפיתוח 2022'!P84</f>
        <v>375980</v>
      </c>
      <c r="Q9" s="161">
        <f>'תקציב החברה לפיתוח 2022'!Q84</f>
        <v>500000</v>
      </c>
      <c r="R9" s="161">
        <f>'תקציב החברה לפיתוח 2022'!R84</f>
        <v>0</v>
      </c>
      <c r="S9" s="161">
        <f>'תקציב החברה לפיתוח 2022'!S84</f>
        <v>500000</v>
      </c>
      <c r="T9" s="161">
        <f>'תקציב החברה לפיתוח 2022'!T84</f>
        <v>0</v>
      </c>
      <c r="U9" s="161">
        <f>'תקציב החברה לפיתוח 2022'!U84</f>
        <v>0</v>
      </c>
      <c r="V9" s="161">
        <f>'תקציב החברה לפיתוח 2022'!V84</f>
        <v>0</v>
      </c>
      <c r="W9" s="161">
        <f>'תקציב החברה לפיתוח 2022'!W84</f>
        <v>0</v>
      </c>
      <c r="X9" s="161">
        <f>'תקציב החברה לפיתוח 2022'!X84</f>
        <v>0</v>
      </c>
      <c r="Y9" s="161">
        <f>'תקציב החברה לפיתוח 2022'!Y84</f>
        <v>0</v>
      </c>
      <c r="Z9" s="161">
        <f>'תקציב החברה לפיתוח 2022'!Z84</f>
        <v>0</v>
      </c>
      <c r="AA9" s="161">
        <f>'תקציב החברה לפיתוח 2022'!AA84</f>
        <v>0</v>
      </c>
      <c r="AB9" s="289" t="str">
        <f>'תקציב החברה לפיתוח 2022'!AB84</f>
        <v>ליווי פרויקטים של פינוי בינוי הכולל הכנת אומדנים ומפרטים ופיקוח על היתרים וביצוע בפועל.</v>
      </c>
      <c r="AC9" s="160">
        <f>'תקציב החברה לפיתוח 2022'!AC84</f>
        <v>732000</v>
      </c>
      <c r="AD9" s="157"/>
      <c r="AE9" s="157"/>
      <c r="AF9" s="171"/>
      <c r="AG9" s="171"/>
      <c r="AH9" s="171"/>
      <c r="AI9" s="171"/>
      <c r="AJ9" s="171"/>
      <c r="AK9" s="3"/>
      <c r="AL9" s="3"/>
      <c r="AM9" s="3"/>
      <c r="AN9" s="277"/>
      <c r="AO9" s="160"/>
      <c r="AP9" s="157"/>
      <c r="AQ9" s="3"/>
      <c r="AR9" s="3"/>
      <c r="AS9" s="3"/>
      <c r="AT9" s="268"/>
      <c r="AU9" s="3"/>
      <c r="AV9" s="30"/>
      <c r="AW9" s="638"/>
      <c r="AX9" s="3"/>
      <c r="AY9" s="161"/>
      <c r="AZ9" s="161"/>
      <c r="BA9" s="638"/>
      <c r="BB9" s="638"/>
      <c r="BC9" s="161"/>
    </row>
    <row r="10" spans="1:55" s="293" customFormat="1" ht="25.15" customHeight="1">
      <c r="A10" s="266"/>
      <c r="B10" s="266"/>
      <c r="C10" s="368" t="s">
        <v>800</v>
      </c>
      <c r="D10" s="305">
        <f t="shared" ref="D10:AA10" si="0">SUM(D5:D9)</f>
        <v>66628521</v>
      </c>
      <c r="E10" s="305">
        <f t="shared" si="0"/>
        <v>67392857</v>
      </c>
      <c r="F10" s="305">
        <f t="shared" si="0"/>
        <v>-764336</v>
      </c>
      <c r="G10" s="305">
        <f t="shared" si="0"/>
        <v>63128338</v>
      </c>
      <c r="H10" s="305">
        <f t="shared" si="0"/>
        <v>58650858</v>
      </c>
      <c r="I10" s="305">
        <f t="shared" si="0"/>
        <v>567525</v>
      </c>
      <c r="J10" s="305">
        <f t="shared" si="0"/>
        <v>582630</v>
      </c>
      <c r="K10" s="305">
        <f t="shared" si="0"/>
        <v>1150155</v>
      </c>
      <c r="L10" s="305">
        <f t="shared" si="0"/>
        <v>59801013</v>
      </c>
      <c r="M10" s="305">
        <f t="shared" si="0"/>
        <v>4562989</v>
      </c>
      <c r="N10" s="305">
        <f t="shared" si="0"/>
        <v>181222</v>
      </c>
      <c r="O10" s="305">
        <f t="shared" si="0"/>
        <v>2083297</v>
      </c>
      <c r="P10" s="305">
        <f t="shared" si="0"/>
        <v>3327325</v>
      </c>
      <c r="Q10" s="305">
        <f t="shared" si="0"/>
        <v>1600000</v>
      </c>
      <c r="R10" s="305">
        <f t="shared" si="0"/>
        <v>0</v>
      </c>
      <c r="S10" s="305">
        <f t="shared" si="0"/>
        <v>1600000</v>
      </c>
      <c r="T10" s="305">
        <f t="shared" si="0"/>
        <v>364336</v>
      </c>
      <c r="U10" s="305">
        <f t="shared" si="0"/>
        <v>-183114</v>
      </c>
      <c r="V10" s="305">
        <f t="shared" si="0"/>
        <v>-300000</v>
      </c>
      <c r="W10" s="305">
        <f t="shared" si="0"/>
        <v>0</v>
      </c>
      <c r="X10" s="305">
        <f t="shared" si="0"/>
        <v>0</v>
      </c>
      <c r="Y10" s="305">
        <f t="shared" si="0"/>
        <v>0</v>
      </c>
      <c r="Z10" s="305">
        <f t="shared" si="0"/>
        <v>0</v>
      </c>
      <c r="AA10" s="305">
        <f t="shared" si="0"/>
        <v>116886</v>
      </c>
      <c r="AB10" s="368"/>
      <c r="AC10" s="266"/>
      <c r="AD10" s="306"/>
      <c r="AE10" s="306"/>
      <c r="AF10" s="514"/>
      <c r="AG10" s="514"/>
      <c r="AH10" s="514"/>
      <c r="AI10" s="514"/>
      <c r="AJ10" s="514"/>
      <c r="AK10" s="32"/>
      <c r="AL10" s="32"/>
      <c r="AM10" s="32"/>
      <c r="AN10" s="515"/>
      <c r="AO10" s="266"/>
      <c r="AP10" s="306"/>
      <c r="AQ10" s="32"/>
      <c r="AR10" s="32"/>
      <c r="AS10" s="32"/>
      <c r="AT10" s="306"/>
      <c r="AU10" s="32"/>
      <c r="AV10" s="32"/>
      <c r="AW10" s="663"/>
      <c r="AX10" s="32"/>
      <c r="AY10" s="305"/>
      <c r="AZ10" s="305"/>
      <c r="BA10" s="663"/>
      <c r="BB10" s="663"/>
      <c r="BC10" s="305"/>
    </row>
    <row r="11" spans="1:55" s="165" customFormat="1" ht="90">
      <c r="A11" s="160">
        <v>7</v>
      </c>
      <c r="B11" s="160">
        <f>'תקציב החברה לפיתוח 2022'!B5</f>
        <v>382</v>
      </c>
      <c r="C11" s="289" t="str">
        <f>'תקציב החברה לפיתוח 2022'!C5</f>
        <v xml:space="preserve">מערכת כבישים   באזור תעשייה מערבי </v>
      </c>
      <c r="D11" s="161">
        <f>'תקציב החברה לפיתוח 2022'!D5</f>
        <v>111381330</v>
      </c>
      <c r="E11" s="160">
        <f>'תקציב החברה לפיתוח 2022'!E5</f>
        <v>72881330</v>
      </c>
      <c r="F11" s="160">
        <f>'תקציב החברה לפיתוח 2022'!F5</f>
        <v>38500000</v>
      </c>
      <c r="G11" s="160">
        <f>'תקציב החברה לפיתוח 2022'!G5</f>
        <v>61381330</v>
      </c>
      <c r="H11" s="160">
        <f>'תקציב החברה לפיתוח 2022'!H5</f>
        <v>56841407</v>
      </c>
      <c r="I11" s="160">
        <f>'תקציב החברה לפיתוח 2022'!I5</f>
        <v>0</v>
      </c>
      <c r="J11" s="160">
        <f>'תקציב החברה לפיתוח 2022'!J5</f>
        <v>1767404</v>
      </c>
      <c r="K11" s="160">
        <f>'תקציב החברה לפיתוח 2022'!K5</f>
        <v>1767404</v>
      </c>
      <c r="L11" s="161">
        <f>'תקציב החברה לפיתוח 2022'!L5</f>
        <v>58608811</v>
      </c>
      <c r="M11" s="161">
        <f>'תקציב החברה לפיתוח 2022'!M5</f>
        <v>2772519</v>
      </c>
      <c r="N11" s="161">
        <f>'תקציב החברה לפיתוח 2022'!N5</f>
        <v>10000000</v>
      </c>
      <c r="O11" s="161">
        <f>'תקציב החברה לפיתוח 2022'!O5</f>
        <v>40000000</v>
      </c>
      <c r="P11" s="161">
        <f>'תקציב החברה לפיתוח 2022'!P5</f>
        <v>2772519</v>
      </c>
      <c r="Q11" s="161">
        <f>'תקציב החברה לפיתוח 2022'!Q5</f>
        <v>0</v>
      </c>
      <c r="R11" s="161">
        <f>'תקציב החברה לפיתוח 2022'!R5</f>
        <v>0</v>
      </c>
      <c r="S11" s="161">
        <f>'תקציב החברה לפיתוח 2022'!S5</f>
        <v>0</v>
      </c>
      <c r="T11" s="161">
        <f>'תקציב החברה לפיתוח 2022'!T5</f>
        <v>0</v>
      </c>
      <c r="U11" s="161">
        <f>'תקציב החברה לפיתוח 2022'!U5</f>
        <v>10000000</v>
      </c>
      <c r="V11" s="161">
        <f>'תקציב החברה לפיתוח 2022'!V5</f>
        <v>10000000</v>
      </c>
      <c r="W11" s="161">
        <f>'תקציב החברה לפיתוח 2022'!W5</f>
        <v>0</v>
      </c>
      <c r="X11" s="161">
        <f>'תקציב החברה לפיתוח 2022'!X5</f>
        <v>0</v>
      </c>
      <c r="Y11" s="161">
        <f>'תקציב החברה לפיתוח 2022'!Y5</f>
        <v>0</v>
      </c>
      <c r="Z11" s="161">
        <f>'תקציב החברה לפיתוח 2022'!Z5</f>
        <v>0</v>
      </c>
      <c r="AA11" s="161">
        <f>'תקציב החברה לפיתוח 2022'!AA5</f>
        <v>0</v>
      </c>
      <c r="AB11" s="289" t="str">
        <f>'תקציב החברה לפיתוח 2022'!AB5</f>
        <v>ביצוע רח' רח' משכית, השלמת תכנון וביצוע כניסה נוספת רח' שנקר, תכנון וביצוע רח' שנקר, המנופים,יוחנן הסנדלר ויד חרוצים.</v>
      </c>
      <c r="AC11" s="160">
        <f>'תקציב החברה לפיתוח 2022'!AC5</f>
        <v>742000</v>
      </c>
      <c r="AD11" s="157"/>
      <c r="AE11" s="157" t="s">
        <v>1514</v>
      </c>
      <c r="AF11" s="171"/>
      <c r="AG11" s="171"/>
      <c r="AH11" s="171"/>
      <c r="AI11" s="171"/>
      <c r="AJ11" s="171"/>
      <c r="AK11" s="160"/>
      <c r="AL11" s="160"/>
      <c r="AM11" s="266" t="s">
        <v>1515</v>
      </c>
      <c r="AN11" s="277"/>
      <c r="AO11" s="160"/>
      <c r="AP11" s="166" t="s">
        <v>1516</v>
      </c>
      <c r="AQ11" s="160"/>
      <c r="AR11" s="160"/>
      <c r="AS11" s="160" t="s">
        <v>1517</v>
      </c>
      <c r="AT11" s="519" t="s">
        <v>1518</v>
      </c>
      <c r="AU11" s="160" t="s">
        <v>1519</v>
      </c>
      <c r="AV11" s="272" t="s">
        <v>2164</v>
      </c>
      <c r="AW11" s="638"/>
      <c r="AX11" s="160"/>
      <c r="AY11" s="264">
        <v>-10000000</v>
      </c>
      <c r="AZ11" s="161"/>
      <c r="BA11" s="638">
        <v>15000000</v>
      </c>
      <c r="BB11" s="638">
        <f>BA11-N11</f>
        <v>5000000</v>
      </c>
      <c r="BC11" s="161"/>
    </row>
    <row r="12" spans="1:55" s="165" customFormat="1" ht="30" customHeight="1">
      <c r="A12" s="160">
        <f t="shared" ref="A12:A43" si="1">A11+1</f>
        <v>8</v>
      </c>
      <c r="B12" s="160">
        <f>'תקציב החברה לפיתוח 2022'!B6</f>
        <v>532</v>
      </c>
      <c r="C12" s="289" t="str">
        <f>'תקציב החברה לפיתוח 2022'!C6</f>
        <v>פיתוח מתחם המסילה ודב הוז</v>
      </c>
      <c r="D12" s="161">
        <f>'תקציב החברה לפיתוח 2022'!D6</f>
        <v>80090000</v>
      </c>
      <c r="E12" s="160">
        <f>'תקציב החברה לפיתוח 2022'!E6</f>
        <v>80090000</v>
      </c>
      <c r="F12" s="160">
        <f>'תקציב החברה לפיתוח 2022'!F6</f>
        <v>0</v>
      </c>
      <c r="G12" s="160">
        <f>'תקציב החברה לפיתוח 2022'!G6</f>
        <v>77090000</v>
      </c>
      <c r="H12" s="160">
        <f>'תקציב החברה לפיתוח 2022'!H6</f>
        <v>75158968</v>
      </c>
      <c r="I12" s="160">
        <f>'תקציב החברה לפיתוח 2022'!I6</f>
        <v>0</v>
      </c>
      <c r="J12" s="160">
        <f>'תקציב החברה לפיתוח 2022'!J6</f>
        <v>93388</v>
      </c>
      <c r="K12" s="160">
        <f>'תקציב החברה לפיתוח 2022'!K6</f>
        <v>93388</v>
      </c>
      <c r="L12" s="161">
        <f>'תקציב החברה לפיתוח 2022'!L6</f>
        <v>75252356</v>
      </c>
      <c r="M12" s="161">
        <f>'תקציב החברה לפיתוח 2022'!M6</f>
        <v>4837644</v>
      </c>
      <c r="N12" s="161">
        <f>'תקציב החברה לפיתוח 2022'!N6</f>
        <v>0</v>
      </c>
      <c r="O12" s="161">
        <f>'תקציב החברה לפיתוח 2022'!O6</f>
        <v>0</v>
      </c>
      <c r="P12" s="161">
        <f>'תקציב החברה לפיתוח 2022'!P6</f>
        <v>1837644</v>
      </c>
      <c r="Q12" s="161">
        <f>'תקציב החברה לפיתוח 2022'!Q6</f>
        <v>3000000</v>
      </c>
      <c r="R12" s="161">
        <f>'תקציב החברה לפיתוח 2022'!R6</f>
        <v>0</v>
      </c>
      <c r="S12" s="161">
        <f>'תקציב החברה לפיתוח 2022'!S6</f>
        <v>3000000</v>
      </c>
      <c r="T12" s="161">
        <f>'תקציב החברה לפיתוח 2022'!T6</f>
        <v>0</v>
      </c>
      <c r="U12" s="161">
        <f>'תקציב החברה לפיתוח 2022'!U6</f>
        <v>0</v>
      </c>
      <c r="V12" s="161">
        <f>'תקציב החברה לפיתוח 2022'!V6</f>
        <v>0</v>
      </c>
      <c r="W12" s="161">
        <f>'תקציב החברה לפיתוח 2022'!W6</f>
        <v>0</v>
      </c>
      <c r="X12" s="161">
        <f>'תקציב החברה לפיתוח 2022'!X6</f>
        <v>0</v>
      </c>
      <c r="Y12" s="161">
        <f>'תקציב החברה לפיתוח 2022'!Y6</f>
        <v>0</v>
      </c>
      <c r="Z12" s="161">
        <f>'תקציב החברה לפיתוח 2022'!Z6</f>
        <v>0</v>
      </c>
      <c r="AA12" s="161">
        <f>'תקציב החברה לפיתוח 2022'!AA6</f>
        <v>0</v>
      </c>
      <c r="AB12" s="289" t="str">
        <f>'תקציב החברה לפיתוח 2022'!AB6</f>
        <v xml:space="preserve">עבודות השלמת שצ"פים וגינת כלבים. </v>
      </c>
      <c r="AC12" s="160">
        <f>'תקציב החברה לפיתוח 2022'!AC6</f>
        <v>742000</v>
      </c>
      <c r="AD12" s="157"/>
      <c r="AE12" s="157"/>
      <c r="AF12" s="171"/>
      <c r="AG12" s="171"/>
      <c r="AH12" s="171"/>
      <c r="AI12" s="171"/>
      <c r="AJ12" s="171"/>
      <c r="AK12" s="166"/>
      <c r="AL12" s="166"/>
      <c r="AM12" s="266" t="s">
        <v>1520</v>
      </c>
      <c r="AN12" s="277"/>
      <c r="AO12" s="160"/>
      <c r="AP12" s="266" t="s">
        <v>1520</v>
      </c>
      <c r="AQ12" s="166"/>
      <c r="AR12" s="166"/>
      <c r="AS12" s="166"/>
      <c r="AT12" s="268"/>
      <c r="AU12" s="166"/>
      <c r="AV12" s="266"/>
      <c r="AW12" s="638"/>
      <c r="AX12" s="166"/>
      <c r="AY12" s="161"/>
      <c r="AZ12" s="161"/>
      <c r="BA12" s="663"/>
      <c r="BB12" s="638"/>
      <c r="BC12" s="161"/>
    </row>
    <row r="13" spans="1:55" s="164" customFormat="1" ht="37.9" customHeight="1">
      <c r="A13" s="160">
        <f t="shared" si="1"/>
        <v>9</v>
      </c>
      <c r="B13" s="160">
        <f>'תקציב החברה לפיתוח 2022'!B9</f>
        <v>1067</v>
      </c>
      <c r="C13" s="289" t="str">
        <f>'תקציב החברה לפיתוח 2022'!C9</f>
        <v>עבודות פיתוח קטנות</v>
      </c>
      <c r="D13" s="161">
        <f>'תקציב החברה לפיתוח 2022'!D9</f>
        <v>4725000</v>
      </c>
      <c r="E13" s="160">
        <f>'תקציב החברה לפיתוח 2022'!E9</f>
        <v>4475000</v>
      </c>
      <c r="F13" s="160">
        <f>'תקציב החברה לפיתוח 2022'!F9</f>
        <v>250000</v>
      </c>
      <c r="G13" s="160">
        <f>'תקציב החברה לפיתוח 2022'!G9</f>
        <v>3975000</v>
      </c>
      <c r="H13" s="160">
        <f>'תקציב החברה לפיתוח 2022'!H9</f>
        <v>3381161</v>
      </c>
      <c r="I13" s="160">
        <f>'תקציב החברה לפיתוח 2022'!I9</f>
        <v>0</v>
      </c>
      <c r="J13" s="160">
        <f>'תקציב החברה לפיתוח 2022'!J9</f>
        <v>318521</v>
      </c>
      <c r="K13" s="160">
        <f>'תקציב החברה לפיתוח 2022'!K9</f>
        <v>318521</v>
      </c>
      <c r="L13" s="161">
        <f>'תקציב החברה לפיתוח 2022'!L9</f>
        <v>3699682</v>
      </c>
      <c r="M13" s="161">
        <f>'תקציב החברה לפיתוח 2022'!M9</f>
        <v>775318</v>
      </c>
      <c r="N13" s="161">
        <f>'תקציב החברה לפיתוח 2022'!N9</f>
        <v>250000</v>
      </c>
      <c r="O13" s="161">
        <f>'תקציב החברה לפיתוח 2022'!O9</f>
        <v>0</v>
      </c>
      <c r="P13" s="161">
        <f>'תקציב החברה לפיתוח 2022'!P9</f>
        <v>275318</v>
      </c>
      <c r="Q13" s="161">
        <f>'תקציב החברה לפיתוח 2022'!Q9</f>
        <v>500000</v>
      </c>
      <c r="R13" s="161">
        <f>'תקציב החברה לפיתוח 2022'!R9</f>
        <v>0</v>
      </c>
      <c r="S13" s="161">
        <f>'תקציב החברה לפיתוח 2022'!S9</f>
        <v>500000</v>
      </c>
      <c r="T13" s="161">
        <f>'תקציב החברה לפיתוח 2022'!T9</f>
        <v>0</v>
      </c>
      <c r="U13" s="161">
        <f>'תקציב החברה לפיתוח 2022'!U9</f>
        <v>250000</v>
      </c>
      <c r="V13" s="161">
        <f>'תקציב החברה לפיתוח 2022'!V9</f>
        <v>250000</v>
      </c>
      <c r="W13" s="161">
        <f>'תקציב החברה לפיתוח 2022'!W9</f>
        <v>0</v>
      </c>
      <c r="X13" s="161">
        <f>'תקציב החברה לפיתוח 2022'!X9</f>
        <v>0</v>
      </c>
      <c r="Y13" s="161">
        <f>'תקציב החברה לפיתוח 2022'!Y9</f>
        <v>0</v>
      </c>
      <c r="Z13" s="161">
        <f>'תקציב החברה לפיתוח 2022'!Z9</f>
        <v>0</v>
      </c>
      <c r="AA13" s="161">
        <f>'תקציב החברה לפיתוח 2022'!AA9</f>
        <v>0</v>
      </c>
      <c r="AB13" s="289" t="str">
        <f>'תקציב החברה לפיתוח 2022'!AB9</f>
        <v>סל עבודות קטנות עפ"י דרישה.</v>
      </c>
      <c r="AC13" s="160">
        <f>'תקציב החברה לפיתוח 2022'!AC9</f>
        <v>742000</v>
      </c>
      <c r="AD13" s="157"/>
      <c r="AE13" s="157" t="s">
        <v>1525</v>
      </c>
      <c r="AF13" s="171"/>
      <c r="AG13" s="171"/>
      <c r="AH13" s="171"/>
      <c r="AI13" s="171"/>
      <c r="AJ13" s="171"/>
      <c r="AK13" s="160"/>
      <c r="AL13" s="160"/>
      <c r="AM13" s="266"/>
      <c r="AN13" s="277"/>
      <c r="AO13" s="160"/>
      <c r="AP13" s="160"/>
      <c r="AQ13" s="160"/>
      <c r="AR13" s="272" t="s">
        <v>998</v>
      </c>
      <c r="AS13" s="272"/>
      <c r="AT13" s="268"/>
      <c r="AU13" s="272" t="s">
        <v>998</v>
      </c>
      <c r="AV13" s="272"/>
      <c r="AW13" s="638"/>
      <c r="AX13" s="160"/>
      <c r="AY13" s="161"/>
      <c r="AZ13" s="161"/>
      <c r="BA13" s="638"/>
      <c r="BB13" s="638"/>
      <c r="BC13" s="161"/>
    </row>
    <row r="14" spans="1:55" s="5" customFormat="1" ht="60">
      <c r="A14" s="160">
        <f t="shared" si="1"/>
        <v>10</v>
      </c>
      <c r="B14" s="160">
        <f>'תקציב החברה לפיתוח 2022'!B10</f>
        <v>1207</v>
      </c>
      <c r="C14" s="289" t="str">
        <f>'תקציב החברה לפיתוח 2022'!C10</f>
        <v>מתחם זרובבל</v>
      </c>
      <c r="D14" s="161">
        <f>'תקציב החברה לפיתוח 2022'!D10</f>
        <v>50650000</v>
      </c>
      <c r="E14" s="160">
        <f>'תקציב החברה לפיתוח 2022'!E10</f>
        <v>50650000</v>
      </c>
      <c r="F14" s="160">
        <f>'תקציב החברה לפיתוח 2022'!F10</f>
        <v>0</v>
      </c>
      <c r="G14" s="160">
        <f>'תקציב החברה לפיתוח 2022'!G10</f>
        <v>45650000</v>
      </c>
      <c r="H14" s="160">
        <f>'תקציב החברה לפיתוח 2022'!H10</f>
        <v>39408214</v>
      </c>
      <c r="I14" s="160">
        <f>'תקציב החברה לפיתוח 2022'!I10</f>
        <v>0</v>
      </c>
      <c r="J14" s="160">
        <f>'תקציב החברה לפיתוח 2022'!J10</f>
        <v>3859618</v>
      </c>
      <c r="K14" s="160">
        <f>'תקציב החברה לפיתוח 2022'!K10</f>
        <v>3859618</v>
      </c>
      <c r="L14" s="161">
        <f>'תקציב החברה לפיתוח 2022'!L10</f>
        <v>43267832</v>
      </c>
      <c r="M14" s="161">
        <f>'תקציב החברה לפיתוח 2022'!M10</f>
        <v>2382168</v>
      </c>
      <c r="N14" s="161">
        <f>'תקציב החברה לפיתוח 2022'!N10</f>
        <v>0</v>
      </c>
      <c r="O14" s="161">
        <f>'תקציב החברה לפיתוח 2022'!O10</f>
        <v>5000000</v>
      </c>
      <c r="P14" s="161">
        <f>'תקציב החברה לפיתוח 2022'!P10</f>
        <v>2382168</v>
      </c>
      <c r="Q14" s="161">
        <f>'תקציב החברה לפיתוח 2022'!Q10</f>
        <v>0</v>
      </c>
      <c r="R14" s="161">
        <f>'תקציב החברה לפיתוח 2022'!R10</f>
        <v>0</v>
      </c>
      <c r="S14" s="161">
        <f>'תקציב החברה לפיתוח 2022'!S10</f>
        <v>0</v>
      </c>
      <c r="T14" s="161">
        <f>'תקציב החברה לפיתוח 2022'!T10</f>
        <v>0</v>
      </c>
      <c r="U14" s="161">
        <f>'תקציב החברה לפיתוח 2022'!U10</f>
        <v>0</v>
      </c>
      <c r="V14" s="161">
        <f>'תקציב החברה לפיתוח 2022'!V10</f>
        <v>0</v>
      </c>
      <c r="W14" s="161">
        <f>'תקציב החברה לפיתוח 2022'!W10</f>
        <v>0</v>
      </c>
      <c r="X14" s="161">
        <f>'תקציב החברה לפיתוח 2022'!X10</f>
        <v>0</v>
      </c>
      <c r="Y14" s="161">
        <f>'תקציב החברה לפיתוח 2022'!Y10</f>
        <v>0</v>
      </c>
      <c r="Z14" s="161">
        <f>'תקציב החברה לפיתוח 2022'!Z10</f>
        <v>0</v>
      </c>
      <c r="AA14" s="161">
        <f>'תקציב החברה לפיתוח 2022'!AA10</f>
        <v>0</v>
      </c>
      <c r="AB14" s="289" t="str">
        <f>'תקציב החברה לפיתוח 2022'!AB10</f>
        <v>המשך עבודות פיתוח במתחם. פיתוח השצ"פ.</v>
      </c>
      <c r="AC14" s="160">
        <f>'תקציב החברה לפיתוח 2022'!AC10</f>
        <v>742000</v>
      </c>
      <c r="AD14" s="157"/>
      <c r="AE14" s="157" t="s">
        <v>1526</v>
      </c>
      <c r="AF14" s="171"/>
      <c r="AG14" s="171"/>
      <c r="AH14" s="171"/>
      <c r="AI14" s="171"/>
      <c r="AJ14" s="171"/>
      <c r="AK14" s="166"/>
      <c r="AL14" s="166"/>
      <c r="AM14" s="266"/>
      <c r="AN14" s="277"/>
      <c r="AO14" s="160"/>
      <c r="AP14" s="166"/>
      <c r="AQ14" s="166"/>
      <c r="AR14" s="272"/>
      <c r="AS14" s="272"/>
      <c r="AT14" s="268"/>
      <c r="AU14" s="272"/>
      <c r="AV14" s="272"/>
      <c r="AW14" s="638"/>
      <c r="AX14" s="166"/>
      <c r="AY14" s="161"/>
      <c r="AZ14" s="161"/>
      <c r="BA14" s="638"/>
      <c r="BB14" s="638"/>
      <c r="BC14" s="161"/>
    </row>
    <row r="15" spans="1:55" s="5" customFormat="1" ht="40.15" customHeight="1">
      <c r="A15" s="160">
        <f t="shared" si="1"/>
        <v>11</v>
      </c>
      <c r="B15" s="160">
        <f>'תקציב החברה לפיתוח 2022'!B11</f>
        <v>1238</v>
      </c>
      <c r="C15" s="289" t="str">
        <f>'תקציב החברה לפיתוח 2022'!C11</f>
        <v>כצלנסון-פיתוח   פארק רבין (*) עדכון שם</v>
      </c>
      <c r="D15" s="161">
        <f>'תקציב החברה לפיתוח 2022'!D11</f>
        <v>40500000</v>
      </c>
      <c r="E15" s="160">
        <f>'תקציב החברה לפיתוח 2022'!E11</f>
        <v>32940000</v>
      </c>
      <c r="F15" s="160">
        <f>'תקציב החברה לפיתוח 2022'!F11</f>
        <v>7560000</v>
      </c>
      <c r="G15" s="160">
        <f>'תקציב החברה לפיתוח 2022'!G11</f>
        <v>25500000</v>
      </c>
      <c r="H15" s="160">
        <f>'תקציב החברה לפיתוח 2022'!H11</f>
        <v>25492352</v>
      </c>
      <c r="I15" s="160">
        <f>'תקציב החברה לפיתוח 2022'!I11</f>
        <v>0</v>
      </c>
      <c r="J15" s="160">
        <f>'תקציב החברה לפיתוח 2022'!J11</f>
        <v>0</v>
      </c>
      <c r="K15" s="160">
        <f>'תקציב החברה לפיתוח 2022'!K11</f>
        <v>0</v>
      </c>
      <c r="L15" s="161">
        <f>'תקציב החברה לפיתוח 2022'!L11</f>
        <v>25492352</v>
      </c>
      <c r="M15" s="161">
        <f>'תקציב החברה לפיתוח 2022'!M11</f>
        <v>7648</v>
      </c>
      <c r="N15" s="161">
        <f>'תקציב החברה לפיתוח 2022'!N11</f>
        <v>2000000</v>
      </c>
      <c r="O15" s="161">
        <f>'תקציב החברה לפיתוח 2022'!O11</f>
        <v>13000000</v>
      </c>
      <c r="P15" s="161">
        <f>'תקציב החברה לפיתוח 2022'!P11</f>
        <v>7648</v>
      </c>
      <c r="Q15" s="161">
        <f>'תקציב החברה לפיתוח 2022'!Q11</f>
        <v>0</v>
      </c>
      <c r="R15" s="161">
        <f>'תקציב החברה לפיתוח 2022'!R11</f>
        <v>0</v>
      </c>
      <c r="S15" s="161">
        <f>'תקציב החברה לפיתוח 2022'!S11</f>
        <v>0</v>
      </c>
      <c r="T15" s="161">
        <f>'תקציב החברה לפיתוח 2022'!T11</f>
        <v>0</v>
      </c>
      <c r="U15" s="161">
        <f>'תקציב החברה לפיתוח 2022'!U11</f>
        <v>2000000</v>
      </c>
      <c r="V15" s="161">
        <f>'תקציב החברה לפיתוח 2022'!V11</f>
        <v>0</v>
      </c>
      <c r="W15" s="161">
        <f>'תקציב החברה לפיתוח 2022'!W11</f>
        <v>0</v>
      </c>
      <c r="X15" s="161">
        <f>'תקציב החברה לפיתוח 2022'!X11</f>
        <v>0</v>
      </c>
      <c r="Y15" s="161">
        <f>'תקציב החברה לפיתוח 2022'!Y11</f>
        <v>0</v>
      </c>
      <c r="Z15" s="161">
        <f>'תקציב החברה לפיתוח 2022'!Z11</f>
        <v>0</v>
      </c>
      <c r="AA15" s="161">
        <f>'תקציב החברה לפיתוח 2022'!AA11</f>
        <v>2000000</v>
      </c>
      <c r="AB15" s="289" t="str">
        <f>'תקציב החברה לפיתוח 2022'!AB11</f>
        <v xml:space="preserve">השלמת ביצוע דרום, ביצוע והשלמת תכנון פארק רבין צפון. מימון מ. הפיס. </v>
      </c>
      <c r="AC15" s="160">
        <f>'תקציב החברה לפיתוח 2022'!AC11</f>
        <v>742000</v>
      </c>
      <c r="AD15" s="157"/>
      <c r="AE15" s="157" t="s">
        <v>1528</v>
      </c>
      <c r="AF15" s="171"/>
      <c r="AG15" s="171"/>
      <c r="AH15" s="171"/>
      <c r="AI15" s="171"/>
      <c r="AJ15" s="171"/>
      <c r="AK15" s="166"/>
      <c r="AL15" s="166"/>
      <c r="AM15" s="266" t="s">
        <v>1529</v>
      </c>
      <c r="AN15" s="277"/>
      <c r="AO15" s="160"/>
      <c r="AP15" s="166" t="s">
        <v>1530</v>
      </c>
      <c r="AQ15" s="166" t="s">
        <v>1531</v>
      </c>
      <c r="AR15" s="272" t="s">
        <v>1531</v>
      </c>
      <c r="AS15" s="272" t="s">
        <v>1532</v>
      </c>
      <c r="AT15" s="268"/>
      <c r="AU15" s="272" t="s">
        <v>1533</v>
      </c>
      <c r="AV15" s="272" t="s">
        <v>2179</v>
      </c>
      <c r="AW15" s="638">
        <v>10000000</v>
      </c>
      <c r="AX15" s="639">
        <f>U15-AW15</f>
        <v>-8000000</v>
      </c>
      <c r="AY15" s="161">
        <v>-1000000</v>
      </c>
      <c r="AZ15" s="161"/>
      <c r="BA15" s="638"/>
      <c r="BB15" s="638"/>
      <c r="BC15" s="161">
        <v>-2000000</v>
      </c>
    </row>
    <row r="16" spans="1:55" s="5" customFormat="1" ht="30">
      <c r="A16" s="160">
        <f t="shared" si="1"/>
        <v>12</v>
      </c>
      <c r="B16" s="160">
        <f>'תקציב החברה לפיתוח 2022'!B12</f>
        <v>1298</v>
      </c>
      <c r="C16" s="289" t="str">
        <f>'תקציב החברה לפיתוח 2022'!C12</f>
        <v>תכנונים כלליים</v>
      </c>
      <c r="D16" s="161">
        <f>'תקציב החברה לפיתוח 2022'!D12</f>
        <v>5600000</v>
      </c>
      <c r="E16" s="160">
        <f>'תקציב החברה לפיתוח 2022'!E12</f>
        <v>5100000</v>
      </c>
      <c r="F16" s="160">
        <f>'תקציב החברה לפיתוח 2022'!F12</f>
        <v>500000</v>
      </c>
      <c r="G16" s="160">
        <f>'תקציב החברה לפיתוח 2022'!G12</f>
        <v>4800000</v>
      </c>
      <c r="H16" s="160">
        <f>'תקציב החברה לפיתוח 2022'!H12</f>
        <v>4585345</v>
      </c>
      <c r="I16" s="160">
        <f>'תקציב החברה לפיתוח 2022'!I12</f>
        <v>0</v>
      </c>
      <c r="J16" s="160">
        <f>'תקציב החברה לפיתוח 2022'!J12</f>
        <v>9813</v>
      </c>
      <c r="K16" s="160">
        <f>'תקציב החברה לפיתוח 2022'!K12</f>
        <v>9813</v>
      </c>
      <c r="L16" s="161">
        <f>'תקציב החברה לפיתוח 2022'!L12</f>
        <v>4595158</v>
      </c>
      <c r="M16" s="161">
        <f>'תקציב החברה לפיתוח 2022'!M12</f>
        <v>504842</v>
      </c>
      <c r="N16" s="161">
        <f>'תקציב החברה לפיתוח 2022'!N12</f>
        <v>500000</v>
      </c>
      <c r="O16" s="161">
        <f>'תקציב החברה לפיתוח 2022'!O12</f>
        <v>0</v>
      </c>
      <c r="P16" s="161">
        <f>'תקציב החברה לפיתוח 2022'!P12</f>
        <v>204842</v>
      </c>
      <c r="Q16" s="161">
        <f>'תקציב החברה לפיתוח 2022'!Q12</f>
        <v>300000</v>
      </c>
      <c r="R16" s="161">
        <f>'תקציב החברה לפיתוח 2022'!R12</f>
        <v>0</v>
      </c>
      <c r="S16" s="161">
        <f>'תקציב החברה לפיתוח 2022'!S12</f>
        <v>300000</v>
      </c>
      <c r="T16" s="161">
        <f>'תקציב החברה לפיתוח 2022'!T12</f>
        <v>0</v>
      </c>
      <c r="U16" s="161">
        <f>'תקציב החברה לפיתוח 2022'!U12</f>
        <v>500000</v>
      </c>
      <c r="V16" s="161">
        <f>'תקציב החברה לפיתוח 2022'!V12</f>
        <v>500000</v>
      </c>
      <c r="W16" s="161">
        <f>'תקציב החברה לפיתוח 2022'!W12</f>
        <v>0</v>
      </c>
      <c r="X16" s="161">
        <f>'תקציב החברה לפיתוח 2022'!X12</f>
        <v>0</v>
      </c>
      <c r="Y16" s="161">
        <f>'תקציב החברה לפיתוח 2022'!Y12</f>
        <v>0</v>
      </c>
      <c r="Z16" s="161">
        <f>'תקציב החברה לפיתוח 2022'!Z12</f>
        <v>0</v>
      </c>
      <c r="AA16" s="161">
        <f>'תקציב החברה לפיתוח 2022'!AA12</f>
        <v>0</v>
      </c>
      <c r="AB16" s="289" t="str">
        <f>'תקציב החברה לפיתוח 2022'!AB12</f>
        <v>סל עבודות תכנון עפ"י דרישה.</v>
      </c>
      <c r="AC16" s="160">
        <f>'תקציב החברה לפיתוח 2022'!AC12</f>
        <v>742000</v>
      </c>
      <c r="AD16" s="157"/>
      <c r="AE16" s="157"/>
      <c r="AF16" s="171"/>
      <c r="AG16" s="171"/>
      <c r="AH16" s="171"/>
      <c r="AI16" s="171"/>
      <c r="AJ16" s="171"/>
      <c r="AK16" s="166"/>
      <c r="AL16" s="166"/>
      <c r="AM16" s="266"/>
      <c r="AN16" s="277"/>
      <c r="AO16" s="160"/>
      <c r="AP16" s="166"/>
      <c r="AQ16" s="166"/>
      <c r="AR16" s="272" t="s">
        <v>998</v>
      </c>
      <c r="AS16" s="272"/>
      <c r="AT16" s="268"/>
      <c r="AU16" s="272" t="s">
        <v>998</v>
      </c>
      <c r="AV16" s="272"/>
      <c r="AW16" s="638"/>
      <c r="AX16" s="166"/>
      <c r="AY16" s="161"/>
      <c r="AZ16" s="161"/>
      <c r="BA16" s="638"/>
      <c r="BB16" s="638"/>
      <c r="BC16" s="161"/>
    </row>
    <row r="17" spans="1:55" s="164" customFormat="1" ht="60">
      <c r="A17" s="160">
        <f t="shared" si="1"/>
        <v>13</v>
      </c>
      <c r="B17" s="160">
        <f>'תקציב החברה לפיתוח 2022'!B14</f>
        <v>1314</v>
      </c>
      <c r="C17" s="289" t="str">
        <f>'תקציב החברה לפיתוח 2022'!C14</f>
        <v>רח' גבעת החלומות פיתוח</v>
      </c>
      <c r="D17" s="161">
        <f>'תקציב החברה לפיתוח 2022'!D14</f>
        <v>3200000</v>
      </c>
      <c r="E17" s="160">
        <f>'תקציב החברה לפיתוח 2022'!E14</f>
        <v>3200000</v>
      </c>
      <c r="F17" s="160">
        <f>'תקציב החברה לפיתוח 2022'!F14</f>
        <v>0</v>
      </c>
      <c r="G17" s="160">
        <f>'תקציב החברה לפיתוח 2022'!G14</f>
        <v>660000</v>
      </c>
      <c r="H17" s="160">
        <f>'תקציב החברה לפיתוח 2022'!H14</f>
        <v>539291</v>
      </c>
      <c r="I17" s="160">
        <f>'תקציב החברה לפיתוח 2022'!I14</f>
        <v>0</v>
      </c>
      <c r="J17" s="160">
        <f>'תקציב החברה לפיתוח 2022'!J14</f>
        <v>105607</v>
      </c>
      <c r="K17" s="160">
        <f>'תקציב החברה לפיתוח 2022'!K14</f>
        <v>105607</v>
      </c>
      <c r="L17" s="161">
        <f>'תקציב החברה לפיתוח 2022'!L14</f>
        <v>644898</v>
      </c>
      <c r="M17" s="161">
        <f>'תקציב החברה לפיתוח 2022'!M14</f>
        <v>15102</v>
      </c>
      <c r="N17" s="161">
        <f>'תקציב החברה לפיתוח 2022'!N14</f>
        <v>1000000</v>
      </c>
      <c r="O17" s="161">
        <f>'תקציב החברה לפיתוח 2022'!O14</f>
        <v>1540000</v>
      </c>
      <c r="P17" s="161">
        <f>'תקציב החברה לפיתוח 2022'!P14</f>
        <v>15102</v>
      </c>
      <c r="Q17" s="161">
        <f>'תקציב החברה לפיתוח 2022'!Q14</f>
        <v>0</v>
      </c>
      <c r="R17" s="161">
        <f>'תקציב החברה לפיתוח 2022'!R14</f>
        <v>0</v>
      </c>
      <c r="S17" s="161">
        <f>'תקציב החברה לפיתוח 2022'!S14</f>
        <v>0</v>
      </c>
      <c r="T17" s="161">
        <f>'תקציב החברה לפיתוח 2022'!T14</f>
        <v>0</v>
      </c>
      <c r="U17" s="161">
        <f>'תקציב החברה לפיתוח 2022'!U14</f>
        <v>1000000</v>
      </c>
      <c r="V17" s="161">
        <f>'תקציב החברה לפיתוח 2022'!V14</f>
        <v>1000000</v>
      </c>
      <c r="W17" s="161">
        <f>'תקציב החברה לפיתוח 2022'!W14</f>
        <v>0</v>
      </c>
      <c r="X17" s="161">
        <f>'תקציב החברה לפיתוח 2022'!X14</f>
        <v>0</v>
      </c>
      <c r="Y17" s="161">
        <f>'תקציב החברה לפיתוח 2022'!Y14</f>
        <v>0</v>
      </c>
      <c r="Z17" s="161">
        <f>'תקציב החברה לפיתוח 2022'!Z14</f>
        <v>0</v>
      </c>
      <c r="AA17" s="161">
        <f>'תקציב החברה לפיתוח 2022'!AA14</f>
        <v>0</v>
      </c>
      <c r="AB17" s="289" t="str">
        <f>'תקציב החברה לפיתוח 2022'!AB14</f>
        <v xml:space="preserve">פיתוח רחוב גבעת החלומות לרבות עבודות ניקוז ותאורה. עדכון תכנון וביצוע . </v>
      </c>
      <c r="AC17" s="160">
        <f>'תקציב החברה לפיתוח 2022'!AC14</f>
        <v>742000</v>
      </c>
      <c r="AD17" s="157"/>
      <c r="AE17" s="157" t="s">
        <v>1537</v>
      </c>
      <c r="AF17" s="171"/>
      <c r="AG17" s="171"/>
      <c r="AH17" s="171"/>
      <c r="AI17" s="171"/>
      <c r="AJ17" s="171"/>
      <c r="AK17" s="3"/>
      <c r="AL17" s="3"/>
      <c r="AM17" s="266"/>
      <c r="AN17" s="277"/>
      <c r="AO17" s="160"/>
      <c r="AP17" s="166" t="s">
        <v>1538</v>
      </c>
      <c r="AQ17" s="3"/>
      <c r="AR17" s="272"/>
      <c r="AS17" s="272"/>
      <c r="AT17" s="268"/>
      <c r="AU17" s="272"/>
      <c r="AV17" s="272"/>
      <c r="AW17" s="638"/>
      <c r="AX17" s="3"/>
      <c r="AY17" s="161"/>
      <c r="AZ17" s="161"/>
      <c r="BA17" s="638"/>
      <c r="BB17" s="638"/>
      <c r="BC17" s="161">
        <v>-2000000</v>
      </c>
    </row>
    <row r="18" spans="1:55" s="164" customFormat="1" ht="60">
      <c r="A18" s="160">
        <f t="shared" si="1"/>
        <v>14</v>
      </c>
      <c r="B18" s="160">
        <f>'תקציב החברה לפיתוח 2022'!B15</f>
        <v>1322</v>
      </c>
      <c r="C18" s="289" t="str">
        <f>'תקציב החברה לפיתוח 2022'!C15</f>
        <v>מתחם נוף ים פיתוח</v>
      </c>
      <c r="D18" s="161">
        <f>'תקציב החברה לפיתוח 2022'!D15</f>
        <v>18500000</v>
      </c>
      <c r="E18" s="160">
        <f>'תקציב החברה לפיתוח 2022'!E15</f>
        <v>18500000</v>
      </c>
      <c r="F18" s="160">
        <f>'תקציב החברה לפיתוח 2022'!F15</f>
        <v>0</v>
      </c>
      <c r="G18" s="160">
        <f>'תקציב החברה לפיתוח 2022'!G15</f>
        <v>10850000</v>
      </c>
      <c r="H18" s="160">
        <f>'תקציב החברה לפיתוח 2022'!H15</f>
        <v>9799391</v>
      </c>
      <c r="I18" s="160">
        <f>'תקציב החברה לפיתוח 2022'!I15</f>
        <v>0</v>
      </c>
      <c r="J18" s="160">
        <f>'תקציב החברה לפיתוח 2022'!J15</f>
        <v>12508</v>
      </c>
      <c r="K18" s="160">
        <f>'תקציב החברה לפיתוח 2022'!K15</f>
        <v>12508</v>
      </c>
      <c r="L18" s="161">
        <f>'תקציב החברה לפיתוח 2022'!L15</f>
        <v>9811899</v>
      </c>
      <c r="M18" s="161">
        <f>'תקציב החברה לפיתוח 2022'!M15</f>
        <v>1038101</v>
      </c>
      <c r="N18" s="161">
        <f>'תקציב החברה לפיתוח 2022'!N15</f>
        <v>1200000</v>
      </c>
      <c r="O18" s="161">
        <f>'תקציב החברה לפיתוח 2022'!O15</f>
        <v>6450000</v>
      </c>
      <c r="P18" s="161">
        <f>'תקציב החברה לפיתוח 2022'!P15</f>
        <v>1038101</v>
      </c>
      <c r="Q18" s="161">
        <f>'תקציב החברה לפיתוח 2022'!Q15</f>
        <v>0</v>
      </c>
      <c r="R18" s="161">
        <f>'תקציב החברה לפיתוח 2022'!R15</f>
        <v>0</v>
      </c>
      <c r="S18" s="161">
        <f>'תקציב החברה לפיתוח 2022'!S15</f>
        <v>0</v>
      </c>
      <c r="T18" s="161">
        <f>'תקציב החברה לפיתוח 2022'!T15</f>
        <v>0</v>
      </c>
      <c r="U18" s="161">
        <f>'תקציב החברה לפיתוח 2022'!U15</f>
        <v>1200000</v>
      </c>
      <c r="V18" s="161">
        <f>'תקציב החברה לפיתוח 2022'!V15</f>
        <v>1200000</v>
      </c>
      <c r="W18" s="161">
        <f>'תקציב החברה לפיתוח 2022'!W15</f>
        <v>0</v>
      </c>
      <c r="X18" s="161">
        <f>'תקציב החברה לפיתוח 2022'!X15</f>
        <v>0</v>
      </c>
      <c r="Y18" s="161">
        <f>'תקציב החברה לפיתוח 2022'!Y15</f>
        <v>0</v>
      </c>
      <c r="Z18" s="161">
        <f>'תקציב החברה לפיתוח 2022'!Z15</f>
        <v>0</v>
      </c>
      <c r="AA18" s="161">
        <f>'תקציב החברה לפיתוח 2022'!AA15</f>
        <v>0</v>
      </c>
      <c r="AB18" s="289" t="str">
        <f>'תקציב החברה לפיתוח 2022'!AB15</f>
        <v>ביצוע תשתיות רח' הנשיא מחיבורו לשער הים עד הצומת רח' הפועל התאנה כולל הטמנת רשת חשמל.</v>
      </c>
      <c r="AC18" s="160">
        <f>'תקציב החברה לפיתוח 2022'!AC15</f>
        <v>742000</v>
      </c>
      <c r="AD18" s="157" t="s">
        <v>1539</v>
      </c>
      <c r="AE18" s="157" t="s">
        <v>1539</v>
      </c>
      <c r="AF18" s="171"/>
      <c r="AG18" s="171"/>
      <c r="AH18" s="171"/>
      <c r="AI18" s="171"/>
      <c r="AJ18" s="171"/>
      <c r="AK18" s="3"/>
      <c r="AL18" s="3"/>
      <c r="AM18" s="266"/>
      <c r="AN18" s="277"/>
      <c r="AO18" s="160"/>
      <c r="AP18" s="157" t="s">
        <v>1539</v>
      </c>
      <c r="AQ18" s="3"/>
      <c r="AR18" s="272" t="s">
        <v>1540</v>
      </c>
      <c r="AS18" s="272"/>
      <c r="AT18" s="268"/>
      <c r="AU18" s="160" t="s">
        <v>1128</v>
      </c>
      <c r="AV18" s="272" t="s">
        <v>2158</v>
      </c>
      <c r="AW18" s="638"/>
      <c r="AX18" s="3"/>
      <c r="AY18" s="161"/>
      <c r="AZ18" s="161"/>
      <c r="BA18" s="638">
        <f>7650000/2</f>
        <v>3825000</v>
      </c>
      <c r="BB18" s="638">
        <f>BA18-N18</f>
        <v>2625000</v>
      </c>
      <c r="BC18" s="161">
        <v>-1000000</v>
      </c>
    </row>
    <row r="19" spans="1:55" s="164" customFormat="1" ht="75">
      <c r="A19" s="160">
        <f t="shared" si="1"/>
        <v>15</v>
      </c>
      <c r="B19" s="160">
        <f>'תקציב החברה לפיתוח 2022'!B19</f>
        <v>1446</v>
      </c>
      <c r="C19" s="289" t="str">
        <f>'תקציב החברה לפיתוח 2022'!C19</f>
        <v xml:space="preserve">מתחם נוריות  </v>
      </c>
      <c r="D19" s="161">
        <f>'תקציב החברה לפיתוח 2022'!D19</f>
        <v>11250000</v>
      </c>
      <c r="E19" s="160">
        <f>'תקציב החברה לפיתוח 2022'!E19</f>
        <v>14250000</v>
      </c>
      <c r="F19" s="160">
        <f>'תקציב החברה לפיתוח 2022'!F19</f>
        <v>-3000000</v>
      </c>
      <c r="G19" s="160">
        <f>'תקציב החברה לפיתוח 2022'!G19</f>
        <v>14250000</v>
      </c>
      <c r="H19" s="160">
        <f>'תקציב החברה לפיתוח 2022'!H19</f>
        <v>9566469</v>
      </c>
      <c r="I19" s="160">
        <f>'תקציב החברה לפיתוח 2022'!I19</f>
        <v>0</v>
      </c>
      <c r="J19" s="160">
        <f>'תקציב החברה לפיתוח 2022'!J19</f>
        <v>377656</v>
      </c>
      <c r="K19" s="160">
        <f>'תקציב החברה לפיתוח 2022'!K19</f>
        <v>377656</v>
      </c>
      <c r="L19" s="161">
        <f>'תקציב החברה לפיתוח 2022'!L19</f>
        <v>9944125</v>
      </c>
      <c r="M19" s="161">
        <f>'תקציב החברה לפיתוח 2022'!M19</f>
        <v>1305875</v>
      </c>
      <c r="N19" s="161">
        <f>'תקציב החברה לפיתוח 2022'!N19</f>
        <v>0</v>
      </c>
      <c r="O19" s="161">
        <f>'תקציב החברה לפיתוח 2022'!O19</f>
        <v>0</v>
      </c>
      <c r="P19" s="161">
        <f>'תקציב החברה לפיתוח 2022'!P19</f>
        <v>4305875</v>
      </c>
      <c r="Q19" s="161">
        <f>'תקציב החברה לפיתוח 2022'!Q19</f>
        <v>0</v>
      </c>
      <c r="R19" s="161">
        <f>'תקציב החברה לפיתוח 2022'!R19</f>
        <v>0</v>
      </c>
      <c r="S19" s="161">
        <f>'תקציב החברה לפיתוח 2022'!S19</f>
        <v>0</v>
      </c>
      <c r="T19" s="161">
        <f>'תקציב החברה לפיתוח 2022'!T19</f>
        <v>3000000</v>
      </c>
      <c r="U19" s="161">
        <f>'תקציב החברה לפיתוח 2022'!U19</f>
        <v>-3000000</v>
      </c>
      <c r="V19" s="161">
        <f>'תקציב החברה לפיתוח 2022'!V19</f>
        <v>-3000000</v>
      </c>
      <c r="W19" s="161">
        <f>'תקציב החברה לפיתוח 2022'!W19</f>
        <v>0</v>
      </c>
      <c r="X19" s="161">
        <f>'תקציב החברה לפיתוח 2022'!X19</f>
        <v>0</v>
      </c>
      <c r="Y19" s="161">
        <f>'תקציב החברה לפיתוח 2022'!Y19</f>
        <v>0</v>
      </c>
      <c r="Z19" s="161">
        <f>'תקציב החברה לפיתוח 2022'!Z19</f>
        <v>0</v>
      </c>
      <c r="AA19" s="161">
        <f>'תקציב החברה לפיתוח 2022'!AA19</f>
        <v>0</v>
      </c>
      <c r="AB19" s="289" t="str">
        <f>'תקציב החברה לפיתוח 2022'!AB19</f>
        <v>המשך עבודות פיתוח במתחם הרחובות הנוריות, אנצו סירני , דב גרונר , שלמה בן יוסף , חביבה רייך. ח-ן סופיים.</v>
      </c>
      <c r="AC19" s="160">
        <f>'תקציב החברה לפיתוח 2022'!AC19</f>
        <v>742000</v>
      </c>
      <c r="AD19" s="157" t="s">
        <v>1549</v>
      </c>
      <c r="AE19" s="157" t="s">
        <v>1550</v>
      </c>
      <c r="AF19" s="171"/>
      <c r="AG19" s="171"/>
      <c r="AH19" s="171"/>
      <c r="AI19" s="171"/>
      <c r="AJ19" s="171"/>
      <c r="AK19" s="160"/>
      <c r="AL19" s="160"/>
      <c r="AM19" s="160"/>
      <c r="AN19" s="277"/>
      <c r="AO19" s="160"/>
      <c r="AP19" s="157" t="s">
        <v>1550</v>
      </c>
      <c r="AQ19" s="160"/>
      <c r="AR19" s="160" t="s">
        <v>1524</v>
      </c>
      <c r="AS19" s="160" t="s">
        <v>1521</v>
      </c>
      <c r="AT19" s="519" t="s">
        <v>1551</v>
      </c>
      <c r="AU19" s="160" t="s">
        <v>1552</v>
      </c>
      <c r="AV19" s="272"/>
      <c r="AW19" s="638"/>
      <c r="AX19" s="160"/>
      <c r="AY19" s="161"/>
      <c r="AZ19" s="161"/>
      <c r="BA19" s="638"/>
      <c r="BB19" s="638"/>
      <c r="BC19" s="161"/>
    </row>
    <row r="20" spans="1:55" s="164" customFormat="1" ht="45">
      <c r="A20" s="160">
        <f t="shared" si="1"/>
        <v>16</v>
      </c>
      <c r="B20" s="160">
        <f>'תקציב החברה לפיתוח 2022'!B20</f>
        <v>1539</v>
      </c>
      <c r="C20" s="289" t="str">
        <f>'תקציב החברה לפיתוח 2022'!C20</f>
        <v>רחוב בר כוכבא</v>
      </c>
      <c r="D20" s="161">
        <f>'תקציב החברה לפיתוח 2022'!D20</f>
        <v>15150000</v>
      </c>
      <c r="E20" s="160">
        <f>'תקציב החברה לפיתוח 2022'!E20</f>
        <v>16300000</v>
      </c>
      <c r="F20" s="160">
        <f>'תקציב החברה לפיתוח 2022'!F20</f>
        <v>-1150000</v>
      </c>
      <c r="G20" s="160">
        <f>'תקציב החברה לפיתוח 2022'!G20</f>
        <v>15300000</v>
      </c>
      <c r="H20" s="160">
        <f>'תקציב החברה לפיתוח 2022'!H20</f>
        <v>14749061</v>
      </c>
      <c r="I20" s="160">
        <f>'תקציב החברה לפיתוח 2022'!I20</f>
        <v>54264</v>
      </c>
      <c r="J20" s="160">
        <f>'תקציב החברה לפיתוח 2022'!J20</f>
        <v>92533</v>
      </c>
      <c r="K20" s="160">
        <f>'תקציב החברה לפיתוח 2022'!K20</f>
        <v>146797</v>
      </c>
      <c r="L20" s="161">
        <f>'תקציב החברה לפיתוח 2022'!L20</f>
        <v>14895858</v>
      </c>
      <c r="M20" s="161">
        <f>'תקציב החברה לפיתוח 2022'!M20</f>
        <v>254142</v>
      </c>
      <c r="N20" s="161">
        <f>'תקציב החברה לפיתוח 2022'!N20</f>
        <v>0</v>
      </c>
      <c r="O20" s="161">
        <f>'תקציב החברה לפיתוח 2022'!O20</f>
        <v>0</v>
      </c>
      <c r="P20" s="161">
        <f>'תקציב החברה לפיתוח 2022'!P20</f>
        <v>404142</v>
      </c>
      <c r="Q20" s="161">
        <f>'תקציב החברה לפיתוח 2022'!Q20</f>
        <v>0</v>
      </c>
      <c r="R20" s="161">
        <f>'תקציב החברה לפיתוח 2022'!R20</f>
        <v>0</v>
      </c>
      <c r="S20" s="161">
        <f>'תקציב החברה לפיתוח 2022'!S20</f>
        <v>0</v>
      </c>
      <c r="T20" s="161">
        <f>'תקציב החברה לפיתוח 2022'!T20</f>
        <v>150000</v>
      </c>
      <c r="U20" s="161">
        <f>'תקציב החברה לפיתוח 2022'!U20</f>
        <v>-150000</v>
      </c>
      <c r="V20" s="161">
        <f>'תקציב החברה לפיתוח 2022'!V20</f>
        <v>-150000</v>
      </c>
      <c r="W20" s="161">
        <f>'תקציב החברה לפיתוח 2022'!W20</f>
        <v>0</v>
      </c>
      <c r="X20" s="161">
        <f>'תקציב החברה לפיתוח 2022'!X20</f>
        <v>0</v>
      </c>
      <c r="Y20" s="161">
        <f>'תקציב החברה לפיתוח 2022'!Y20</f>
        <v>0</v>
      </c>
      <c r="Z20" s="161">
        <f>'תקציב החברה לפיתוח 2022'!Z20</f>
        <v>0</v>
      </c>
      <c r="AA20" s="161">
        <f>'תקציב החברה לפיתוח 2022'!AA20</f>
        <v>0</v>
      </c>
      <c r="AB20" s="289" t="str">
        <f>'תקציב החברה לפיתוח 2022'!AB20</f>
        <v>פיתוח תשתיות. ח-ן סופיים.</v>
      </c>
      <c r="AC20" s="160">
        <f>'תקציב החברה לפיתוח 2022'!AC20</f>
        <v>742000</v>
      </c>
      <c r="AD20" s="157" t="s">
        <v>1549</v>
      </c>
      <c r="AE20" s="157"/>
      <c r="AF20" s="171"/>
      <c r="AG20" s="171"/>
      <c r="AH20" s="171"/>
      <c r="AI20" s="171"/>
      <c r="AJ20" s="171"/>
      <c r="AK20" s="160"/>
      <c r="AL20" s="160"/>
      <c r="AM20" s="160"/>
      <c r="AN20" s="277"/>
      <c r="AO20" s="160"/>
      <c r="AP20" s="157" t="s">
        <v>1550</v>
      </c>
      <c r="AQ20" s="160"/>
      <c r="AR20" s="160" t="s">
        <v>1524</v>
      </c>
      <c r="AS20" s="160" t="s">
        <v>1521</v>
      </c>
      <c r="AT20" s="519" t="s">
        <v>1551</v>
      </c>
      <c r="AU20" s="160" t="s">
        <v>1524</v>
      </c>
      <c r="AV20" s="272"/>
      <c r="AW20" s="638"/>
      <c r="AX20" s="160"/>
      <c r="AY20" s="161"/>
      <c r="AZ20" s="161"/>
      <c r="BA20" s="638"/>
      <c r="BB20" s="638"/>
      <c r="BC20" s="161"/>
    </row>
    <row r="21" spans="1:55" s="164" customFormat="1" ht="30" customHeight="1">
      <c r="A21" s="160">
        <f t="shared" si="1"/>
        <v>17</v>
      </c>
      <c r="B21" s="160">
        <f>'תקציב החברה לפיתוח 2022'!B21</f>
        <v>1588</v>
      </c>
      <c r="C21" s="289" t="str">
        <f>'תקציב החברה לפיתוח 2022'!C21</f>
        <v>פיתוח מתחם אלוני ים הר' 2030</v>
      </c>
      <c r="D21" s="161">
        <f>'תקציב החברה לפיתוח 2022'!D21</f>
        <v>50500000</v>
      </c>
      <c r="E21" s="160">
        <f>'תקציב החברה לפיתוח 2022'!E21</f>
        <v>50500000</v>
      </c>
      <c r="F21" s="160">
        <f>'תקציב החברה לפיתוח 2022'!F21</f>
        <v>0</v>
      </c>
      <c r="G21" s="160">
        <f>'תקציב החברה לפיתוח 2022'!G21</f>
        <v>45500000</v>
      </c>
      <c r="H21" s="160">
        <f>'תקציב החברה לפיתוח 2022'!H21</f>
        <v>35984164</v>
      </c>
      <c r="I21" s="160">
        <f>'תקציב החברה לפיתוח 2022'!I21</f>
        <v>0</v>
      </c>
      <c r="J21" s="160">
        <f>'תקציב החברה לפיתוח 2022'!J21</f>
        <v>959113</v>
      </c>
      <c r="K21" s="160">
        <f>'תקציב החברה לפיתוח 2022'!K21</f>
        <v>959113</v>
      </c>
      <c r="L21" s="161">
        <f>'תקציב החברה לפיתוח 2022'!L21</f>
        <v>36943277</v>
      </c>
      <c r="M21" s="161">
        <f>'תקציב החברה לפיתוח 2022'!M21</f>
        <v>8556723</v>
      </c>
      <c r="N21" s="161">
        <f>'תקציב החברה לפיתוח 2022'!N21</f>
        <v>4000000</v>
      </c>
      <c r="O21" s="161">
        <f>'תקציב החברה לפיתוח 2022'!O21</f>
        <v>1000000</v>
      </c>
      <c r="P21" s="161">
        <f>'תקציב החברה לפיתוח 2022'!P21</f>
        <v>8556723</v>
      </c>
      <c r="Q21" s="161">
        <f>'תקציב החברה לפיתוח 2022'!Q21</f>
        <v>0</v>
      </c>
      <c r="R21" s="161">
        <f>'תקציב החברה לפיתוח 2022'!R21</f>
        <v>0</v>
      </c>
      <c r="S21" s="161">
        <f>'תקציב החברה לפיתוח 2022'!S21</f>
        <v>0</v>
      </c>
      <c r="T21" s="161">
        <f>'תקציב החברה לפיתוח 2022'!T21</f>
        <v>0</v>
      </c>
      <c r="U21" s="161">
        <f>'תקציב החברה לפיתוח 2022'!U21</f>
        <v>4000000</v>
      </c>
      <c r="V21" s="161">
        <f>'תקציב החברה לפיתוח 2022'!V21</f>
        <v>4000000</v>
      </c>
      <c r="W21" s="161">
        <f>'תקציב החברה לפיתוח 2022'!W21</f>
        <v>0</v>
      </c>
      <c r="X21" s="161">
        <f>'תקציב החברה לפיתוח 2022'!X21</f>
        <v>0</v>
      </c>
      <c r="Y21" s="161">
        <f>'תקציב החברה לפיתוח 2022'!Y21</f>
        <v>0</v>
      </c>
      <c r="Z21" s="161">
        <f>'תקציב החברה לפיתוח 2022'!Z21</f>
        <v>0</v>
      </c>
      <c r="AA21" s="161">
        <f>'תקציב החברה לפיתוח 2022'!AA21</f>
        <v>0</v>
      </c>
      <c r="AB21" s="289" t="str">
        <f>'תקציב החברה לפיתוח 2022'!AB21</f>
        <v xml:space="preserve">המשך עבודות פיתוח שצ"פ במתחם אלוני ים הר' 2030 . </v>
      </c>
      <c r="AC21" s="160">
        <f>'תקציב החברה לפיתוח 2022'!AC21</f>
        <v>742000</v>
      </c>
      <c r="AD21" s="157"/>
      <c r="AE21" s="157" t="s">
        <v>1537</v>
      </c>
      <c r="AF21" s="171"/>
      <c r="AG21" s="171"/>
      <c r="AH21" s="171"/>
      <c r="AI21" s="171"/>
      <c r="AJ21" s="171"/>
      <c r="AK21" s="160"/>
      <c r="AL21" s="160"/>
      <c r="AM21" s="160"/>
      <c r="AN21" s="277"/>
      <c r="AO21" s="160"/>
      <c r="AP21" s="157" t="s">
        <v>1538</v>
      </c>
      <c r="AQ21" s="160"/>
      <c r="AR21" s="160"/>
      <c r="AS21" s="160"/>
      <c r="AT21" s="268"/>
      <c r="AU21" s="160"/>
      <c r="AV21" s="272"/>
      <c r="AW21" s="638"/>
      <c r="AX21" s="160"/>
      <c r="AY21" s="264">
        <v>-4000000</v>
      </c>
      <c r="AZ21" s="161"/>
      <c r="BA21" s="638">
        <v>10000000</v>
      </c>
      <c r="BB21" s="638">
        <f>BA21-N21</f>
        <v>6000000</v>
      </c>
      <c r="BC21" s="161">
        <v>-2000000</v>
      </c>
    </row>
    <row r="22" spans="1:55" s="164" customFormat="1" ht="45">
      <c r="A22" s="160">
        <f t="shared" si="1"/>
        <v>18</v>
      </c>
      <c r="B22" s="160">
        <f>'תקציב החברה לפיתוח 2022'!B22</f>
        <v>1614</v>
      </c>
      <c r="C22" s="289" t="str">
        <f>'תקציב החברה לפיתוח 2022'!C22</f>
        <v>שצ"פ רבי עקיבא דרומה (השביל הירוק)</v>
      </c>
      <c r="D22" s="161">
        <f>'תקציב החברה לפיתוח 2022'!D22</f>
        <v>7200000</v>
      </c>
      <c r="E22" s="160">
        <f>'תקציב החברה לפיתוח 2022'!E22</f>
        <v>7200000</v>
      </c>
      <c r="F22" s="160">
        <f>'תקציב החברה לפיתוח 2022'!F22</f>
        <v>0</v>
      </c>
      <c r="G22" s="160">
        <f>'תקציב החברה לפיתוח 2022'!G22</f>
        <v>5680000</v>
      </c>
      <c r="H22" s="160">
        <f>'תקציב החברה לפיתוח 2022'!H22</f>
        <v>4993741</v>
      </c>
      <c r="I22" s="160">
        <f>'תקציב החברה לפיתוח 2022'!I22</f>
        <v>0</v>
      </c>
      <c r="J22" s="160">
        <f>'תקציב החברה לפיתוח 2022'!J22</f>
        <v>61352</v>
      </c>
      <c r="K22" s="160">
        <f>'תקציב החברה לפיתוח 2022'!K22</f>
        <v>61352</v>
      </c>
      <c r="L22" s="161">
        <f>'תקציב החברה לפיתוח 2022'!L22</f>
        <v>5055093</v>
      </c>
      <c r="M22" s="161">
        <f>'תקציב החברה לפיתוח 2022'!M22</f>
        <v>624907</v>
      </c>
      <c r="N22" s="161">
        <f>'תקציב החברה לפיתוח 2022'!N22</f>
        <v>0</v>
      </c>
      <c r="O22" s="161">
        <f>'תקציב החברה לפיתוח 2022'!O22</f>
        <v>1520000</v>
      </c>
      <c r="P22" s="161">
        <f>'תקציב החברה לפיתוח 2022'!P22</f>
        <v>624907</v>
      </c>
      <c r="Q22" s="161">
        <f>'תקציב החברה לפיתוח 2022'!Q22</f>
        <v>0</v>
      </c>
      <c r="R22" s="161">
        <f>'תקציב החברה לפיתוח 2022'!R22</f>
        <v>0</v>
      </c>
      <c r="S22" s="161">
        <f>'תקציב החברה לפיתוח 2022'!S22</f>
        <v>0</v>
      </c>
      <c r="T22" s="161">
        <f>'תקציב החברה לפיתוח 2022'!T22</f>
        <v>0</v>
      </c>
      <c r="U22" s="161">
        <f>'תקציב החברה לפיתוח 2022'!U22</f>
        <v>0</v>
      </c>
      <c r="V22" s="161">
        <f>'תקציב החברה לפיתוח 2022'!V22</f>
        <v>0</v>
      </c>
      <c r="W22" s="161">
        <f>'תקציב החברה לפיתוח 2022'!W22</f>
        <v>0</v>
      </c>
      <c r="X22" s="161">
        <f>'תקציב החברה לפיתוח 2022'!X22</f>
        <v>0</v>
      </c>
      <c r="Y22" s="161">
        <f>'תקציב החברה לפיתוח 2022'!Y22</f>
        <v>0</v>
      </c>
      <c r="Z22" s="161">
        <f>'תקציב החברה לפיתוח 2022'!Z22</f>
        <v>0</v>
      </c>
      <c r="AA22" s="161">
        <f>'תקציב החברה לפיתוח 2022'!AA22</f>
        <v>0</v>
      </c>
      <c r="AB22" s="289" t="str">
        <f>'תקציב החברה לפיתוח 2022'!AB22</f>
        <v>המשך עבודות פיתוח שצ"פ בשכונת צמרות והשלמת עבודות ליד המשתלה.</v>
      </c>
      <c r="AC22" s="160">
        <f>'תקציב החברה לפיתוח 2022'!AC22</f>
        <v>742000</v>
      </c>
      <c r="AD22" s="157"/>
      <c r="AE22" s="157"/>
      <c r="AF22" s="171"/>
      <c r="AG22" s="171"/>
      <c r="AH22" s="171"/>
      <c r="AI22" s="171"/>
      <c r="AJ22" s="171"/>
      <c r="AK22" s="160"/>
      <c r="AL22" s="160"/>
      <c r="AM22" s="160"/>
      <c r="AN22" s="277"/>
      <c r="AO22" s="160"/>
      <c r="AP22" s="157"/>
      <c r="AQ22" s="160"/>
      <c r="AR22" s="160"/>
      <c r="AS22" s="160" t="s">
        <v>1128</v>
      </c>
      <c r="AT22" s="268"/>
      <c r="AU22" s="160" t="s">
        <v>1128</v>
      </c>
      <c r="AV22" s="272" t="s">
        <v>2158</v>
      </c>
      <c r="AW22" s="638"/>
      <c r="AX22" s="160"/>
      <c r="AY22" s="161"/>
      <c r="AZ22" s="161"/>
      <c r="BA22" s="638"/>
      <c r="BB22" s="638"/>
      <c r="BC22" s="161">
        <v>-500000</v>
      </c>
    </row>
    <row r="23" spans="1:55" s="164" customFormat="1" ht="60">
      <c r="A23" s="160">
        <f t="shared" si="1"/>
        <v>19</v>
      </c>
      <c r="B23" s="160">
        <f>'תקציב החברה לפיתוח 2022'!B23</f>
        <v>1615</v>
      </c>
      <c r="C23" s="289" t="str">
        <f>'תקציב החברה לפיתוח 2022'!C23</f>
        <v>פיתוח מתחם הר' 1903</v>
      </c>
      <c r="D23" s="161">
        <f>'תקציב החברה לפיתוח 2022'!D23</f>
        <v>27700000</v>
      </c>
      <c r="E23" s="160">
        <f>'תקציב החברה לפיתוח 2022'!E23</f>
        <v>27700000</v>
      </c>
      <c r="F23" s="160">
        <f>'תקציב החברה לפיתוח 2022'!F23</f>
        <v>0</v>
      </c>
      <c r="G23" s="160">
        <f>'תקציב החברה לפיתוח 2022'!G23</f>
        <v>21700000</v>
      </c>
      <c r="H23" s="160">
        <f>'תקציב החברה לפיתוח 2022'!H23</f>
        <v>20717959</v>
      </c>
      <c r="I23" s="160">
        <f>'תקציב החברה לפיתוח 2022'!I23</f>
        <v>0</v>
      </c>
      <c r="J23" s="160">
        <f>'תקציב החברה לפיתוח 2022'!J23</f>
        <v>933879</v>
      </c>
      <c r="K23" s="160">
        <f>'תקציב החברה לפיתוח 2022'!K23</f>
        <v>933879</v>
      </c>
      <c r="L23" s="161">
        <f>'תקציב החברה לפיתוח 2022'!L23</f>
        <v>21651838</v>
      </c>
      <c r="M23" s="161">
        <f>'תקציב החברה לפיתוח 2022'!M23</f>
        <v>2048162</v>
      </c>
      <c r="N23" s="161">
        <f>'תקציב החברה לפיתוח 2022'!N23</f>
        <v>300000</v>
      </c>
      <c r="O23" s="161">
        <f>'תקציב החברה לפיתוח 2022'!O23</f>
        <v>3700000</v>
      </c>
      <c r="P23" s="161">
        <f>'תקציב החברה לפיתוח 2022'!P23</f>
        <v>48162</v>
      </c>
      <c r="Q23" s="161">
        <f>'תקציב החברה לפיתוח 2022'!Q23</f>
        <v>2000000</v>
      </c>
      <c r="R23" s="161">
        <f>'תקציב החברה לפיתוח 2022'!R23</f>
        <v>0</v>
      </c>
      <c r="S23" s="161">
        <f>'תקציב החברה לפיתוח 2022'!S23</f>
        <v>2000000</v>
      </c>
      <c r="T23" s="161">
        <f>'תקציב החברה לפיתוח 2022'!T23</f>
        <v>0</v>
      </c>
      <c r="U23" s="161">
        <f>'תקציב החברה לפיתוח 2022'!U23</f>
        <v>300000</v>
      </c>
      <c r="V23" s="161">
        <f>'תקציב החברה לפיתוח 2022'!V23</f>
        <v>300000</v>
      </c>
      <c r="W23" s="161">
        <f>'תקציב החברה לפיתוח 2022'!W23</f>
        <v>0</v>
      </c>
      <c r="X23" s="161">
        <f>'תקציב החברה לפיתוח 2022'!X23</f>
        <v>0</v>
      </c>
      <c r="Y23" s="161">
        <f>'תקציב החברה לפיתוח 2022'!Y23</f>
        <v>0</v>
      </c>
      <c r="Z23" s="161">
        <f>'תקציב החברה לפיתוח 2022'!Z23</f>
        <v>0</v>
      </c>
      <c r="AA23" s="161">
        <f>'תקציב החברה לפיתוח 2022'!AA23</f>
        <v>0</v>
      </c>
      <c r="AB23" s="289" t="str">
        <f>'תקציב החברה לפיתוח 2022'!AB23</f>
        <v>טיפול בשב"צ+גינת כלבים. ב - 2022: גינת כלבים.</v>
      </c>
      <c r="AC23" s="160">
        <f>'תקציב החברה לפיתוח 2022'!AC23</f>
        <v>742000</v>
      </c>
      <c r="AD23" s="157"/>
      <c r="AE23" s="157"/>
      <c r="AF23" s="171"/>
      <c r="AG23" s="171"/>
      <c r="AH23" s="171"/>
      <c r="AI23" s="171"/>
      <c r="AJ23" s="171"/>
      <c r="AK23" s="160"/>
      <c r="AL23" s="160"/>
      <c r="AM23" s="160"/>
      <c r="AN23" s="277"/>
      <c r="AO23" s="160"/>
      <c r="AP23" s="157"/>
      <c r="AQ23" s="160"/>
      <c r="AR23" s="160"/>
      <c r="AS23" s="160" t="s">
        <v>1554</v>
      </c>
      <c r="AT23" s="268"/>
      <c r="AU23" s="160" t="s">
        <v>1128</v>
      </c>
      <c r="AV23" s="272" t="s">
        <v>2180</v>
      </c>
      <c r="AW23" s="638">
        <v>0</v>
      </c>
      <c r="AX23" s="639">
        <f>U23-AW23</f>
        <v>300000</v>
      </c>
      <c r="AY23" s="161"/>
      <c r="AZ23" s="161"/>
      <c r="BA23" s="638"/>
      <c r="BB23" s="638"/>
      <c r="BC23" s="161"/>
    </row>
    <row r="24" spans="1:55" s="164" customFormat="1" ht="45">
      <c r="A24" s="160">
        <f t="shared" si="1"/>
        <v>20</v>
      </c>
      <c r="B24" s="160">
        <f>'תקציב החברה לפיתוח 2022'!B24</f>
        <v>1657</v>
      </c>
      <c r="C24" s="289" t="str">
        <f>'תקציב החברה לפיתוח 2022'!C24</f>
        <v>פיתוח מתחם "מרינה לי"</v>
      </c>
      <c r="D24" s="161">
        <f>'תקציב החברה לפיתוח 2022'!D24</f>
        <v>60000000</v>
      </c>
      <c r="E24" s="160">
        <f>'תקציב החברה לפיתוח 2022'!E24</f>
        <v>60000000</v>
      </c>
      <c r="F24" s="160">
        <f>'תקציב החברה לפיתוח 2022'!F24</f>
        <v>0</v>
      </c>
      <c r="G24" s="160">
        <f>'תקציב החברה לפיתוח 2022'!G24</f>
        <v>21200000</v>
      </c>
      <c r="H24" s="160">
        <f>'תקציב החברה לפיתוח 2022'!H24</f>
        <v>18382673</v>
      </c>
      <c r="I24" s="160">
        <f>'תקציב החברה לפיתוח 2022'!I24</f>
        <v>0</v>
      </c>
      <c r="J24" s="160">
        <f>'תקציב החברה לפיתוח 2022'!J24</f>
        <v>676653</v>
      </c>
      <c r="K24" s="160">
        <f>'תקציב החברה לפיתוח 2022'!K24</f>
        <v>676653</v>
      </c>
      <c r="L24" s="161">
        <f>'תקציב החברה לפיתוח 2022'!L24</f>
        <v>19059326</v>
      </c>
      <c r="M24" s="161">
        <f>'תקציב החברה לפיתוח 2022'!M24</f>
        <v>17140674</v>
      </c>
      <c r="N24" s="161">
        <f>'תקציב החברה לפיתוח 2022'!N24</f>
        <v>2000000</v>
      </c>
      <c r="O24" s="161">
        <f>'תקציב החברה לפיתוח 2022'!O24</f>
        <v>21800000</v>
      </c>
      <c r="P24" s="161">
        <f>'תקציב החברה לפיתוח 2022'!P24</f>
        <v>2140674</v>
      </c>
      <c r="Q24" s="161">
        <f>'תקציב החברה לפיתוח 2022'!Q24</f>
        <v>15000000</v>
      </c>
      <c r="R24" s="161">
        <f>'תקציב החברה לפיתוח 2022'!R24</f>
        <v>0</v>
      </c>
      <c r="S24" s="161">
        <f>'תקציב החברה לפיתוח 2022'!S24</f>
        <v>15000000</v>
      </c>
      <c r="T24" s="161">
        <f>'תקציב החברה לפיתוח 2022'!T24</f>
        <v>0</v>
      </c>
      <c r="U24" s="161">
        <f>'תקציב החברה לפיתוח 2022'!U24</f>
        <v>2000000</v>
      </c>
      <c r="V24" s="161">
        <f>'תקציב החברה לפיתוח 2022'!V24</f>
        <v>2000000</v>
      </c>
      <c r="W24" s="161">
        <f>'תקציב החברה לפיתוח 2022'!W24</f>
        <v>0</v>
      </c>
      <c r="X24" s="161">
        <f>'תקציב החברה לפיתוח 2022'!X24</f>
        <v>0</v>
      </c>
      <c r="Y24" s="161">
        <f>'תקציב החברה לפיתוח 2022'!Y24</f>
        <v>0</v>
      </c>
      <c r="Z24" s="161">
        <f>'תקציב החברה לפיתוח 2022'!Z24</f>
        <v>0</v>
      </c>
      <c r="AA24" s="161">
        <f>'תקציב החברה לפיתוח 2022'!AA24</f>
        <v>0</v>
      </c>
      <c r="AB24" s="289" t="str">
        <f>'תקציב החברה לפיתוח 2022'!AB24</f>
        <v>ביצוע פיתוח ותשתית במתחם "מרינה לי". ביצוע שלב ב'.</v>
      </c>
      <c r="AC24" s="160">
        <f>'תקציב החברה לפיתוח 2022'!AC24</f>
        <v>742000</v>
      </c>
      <c r="AD24" s="157"/>
      <c r="AE24" s="157"/>
      <c r="AF24" s="171"/>
      <c r="AG24" s="171"/>
      <c r="AH24" s="171"/>
      <c r="AI24" s="171"/>
      <c r="AJ24" s="171"/>
      <c r="AK24" s="160"/>
      <c r="AL24" s="160"/>
      <c r="AM24" s="160"/>
      <c r="AN24" s="277"/>
      <c r="AO24" s="160"/>
      <c r="AP24" s="160"/>
      <c r="AQ24" s="160"/>
      <c r="AR24" s="160"/>
      <c r="AS24" s="160"/>
      <c r="AT24" s="268"/>
      <c r="AU24" s="160"/>
      <c r="AV24" s="272" t="s">
        <v>2182</v>
      </c>
      <c r="AW24" s="638">
        <v>23800000</v>
      </c>
      <c r="AX24" s="639">
        <f>U24-AW24</f>
        <v>-21800000</v>
      </c>
      <c r="AY24" s="161"/>
      <c r="AZ24" s="161"/>
      <c r="BA24" s="638">
        <v>10000000</v>
      </c>
      <c r="BB24" s="638">
        <f>BA24-N24</f>
        <v>8000000</v>
      </c>
      <c r="BC24" s="161">
        <v>-2000000</v>
      </c>
    </row>
    <row r="25" spans="1:55" s="5" customFormat="1" ht="60">
      <c r="A25" s="160">
        <f t="shared" si="1"/>
        <v>21</v>
      </c>
      <c r="B25" s="160">
        <f>'תקציב החברה לפיתוח 2022'!B25</f>
        <v>1670</v>
      </c>
      <c r="C25" s="289" t="str">
        <f>'תקציב החברה לפיתוח 2022'!C25</f>
        <v>פתוח מתחם הר' 1972 תחנה מרכזית</v>
      </c>
      <c r="D25" s="161">
        <f>'תקציב החברה לפיתוח 2022'!D25</f>
        <v>17800000</v>
      </c>
      <c r="E25" s="160">
        <f>'תקציב החברה לפיתוח 2022'!E25</f>
        <v>17800000</v>
      </c>
      <c r="F25" s="160">
        <f>'תקציב החברה לפיתוח 2022'!F25</f>
        <v>0</v>
      </c>
      <c r="G25" s="160">
        <f>'תקציב החברה לפיתוח 2022'!G25</f>
        <v>1550000</v>
      </c>
      <c r="H25" s="160">
        <f>'תקציב החברה לפיתוח 2022'!H25</f>
        <v>211785</v>
      </c>
      <c r="I25" s="160">
        <f>'תקציב החברה לפיתוח 2022'!I25</f>
        <v>590150</v>
      </c>
      <c r="J25" s="160">
        <f>'תקציב החברה לפיתוח 2022'!J25</f>
        <v>145182</v>
      </c>
      <c r="K25" s="160">
        <f>'תקציב החברה לפיתוח 2022'!K25</f>
        <v>735332</v>
      </c>
      <c r="L25" s="161">
        <f>'תקציב החברה לפיתוח 2022'!L25</f>
        <v>947117</v>
      </c>
      <c r="M25" s="161">
        <f>'תקציב החברה לפיתוח 2022'!M25</f>
        <v>602883</v>
      </c>
      <c r="N25" s="161">
        <f>'תקציב החברה לפיתוח 2022'!N25</f>
        <v>1000000</v>
      </c>
      <c r="O25" s="161">
        <f>'תקציב החברה לפיתוח 2022'!O25</f>
        <v>15250000</v>
      </c>
      <c r="P25" s="161">
        <f>'תקציב החברה לפיתוח 2022'!P25</f>
        <v>602883</v>
      </c>
      <c r="Q25" s="161">
        <f>'תקציב החברה לפיתוח 2022'!Q25</f>
        <v>0</v>
      </c>
      <c r="R25" s="161">
        <f>'תקציב החברה לפיתוח 2022'!R25</f>
        <v>0</v>
      </c>
      <c r="S25" s="161">
        <f>'תקציב החברה לפיתוח 2022'!S25</f>
        <v>0</v>
      </c>
      <c r="T25" s="161">
        <f>'תקציב החברה לפיתוח 2022'!T25</f>
        <v>0</v>
      </c>
      <c r="U25" s="161">
        <f>'תקציב החברה לפיתוח 2022'!U25</f>
        <v>1000000</v>
      </c>
      <c r="V25" s="161">
        <f>'תקציב החברה לפיתוח 2022'!V25</f>
        <v>1000000</v>
      </c>
      <c r="W25" s="161">
        <f>'תקציב החברה לפיתוח 2022'!W25</f>
        <v>0</v>
      </c>
      <c r="X25" s="161">
        <f>'תקציב החברה לפיתוח 2022'!X25</f>
        <v>0</v>
      </c>
      <c r="Y25" s="161">
        <f>'תקציב החברה לפיתוח 2022'!Y25</f>
        <v>0</v>
      </c>
      <c r="Z25" s="161">
        <f>'תקציב החברה לפיתוח 2022'!Z25</f>
        <v>0</v>
      </c>
      <c r="AA25" s="161">
        <f>'תקציב החברה לפיתוח 2022'!AA25</f>
        <v>0</v>
      </c>
      <c r="AB25" s="289" t="str">
        <f>'תקציב החברה לפיתוח 2022'!AB25</f>
        <v xml:space="preserve">תכנון פיתוח מתחם "ניצבא" כולל פיתוח רחוב העצמאות מבן גוריון עד קהילת ציון. </v>
      </c>
      <c r="AC25" s="160">
        <f>'תקציב החברה לפיתוח 2022'!AC25</f>
        <v>742000</v>
      </c>
      <c r="AD25" s="157" t="s">
        <v>1556</v>
      </c>
      <c r="AE25" s="157" t="s">
        <v>1436</v>
      </c>
      <c r="AF25" s="374"/>
      <c r="AG25" s="3"/>
      <c r="AH25" s="3"/>
      <c r="AI25" s="3"/>
      <c r="AJ25" s="3"/>
      <c r="AK25" s="3"/>
      <c r="AL25" s="3"/>
      <c r="AM25" s="266" t="s">
        <v>1557</v>
      </c>
      <c r="AN25" s="277"/>
      <c r="AO25" s="160"/>
      <c r="AP25" s="3"/>
      <c r="AQ25" s="3"/>
      <c r="AR25" s="3" t="s">
        <v>1558</v>
      </c>
      <c r="AS25" s="3"/>
      <c r="AT25" s="268"/>
      <c r="AU25" s="3"/>
      <c r="AV25" s="272" t="s">
        <v>2164</v>
      </c>
      <c r="AW25" s="638"/>
      <c r="AX25" s="3"/>
      <c r="AY25" s="264">
        <v>-1000000</v>
      </c>
      <c r="AZ25" s="161">
        <v>-1000000</v>
      </c>
      <c r="BA25" s="638">
        <v>6000000</v>
      </c>
      <c r="BB25" s="638">
        <f>BA25-N25</f>
        <v>5000000</v>
      </c>
      <c r="BC25" s="161">
        <v>-2000000</v>
      </c>
    </row>
    <row r="26" spans="1:55" s="5" customFormat="1" ht="40.9" customHeight="1">
      <c r="A26" s="160">
        <f t="shared" si="1"/>
        <v>22</v>
      </c>
      <c r="B26" s="160">
        <f>'תקציב החברה לפיתוח 2022'!B29</f>
        <v>1819</v>
      </c>
      <c r="C26" s="289" t="str">
        <f>'תקציב החברה לפיתוח 2022'!C29</f>
        <v>פיתוח רח' צ.ה.ל</v>
      </c>
      <c r="D26" s="161">
        <f>'תקציב החברה לפיתוח 2022'!D29</f>
        <v>18000000</v>
      </c>
      <c r="E26" s="160">
        <f>'תקציב החברה לפיתוח 2022'!E29</f>
        <v>18000000</v>
      </c>
      <c r="F26" s="160">
        <f>'תקציב החברה לפיתוח 2022'!F29</f>
        <v>0</v>
      </c>
      <c r="G26" s="160">
        <f>'תקציב החברה לפיתוח 2022'!G29</f>
        <v>16000000</v>
      </c>
      <c r="H26" s="160">
        <f>'תקציב החברה לפיתוח 2022'!H29</f>
        <v>7600833</v>
      </c>
      <c r="I26" s="160">
        <f>'תקציב החברה לפיתוח 2022'!I29</f>
        <v>0</v>
      </c>
      <c r="J26" s="160">
        <f>'תקציב החברה לפיתוח 2022'!J29</f>
        <v>950121</v>
      </c>
      <c r="K26" s="160">
        <f>'תקציב החברה לפיתוח 2022'!K29</f>
        <v>950121</v>
      </c>
      <c r="L26" s="161">
        <f>'תקציב החברה לפיתוח 2022'!L29</f>
        <v>8550954</v>
      </c>
      <c r="M26" s="161">
        <f>'תקציב החברה לפיתוח 2022'!M29</f>
        <v>9449046</v>
      </c>
      <c r="N26" s="161">
        <f>'תקציב החברה לפיתוח 2022'!N29</f>
        <v>0</v>
      </c>
      <c r="O26" s="161">
        <f>'תקציב החברה לפיתוח 2022'!O29</f>
        <v>0</v>
      </c>
      <c r="P26" s="161">
        <f>'תקציב החברה לפיתוח 2022'!P29</f>
        <v>7449046</v>
      </c>
      <c r="Q26" s="161">
        <f>'תקציב החברה לפיתוח 2022'!Q29</f>
        <v>2000000</v>
      </c>
      <c r="R26" s="161">
        <f>'תקציב החברה לפיתוח 2022'!R29</f>
        <v>0</v>
      </c>
      <c r="S26" s="161">
        <f>'תקציב החברה לפיתוח 2022'!S29</f>
        <v>2000000</v>
      </c>
      <c r="T26" s="161">
        <f>'תקציב החברה לפיתוח 2022'!T29</f>
        <v>0</v>
      </c>
      <c r="U26" s="161">
        <f>'תקציב החברה לפיתוח 2022'!U29</f>
        <v>0</v>
      </c>
      <c r="V26" s="161">
        <f>'תקציב החברה לפיתוח 2022'!V29</f>
        <v>0</v>
      </c>
      <c r="W26" s="161">
        <f>'תקציב החברה לפיתוח 2022'!W29</f>
        <v>0</v>
      </c>
      <c r="X26" s="161">
        <f>'תקציב החברה לפיתוח 2022'!X29</f>
        <v>0</v>
      </c>
      <c r="Y26" s="161">
        <f>'תקציב החברה לפיתוח 2022'!Y29</f>
        <v>0</v>
      </c>
      <c r="Z26" s="161">
        <f>'תקציב החברה לפיתוח 2022'!Z29</f>
        <v>0</v>
      </c>
      <c r="AA26" s="161">
        <f>'תקציב החברה לפיתוח 2022'!AA29</f>
        <v>0</v>
      </c>
      <c r="AB26" s="289" t="str">
        <f>'תקציב החברה לפיתוח 2022'!AB29</f>
        <v>המשך פיתוח רחוב צ.ה.ל .</v>
      </c>
      <c r="AC26" s="160">
        <f>'תקציב החברה לפיתוח 2022'!AC29</f>
        <v>742000</v>
      </c>
      <c r="AD26" s="157"/>
      <c r="AE26" s="157"/>
      <c r="AF26" s="171"/>
      <c r="AG26" s="171"/>
      <c r="AH26" s="171"/>
      <c r="AI26" s="171"/>
      <c r="AJ26" s="171"/>
      <c r="AK26" s="171"/>
      <c r="AL26" s="171"/>
      <c r="AM26" s="171"/>
      <c r="AN26" s="277"/>
      <c r="AO26" s="160"/>
      <c r="AP26" s="266"/>
      <c r="AQ26" s="171"/>
      <c r="AR26" s="171"/>
      <c r="AS26" s="171"/>
      <c r="AT26" s="268"/>
      <c r="AU26" s="171"/>
      <c r="AV26" s="357"/>
      <c r="AW26" s="640"/>
      <c r="AX26" s="171"/>
      <c r="AY26" s="161"/>
      <c r="AZ26" s="161"/>
      <c r="BA26" s="664"/>
      <c r="BB26" s="638"/>
      <c r="BC26" s="161"/>
    </row>
    <row r="27" spans="1:55" s="164" customFormat="1" ht="75">
      <c r="A27" s="160">
        <f t="shared" si="1"/>
        <v>23</v>
      </c>
      <c r="B27" s="160">
        <f>'תקציב החברה לפיתוח 2022'!B33</f>
        <v>1845</v>
      </c>
      <c r="C27" s="289" t="str">
        <f>'תקציב החברה לפיתוח 2022'!C33</f>
        <v>חניונים הר'1900 -שינוי תב"ע</v>
      </c>
      <c r="D27" s="161">
        <f>'תקציב החברה לפיתוח 2022'!D33</f>
        <v>6000000</v>
      </c>
      <c r="E27" s="160">
        <f>'תקציב החברה לפיתוח 2022'!E33</f>
        <v>6000000</v>
      </c>
      <c r="F27" s="160">
        <f>'תקציב החברה לפיתוח 2022'!F33</f>
        <v>0</v>
      </c>
      <c r="G27" s="160">
        <f>'תקציב החברה לפיתוח 2022'!G33</f>
        <v>1240000</v>
      </c>
      <c r="H27" s="160">
        <f>'תקציב החברה לפיתוח 2022'!H33</f>
        <v>792387</v>
      </c>
      <c r="I27" s="160">
        <f>'תקציב החברה לפיתוח 2022'!I33</f>
        <v>0</v>
      </c>
      <c r="J27" s="160">
        <f>'תקציב החברה לפיתוח 2022'!J33</f>
        <v>251192</v>
      </c>
      <c r="K27" s="160">
        <f>'תקציב החברה לפיתוח 2022'!K33</f>
        <v>251192</v>
      </c>
      <c r="L27" s="161">
        <f>'תקציב החברה לפיתוח 2022'!L33</f>
        <v>1043579</v>
      </c>
      <c r="M27" s="161">
        <f>'תקציב החברה לפיתוח 2022'!M33</f>
        <v>696421</v>
      </c>
      <c r="N27" s="161">
        <f>'תקציב החברה לפיתוח 2022'!N33</f>
        <v>700000</v>
      </c>
      <c r="O27" s="161">
        <f>'תקציב החברה לפיתוח 2022'!O33</f>
        <v>3560000</v>
      </c>
      <c r="P27" s="161">
        <f>'תקציב החברה לפיתוח 2022'!P33</f>
        <v>196421</v>
      </c>
      <c r="Q27" s="161">
        <f>'תקציב החברה לפיתוח 2022'!Q33</f>
        <v>500000</v>
      </c>
      <c r="R27" s="161">
        <f>'תקציב החברה לפיתוח 2022'!R33</f>
        <v>0</v>
      </c>
      <c r="S27" s="161">
        <f>'תקציב החברה לפיתוח 2022'!S33</f>
        <v>500000</v>
      </c>
      <c r="T27" s="161">
        <f>'תקציב החברה לפיתוח 2022'!T33</f>
        <v>0</v>
      </c>
      <c r="U27" s="161">
        <f>'תקציב החברה לפיתוח 2022'!U33</f>
        <v>700000</v>
      </c>
      <c r="V27" s="161">
        <f>'תקציב החברה לפיתוח 2022'!V33</f>
        <v>700000</v>
      </c>
      <c r="W27" s="161">
        <f>'תקציב החברה לפיתוח 2022'!W33</f>
        <v>0</v>
      </c>
      <c r="X27" s="161">
        <f>'תקציב החברה לפיתוח 2022'!X33</f>
        <v>0</v>
      </c>
      <c r="Y27" s="161">
        <f>'תקציב החברה לפיתוח 2022'!Y33</f>
        <v>0</v>
      </c>
      <c r="Z27" s="161">
        <f>'תקציב החברה לפיתוח 2022'!Z33</f>
        <v>0</v>
      </c>
      <c r="AA27" s="161">
        <f>'תקציב החברה לפיתוח 2022'!AA33</f>
        <v>0</v>
      </c>
      <c r="AB27" s="289" t="str">
        <f>'תקציב החברה לפיתוח 2022'!AB33</f>
        <v>תכנון במסגרת שינוי תב"ע חניונים הר' 1900. חניונים: משכית (תכנון מפורט), גלגלי הפלדה.</v>
      </c>
      <c r="AC27" s="160">
        <f>'תקציב החברה לפיתוח 2022'!AC33</f>
        <v>742000</v>
      </c>
      <c r="AD27" s="157"/>
      <c r="AE27" s="157"/>
      <c r="AF27" s="171"/>
      <c r="AG27" s="171"/>
      <c r="AH27" s="171"/>
      <c r="AI27" s="171"/>
      <c r="AJ27" s="171"/>
      <c r="AK27" s="171"/>
      <c r="AL27" s="171"/>
      <c r="AM27" s="266"/>
      <c r="AN27" s="277"/>
      <c r="AO27" s="160"/>
      <c r="AP27" s="171"/>
      <c r="AQ27" s="171"/>
      <c r="AR27" s="171"/>
      <c r="AS27" s="160" t="s">
        <v>1572</v>
      </c>
      <c r="AT27" s="268"/>
      <c r="AU27" s="160" t="s">
        <v>1573</v>
      </c>
      <c r="AV27" s="160" t="s">
        <v>2166</v>
      </c>
      <c r="AW27" s="640"/>
      <c r="AX27" s="171"/>
      <c r="AY27" s="264">
        <v>-1000000</v>
      </c>
      <c r="AZ27" s="161"/>
      <c r="BA27" s="660">
        <v>1000000</v>
      </c>
      <c r="BB27" s="638">
        <f>BA27-N27</f>
        <v>300000</v>
      </c>
      <c r="BC27" s="161"/>
    </row>
    <row r="28" spans="1:55" s="5" customFormat="1" ht="30" customHeight="1">
      <c r="A28" s="160">
        <f t="shared" si="1"/>
        <v>24</v>
      </c>
      <c r="B28" s="160">
        <f>'תקציב החברה לפיתוח 2022'!B34</f>
        <v>1882</v>
      </c>
      <c r="C28" s="289" t="str">
        <f>'תקציב החברה לפיתוח 2022'!C34</f>
        <v>פיתוח מתחם אולפני הרצליה</v>
      </c>
      <c r="D28" s="161">
        <f>'תקציב החברה לפיתוח 2022'!D34</f>
        <v>14300000</v>
      </c>
      <c r="E28" s="160">
        <f>'תקציב החברה לפיתוח 2022'!E34</f>
        <v>14300000</v>
      </c>
      <c r="F28" s="160">
        <f>'תקציב החברה לפיתוח 2022'!F34</f>
        <v>0</v>
      </c>
      <c r="G28" s="160">
        <f>'תקציב החברה לפיתוח 2022'!G34</f>
        <v>200000</v>
      </c>
      <c r="H28" s="160">
        <f>'תקציב החברה לפיתוח 2022'!H34</f>
        <v>0</v>
      </c>
      <c r="I28" s="160">
        <f>'תקציב החברה לפיתוח 2022'!I34</f>
        <v>0</v>
      </c>
      <c r="J28" s="160">
        <f>'תקציב החברה לפיתוח 2022'!J34</f>
        <v>0</v>
      </c>
      <c r="K28" s="160">
        <f>'תקציב החברה לפיתוח 2022'!K34</f>
        <v>0</v>
      </c>
      <c r="L28" s="161">
        <f>'תקציב החברה לפיתוח 2022'!L34</f>
        <v>0</v>
      </c>
      <c r="M28" s="161">
        <f>'תקציב החברה לפיתוח 2022'!M34</f>
        <v>200000</v>
      </c>
      <c r="N28" s="161">
        <f>'תקציב החברה לפיתוח 2022'!N34</f>
        <v>0</v>
      </c>
      <c r="O28" s="161">
        <f>'תקציב החברה לפיתוח 2022'!O34</f>
        <v>14100000</v>
      </c>
      <c r="P28" s="161">
        <f>'תקציב החברה לפיתוח 2022'!P34</f>
        <v>200000</v>
      </c>
      <c r="Q28" s="161">
        <f>'תקציב החברה לפיתוח 2022'!Q34</f>
        <v>0</v>
      </c>
      <c r="R28" s="161">
        <f>'תקציב החברה לפיתוח 2022'!R34</f>
        <v>0</v>
      </c>
      <c r="S28" s="161">
        <f>'תקציב החברה לפיתוח 2022'!S34</f>
        <v>0</v>
      </c>
      <c r="T28" s="161">
        <f>'תקציב החברה לפיתוח 2022'!T34</f>
        <v>0</v>
      </c>
      <c r="U28" s="161">
        <f>'תקציב החברה לפיתוח 2022'!U34</f>
        <v>0</v>
      </c>
      <c r="V28" s="161">
        <f>'תקציב החברה לפיתוח 2022'!V34</f>
        <v>0</v>
      </c>
      <c r="W28" s="161">
        <f>'תקציב החברה לפיתוח 2022'!W34</f>
        <v>0</v>
      </c>
      <c r="X28" s="161">
        <f>'תקציב החברה לפיתוח 2022'!X34</f>
        <v>0</v>
      </c>
      <c r="Y28" s="161">
        <f>'תקציב החברה לפיתוח 2022'!Y34</f>
        <v>0</v>
      </c>
      <c r="Z28" s="161">
        <f>'תקציב החברה לפיתוח 2022'!Z34</f>
        <v>0</v>
      </c>
      <c r="AA28" s="161">
        <f>'תקציב החברה לפיתוח 2022'!AA34</f>
        <v>0</v>
      </c>
      <c r="AB28" s="289" t="str">
        <f>'תקציב החברה לפיתוח 2022'!AB34</f>
        <v xml:space="preserve">פיתוח מתחם אולפני הרצליה תב"ע הר' 2180. תכנון. </v>
      </c>
      <c r="AC28" s="160">
        <f>'תקציב החברה לפיתוח 2022'!AC34</f>
        <v>742000</v>
      </c>
      <c r="AD28" s="157"/>
      <c r="AE28" s="157"/>
      <c r="AF28" s="374"/>
      <c r="AG28" s="3"/>
      <c r="AH28" s="3"/>
      <c r="AI28" s="3"/>
      <c r="AJ28" s="3"/>
      <c r="AK28" s="3"/>
      <c r="AL28" s="3"/>
      <c r="AM28" s="266"/>
      <c r="AN28" s="277"/>
      <c r="AO28" s="160"/>
      <c r="AP28" s="3"/>
      <c r="AQ28" s="3"/>
      <c r="AR28" s="3"/>
      <c r="AS28" s="3" t="s">
        <v>1574</v>
      </c>
      <c r="AT28" s="268"/>
      <c r="AU28" s="3"/>
      <c r="AV28" s="272"/>
      <c r="AW28" s="638"/>
      <c r="AX28" s="3"/>
      <c r="AY28" s="161"/>
      <c r="AZ28" s="161"/>
      <c r="BA28" s="638"/>
      <c r="BB28" s="638"/>
      <c r="BC28" s="161"/>
    </row>
    <row r="29" spans="1:55" ht="30" customHeight="1">
      <c r="A29" s="160">
        <f t="shared" si="1"/>
        <v>25</v>
      </c>
      <c r="B29" s="160">
        <f>'תקציב החברה לפיתוח 2022'!B36</f>
        <v>1904</v>
      </c>
      <c r="C29" s="289" t="str">
        <f>'תקציב החברה לפיתוח 2022'!C36</f>
        <v>קו ניקוז שער הים</v>
      </c>
      <c r="D29" s="161">
        <f>'תקציב החברה לפיתוח 2022'!D36</f>
        <v>4500000</v>
      </c>
      <c r="E29" s="160">
        <f>'תקציב החברה לפיתוח 2022'!E36</f>
        <v>5700000</v>
      </c>
      <c r="F29" s="160">
        <f>'תקציב החברה לפיתוח 2022'!F36</f>
        <v>-1200000</v>
      </c>
      <c r="G29" s="160">
        <f>'תקציב החברה לפיתוח 2022'!G36</f>
        <v>4800000</v>
      </c>
      <c r="H29" s="160">
        <f>'תקציב החברה לפיתוח 2022'!H36</f>
        <v>4325712</v>
      </c>
      <c r="I29" s="160">
        <f>'תקציב החברה לפיתוח 2022'!I36</f>
        <v>0</v>
      </c>
      <c r="J29" s="160">
        <f>'תקציב החברה לפיתוח 2022'!J36</f>
        <v>88853</v>
      </c>
      <c r="K29" s="160">
        <f>'תקציב החברה לפיתוח 2022'!K36</f>
        <v>88853</v>
      </c>
      <c r="L29" s="161">
        <f>'תקציב החברה לפיתוח 2022'!L36</f>
        <v>4414565</v>
      </c>
      <c r="M29" s="161">
        <f>'תקציב החברה לפיתוח 2022'!M36</f>
        <v>85435</v>
      </c>
      <c r="N29" s="161">
        <f>'תקציב החברה לפיתוח 2022'!N36</f>
        <v>0</v>
      </c>
      <c r="O29" s="161">
        <f>'תקציב החברה לפיתוח 2022'!O36</f>
        <v>0</v>
      </c>
      <c r="P29" s="161">
        <f>'תקציב החברה לפיתוח 2022'!P36</f>
        <v>385435</v>
      </c>
      <c r="Q29" s="161">
        <f>'תקציב החברה לפיתוח 2022'!Q36</f>
        <v>0</v>
      </c>
      <c r="R29" s="161">
        <f>'תקציב החברה לפיתוח 2022'!R36</f>
        <v>0</v>
      </c>
      <c r="S29" s="161">
        <f>'תקציב החברה לפיתוח 2022'!S36</f>
        <v>0</v>
      </c>
      <c r="T29" s="161">
        <f>'תקציב החברה לפיתוח 2022'!T36</f>
        <v>300000</v>
      </c>
      <c r="U29" s="161">
        <f>'תקציב החברה לפיתוח 2022'!U36</f>
        <v>-300000</v>
      </c>
      <c r="V29" s="161">
        <f>'תקציב החברה לפיתוח 2022'!V36</f>
        <v>-300000</v>
      </c>
      <c r="W29" s="161">
        <f>'תקציב החברה לפיתוח 2022'!W36</f>
        <v>0</v>
      </c>
      <c r="X29" s="161">
        <f>'תקציב החברה לפיתוח 2022'!X36</f>
        <v>0</v>
      </c>
      <c r="Y29" s="161">
        <f>'תקציב החברה לפיתוח 2022'!Y36</f>
        <v>0</v>
      </c>
      <c r="Z29" s="161">
        <f>'תקציב החברה לפיתוח 2022'!Z36</f>
        <v>0</v>
      </c>
      <c r="AA29" s="161">
        <f>'תקציב החברה לפיתוח 2022'!AA36</f>
        <v>0</v>
      </c>
      <c r="AB29" s="289" t="str">
        <f>'תקציב החברה לפיתוח 2022'!AB36</f>
        <v>עבודות פיתוח כולל קו ניקוז רחוב שער הים. ח-ן סופיים.</v>
      </c>
      <c r="AC29" s="160">
        <f>'תקציב החברה לפיתוח 2022'!AC36</f>
        <v>742000</v>
      </c>
      <c r="AD29" s="157" t="s">
        <v>1578</v>
      </c>
      <c r="AE29" s="157" t="s">
        <v>1579</v>
      </c>
      <c r="AF29" s="171"/>
      <c r="AG29" s="171"/>
      <c r="AH29" s="171"/>
      <c r="AI29" s="171"/>
      <c r="AJ29" s="171"/>
      <c r="AK29" s="160"/>
      <c r="AL29" s="160"/>
      <c r="AM29" s="266"/>
      <c r="AN29" s="277"/>
      <c r="AO29" s="160"/>
      <c r="AP29" s="157" t="s">
        <v>1579</v>
      </c>
      <c r="AQ29" s="160" t="s">
        <v>1580</v>
      </c>
      <c r="AR29" s="160" t="s">
        <v>1524</v>
      </c>
      <c r="AS29" s="160"/>
      <c r="AT29" s="519" t="s">
        <v>1551</v>
      </c>
      <c r="AU29" s="160" t="s">
        <v>1552</v>
      </c>
      <c r="AV29" s="633"/>
      <c r="AW29" s="638"/>
      <c r="AX29" s="160"/>
      <c r="AY29" s="161"/>
      <c r="AZ29" s="161"/>
      <c r="BA29" s="640"/>
      <c r="BB29" s="638"/>
      <c r="BC29" s="161"/>
    </row>
    <row r="30" spans="1:55" ht="30" customHeight="1">
      <c r="A30" s="160">
        <f t="shared" si="1"/>
        <v>26</v>
      </c>
      <c r="B30" s="160">
        <f>'תקציב החברה לפיתוח 2022'!B38</f>
        <v>1953</v>
      </c>
      <c r="C30" s="289" t="str">
        <f>'תקציב החברה לפיתוח 2022'!C38</f>
        <v>השקעה בתשתיות והרחבת  חניונים</v>
      </c>
      <c r="D30" s="161">
        <f>'תקציב החברה לפיתוח 2022'!D38</f>
        <v>5300000</v>
      </c>
      <c r="E30" s="160">
        <f>'תקציב החברה לפיתוח 2022'!E38</f>
        <v>5300000</v>
      </c>
      <c r="F30" s="160">
        <f>'תקציב החברה לפיתוח 2022'!F38</f>
        <v>0</v>
      </c>
      <c r="G30" s="160">
        <f>'תקציב החברה לפיתוח 2022'!G38</f>
        <v>5300000</v>
      </c>
      <c r="H30" s="160">
        <f>'תקציב החברה לפיתוח 2022'!H38</f>
        <v>4859191</v>
      </c>
      <c r="I30" s="160">
        <f>'תקציב החברה לפיתוח 2022'!I38</f>
        <v>0</v>
      </c>
      <c r="J30" s="160">
        <f>'תקציב החברה לפיתוח 2022'!J38</f>
        <v>106604</v>
      </c>
      <c r="K30" s="160">
        <f>'תקציב החברה לפיתוח 2022'!K38</f>
        <v>106604</v>
      </c>
      <c r="L30" s="161">
        <f>'תקציב החברה לפיתוח 2022'!L38</f>
        <v>4965795</v>
      </c>
      <c r="M30" s="161">
        <f>'תקציב החברה לפיתוח 2022'!M38</f>
        <v>334205</v>
      </c>
      <c r="N30" s="161">
        <f>'תקציב החברה לפיתוח 2022'!N38</f>
        <v>0</v>
      </c>
      <c r="O30" s="161">
        <f>'תקציב החברה לפיתוח 2022'!O38</f>
        <v>0</v>
      </c>
      <c r="P30" s="161">
        <f>'תקציב החברה לפיתוח 2022'!P38</f>
        <v>334205</v>
      </c>
      <c r="Q30" s="161">
        <f>'תקציב החברה לפיתוח 2022'!Q38</f>
        <v>0</v>
      </c>
      <c r="R30" s="161">
        <f>'תקציב החברה לפיתוח 2022'!R38</f>
        <v>0</v>
      </c>
      <c r="S30" s="161">
        <f>'תקציב החברה לפיתוח 2022'!S38</f>
        <v>0</v>
      </c>
      <c r="T30" s="161">
        <f>'תקציב החברה לפיתוח 2022'!T38</f>
        <v>0</v>
      </c>
      <c r="U30" s="161">
        <f>'תקציב החברה לפיתוח 2022'!U38</f>
        <v>0</v>
      </c>
      <c r="V30" s="161">
        <f>'תקציב החברה לפיתוח 2022'!V38</f>
        <v>0</v>
      </c>
      <c r="W30" s="161">
        <f>'תקציב החברה לפיתוח 2022'!W38</f>
        <v>0</v>
      </c>
      <c r="X30" s="161">
        <f>'תקציב החברה לפיתוח 2022'!X38</f>
        <v>0</v>
      </c>
      <c r="Y30" s="161">
        <f>'תקציב החברה לפיתוח 2022'!Y38</f>
        <v>0</v>
      </c>
      <c r="Z30" s="161">
        <f>'תקציב החברה לפיתוח 2022'!Z38</f>
        <v>0</v>
      </c>
      <c r="AA30" s="161">
        <f>'תקציב החברה לפיתוח 2022'!AA38</f>
        <v>0</v>
      </c>
      <c r="AB30" s="289" t="str">
        <f>'תקציב החברה לפיתוח 2022'!AB38</f>
        <v>השקעה בתשתיות ובמערכות מיכון בחניונים ברחבי העיר.</v>
      </c>
      <c r="AC30" s="160">
        <f>'תקציב החברה לפיתוח 2022'!AC38</f>
        <v>742000</v>
      </c>
      <c r="AD30" s="157"/>
      <c r="AE30" s="521" t="s">
        <v>1581</v>
      </c>
      <c r="AF30" s="171"/>
      <c r="AG30" s="171"/>
      <c r="AH30" s="171"/>
      <c r="AI30" s="171"/>
      <c r="AJ30" s="171"/>
      <c r="AK30" s="171"/>
      <c r="AL30" s="171"/>
      <c r="AM30" s="266" t="s">
        <v>1582</v>
      </c>
      <c r="AN30" s="277"/>
      <c r="AO30" s="160"/>
      <c r="AP30" s="266" t="s">
        <v>1582</v>
      </c>
      <c r="AQ30" s="171" t="s">
        <v>1583</v>
      </c>
      <c r="AR30" s="160" t="s">
        <v>1583</v>
      </c>
      <c r="AS30" s="160" t="s">
        <v>1128</v>
      </c>
      <c r="AT30" s="268"/>
      <c r="AU30" s="160" t="s">
        <v>1128</v>
      </c>
      <c r="AV30" s="272" t="s">
        <v>2201</v>
      </c>
      <c r="AW30" s="638">
        <v>5000000</v>
      </c>
      <c r="AX30" s="639">
        <f>U30-AW30</f>
        <v>-5000000</v>
      </c>
      <c r="AY30" s="161"/>
      <c r="AZ30" s="161"/>
      <c r="BA30" s="638"/>
      <c r="BB30" s="638"/>
      <c r="BC30" s="161"/>
    </row>
    <row r="31" spans="1:55" s="164" customFormat="1" ht="43.9" customHeight="1">
      <c r="A31" s="160">
        <f t="shared" si="1"/>
        <v>27</v>
      </c>
      <c r="B31" s="160">
        <f>'תקציב החברה לפיתוח 2022'!B39</f>
        <v>1954</v>
      </c>
      <c r="C31" s="289" t="str">
        <f>'תקציב החברה לפיתוח 2022'!C39</f>
        <v xml:space="preserve">חניון המוסכים-תכנון </v>
      </c>
      <c r="D31" s="161">
        <f>'תקציב החברה לפיתוח 2022'!D39</f>
        <v>2000000</v>
      </c>
      <c r="E31" s="160">
        <f>'תקציב החברה לפיתוח 2022'!E39</f>
        <v>2000000</v>
      </c>
      <c r="F31" s="160">
        <f>'תקציב החברה לפיתוח 2022'!F39</f>
        <v>0</v>
      </c>
      <c r="G31" s="160">
        <f>'תקציב החברה לפיתוח 2022'!G39</f>
        <v>2000000</v>
      </c>
      <c r="H31" s="160">
        <f>'תקציב החברה לפיתוח 2022'!H39</f>
        <v>1675077</v>
      </c>
      <c r="I31" s="160">
        <f>'תקציב החברה לפיתוח 2022'!I39</f>
        <v>0</v>
      </c>
      <c r="J31" s="160">
        <f>'תקציב החברה לפיתוח 2022'!J39</f>
        <v>193587</v>
      </c>
      <c r="K31" s="160">
        <f>'תקציב החברה לפיתוח 2022'!K39</f>
        <v>193587</v>
      </c>
      <c r="L31" s="161">
        <f>'תקציב החברה לפיתוח 2022'!L39</f>
        <v>1868664</v>
      </c>
      <c r="M31" s="161">
        <f>'תקציב החברה לפיתוח 2022'!M39</f>
        <v>131336</v>
      </c>
      <c r="N31" s="161">
        <f>'תקציב החברה לפיתוח 2022'!N39</f>
        <v>0</v>
      </c>
      <c r="O31" s="161">
        <f>'תקציב החברה לפיתוח 2022'!O39</f>
        <v>0</v>
      </c>
      <c r="P31" s="161">
        <f>'תקציב החברה לפיתוח 2022'!P39</f>
        <v>131336</v>
      </c>
      <c r="Q31" s="161">
        <f>'תקציב החברה לפיתוח 2022'!Q39</f>
        <v>0</v>
      </c>
      <c r="R31" s="161">
        <f>'תקציב החברה לפיתוח 2022'!R39</f>
        <v>0</v>
      </c>
      <c r="S31" s="161">
        <f>'תקציב החברה לפיתוח 2022'!S39</f>
        <v>0</v>
      </c>
      <c r="T31" s="161">
        <f>'תקציב החברה לפיתוח 2022'!T39</f>
        <v>0</v>
      </c>
      <c r="U31" s="161">
        <f>'תקציב החברה לפיתוח 2022'!U39</f>
        <v>0</v>
      </c>
      <c r="V31" s="161">
        <f>'תקציב החברה לפיתוח 2022'!V39</f>
        <v>0</v>
      </c>
      <c r="W31" s="161">
        <f>'תקציב החברה לפיתוח 2022'!W39</f>
        <v>0</v>
      </c>
      <c r="X31" s="161">
        <f>'תקציב החברה לפיתוח 2022'!X39</f>
        <v>0</v>
      </c>
      <c r="Y31" s="161">
        <f>'תקציב החברה לפיתוח 2022'!Y39</f>
        <v>0</v>
      </c>
      <c r="Z31" s="161">
        <f>'תקציב החברה לפיתוח 2022'!Z39</f>
        <v>0</v>
      </c>
      <c r="AA31" s="161">
        <f>'תקציב החברה לפיתוח 2022'!AA39</f>
        <v>0</v>
      </c>
      <c r="AB31" s="289" t="str">
        <f>'תקציב החברה לפיתוח 2022'!AB39</f>
        <v>המשך תכנון חניון ברח' מדינת היהודים.</v>
      </c>
      <c r="AC31" s="160">
        <f>'תקציב החברה לפיתוח 2022'!AC39</f>
        <v>742000</v>
      </c>
      <c r="AD31" s="157"/>
      <c r="AE31" s="157"/>
      <c r="AF31" s="171"/>
      <c r="AG31" s="171"/>
      <c r="AH31" s="171"/>
      <c r="AI31" s="171"/>
      <c r="AJ31" s="171"/>
      <c r="AK31" s="160"/>
      <c r="AL31" s="160"/>
      <c r="AM31" s="266"/>
      <c r="AN31" s="277"/>
      <c r="AO31" s="160"/>
      <c r="AP31" s="160"/>
      <c r="AQ31" s="160"/>
      <c r="AR31" s="160"/>
      <c r="AS31" s="160" t="s">
        <v>1584</v>
      </c>
      <c r="AT31" s="268"/>
      <c r="AU31" s="160" t="s">
        <v>1585</v>
      </c>
      <c r="AV31" s="272" t="s">
        <v>2184</v>
      </c>
      <c r="AW31" s="638">
        <v>500000</v>
      </c>
      <c r="AX31" s="639">
        <f>U31-AW31</f>
        <v>-500000</v>
      </c>
      <c r="AY31" s="161"/>
      <c r="AZ31" s="161"/>
      <c r="BA31" s="638"/>
      <c r="BB31" s="638"/>
      <c r="BC31" s="161"/>
    </row>
    <row r="32" spans="1:55" s="164" customFormat="1" ht="49.15" customHeight="1">
      <c r="A32" s="160">
        <f t="shared" si="1"/>
        <v>28</v>
      </c>
      <c r="B32" s="160">
        <f>'תקציב החברה לפיתוח 2022'!B41</f>
        <v>1961</v>
      </c>
      <c r="C32" s="289" t="str">
        <f>'תקציב החברה לפיתוח 2022'!C41</f>
        <v>גשר מעל כביש 20</v>
      </c>
      <c r="D32" s="161">
        <f>'תקציב החברה לפיתוח 2022'!D41</f>
        <v>128000000</v>
      </c>
      <c r="E32" s="160">
        <f>'תקציב החברה לפיתוח 2022'!E41</f>
        <v>128000000</v>
      </c>
      <c r="F32" s="160">
        <f>'תקציב החברה לפיתוח 2022'!F41</f>
        <v>0</v>
      </c>
      <c r="G32" s="160">
        <f>'תקציב החברה לפיתוח 2022'!G41</f>
        <v>500000</v>
      </c>
      <c r="H32" s="160">
        <f>'תקציב החברה לפיתוח 2022'!H41</f>
        <v>0</v>
      </c>
      <c r="I32" s="160">
        <f>'תקציב החברה לפיתוח 2022'!I41</f>
        <v>0</v>
      </c>
      <c r="J32" s="160">
        <f>'תקציב החברה לפיתוח 2022'!J41</f>
        <v>0</v>
      </c>
      <c r="K32" s="160">
        <f>'תקציב החברה לפיתוח 2022'!K41</f>
        <v>0</v>
      </c>
      <c r="L32" s="161">
        <f>'תקציב החברה לפיתוח 2022'!L41</f>
        <v>0</v>
      </c>
      <c r="M32" s="161">
        <f>'תקציב החברה לפיתוח 2022'!M41</f>
        <v>500000</v>
      </c>
      <c r="N32" s="161">
        <f>'תקציב החברה לפיתוח 2022'!N41</f>
        <v>500000</v>
      </c>
      <c r="O32" s="161">
        <f>'תקציב החברה לפיתוח 2022'!O41</f>
        <v>127000000</v>
      </c>
      <c r="P32" s="161">
        <f>'תקציב החברה לפיתוח 2022'!P41</f>
        <v>500000</v>
      </c>
      <c r="Q32" s="161">
        <f>'תקציב החברה לפיתוח 2022'!Q41</f>
        <v>0</v>
      </c>
      <c r="R32" s="161">
        <f>'תקציב החברה לפיתוח 2022'!R41</f>
        <v>0</v>
      </c>
      <c r="S32" s="161">
        <f>'תקציב החברה לפיתוח 2022'!S41</f>
        <v>0</v>
      </c>
      <c r="T32" s="161">
        <f>'תקציב החברה לפיתוח 2022'!T41</f>
        <v>0</v>
      </c>
      <c r="U32" s="161">
        <f>'תקציב החברה לפיתוח 2022'!U41</f>
        <v>500000</v>
      </c>
      <c r="V32" s="161">
        <f>'תקציב החברה לפיתוח 2022'!V41</f>
        <v>500000</v>
      </c>
      <c r="W32" s="161">
        <f>'תקציב החברה לפיתוח 2022'!W41</f>
        <v>0</v>
      </c>
      <c r="X32" s="161">
        <f>'תקציב החברה לפיתוח 2022'!X41</f>
        <v>0</v>
      </c>
      <c r="Y32" s="161">
        <f>'תקציב החברה לפיתוח 2022'!Y41</f>
        <v>0</v>
      </c>
      <c r="Z32" s="161">
        <f>'תקציב החברה לפיתוח 2022'!Z41</f>
        <v>0</v>
      </c>
      <c r="AA32" s="161">
        <f>'תקציב החברה לפיתוח 2022'!AA41</f>
        <v>0</v>
      </c>
      <c r="AB32" s="289" t="str">
        <f>'תקציב החברה לפיתוח 2022'!AB41</f>
        <v>פיתוח הגשר מעל כביש 20 איזור גליל ים.  ב - 2022 : תכנון. בשלבי בחירת מנהל פרויקט.</v>
      </c>
      <c r="AC32" s="160">
        <f>'תקציב החברה לפיתוח 2022'!AC41</f>
        <v>742000</v>
      </c>
      <c r="AD32" s="157"/>
      <c r="AE32" s="157" t="s">
        <v>1593</v>
      </c>
      <c r="AF32" s="171"/>
      <c r="AG32" s="171"/>
      <c r="AH32" s="171"/>
      <c r="AI32" s="171"/>
      <c r="AJ32" s="171"/>
      <c r="AK32" s="171"/>
      <c r="AL32" s="171"/>
      <c r="AM32" s="266" t="s">
        <v>1594</v>
      </c>
      <c r="AN32" s="277"/>
      <c r="AO32" s="160"/>
      <c r="AP32" s="266" t="s">
        <v>1594</v>
      </c>
      <c r="AQ32" s="160" t="s">
        <v>1595</v>
      </c>
      <c r="AR32" s="160" t="s">
        <v>1596</v>
      </c>
      <c r="AS32" s="160" t="s">
        <v>1597</v>
      </c>
      <c r="AT32" s="268"/>
      <c r="AU32" s="160" t="s">
        <v>1906</v>
      </c>
      <c r="AV32" s="272" t="s">
        <v>2168</v>
      </c>
      <c r="AW32" s="640"/>
      <c r="AX32" s="171"/>
      <c r="AY32" s="161"/>
      <c r="AZ32" s="161"/>
      <c r="BA32" s="638"/>
      <c r="BB32" s="638"/>
      <c r="BC32" s="161"/>
    </row>
    <row r="33" spans="1:55" ht="42" customHeight="1">
      <c r="A33" s="160">
        <f t="shared" si="1"/>
        <v>29</v>
      </c>
      <c r="B33" s="160">
        <f>'תקציב החברה לפיתוח 2022'!B44</f>
        <v>2002</v>
      </c>
      <c r="C33" s="289" t="str">
        <f>'תקציב החברה לפיתוח 2022'!C44</f>
        <v>הכשרת חניון העוגן</v>
      </c>
      <c r="D33" s="161">
        <f>'תקציב החברה לפיתוח 2022'!D44</f>
        <v>1500000</v>
      </c>
      <c r="E33" s="160">
        <f>'תקציב החברה לפיתוח 2022'!E44</f>
        <v>1500000</v>
      </c>
      <c r="F33" s="160">
        <f>'תקציב החברה לפיתוח 2022'!F44</f>
        <v>0</v>
      </c>
      <c r="G33" s="160">
        <f>'תקציב החברה לפיתוח 2022'!G44</f>
        <v>400000</v>
      </c>
      <c r="H33" s="160">
        <f>'תקציב החברה לפיתוח 2022'!H44</f>
        <v>133342</v>
      </c>
      <c r="I33" s="160">
        <f>'תקציב החברה לפיתוח 2022'!I44</f>
        <v>0</v>
      </c>
      <c r="J33" s="160">
        <f>'תקציב החברה לפיתוח 2022'!J44</f>
        <v>0</v>
      </c>
      <c r="K33" s="160">
        <f>'תקציב החברה לפיתוח 2022'!K44</f>
        <v>0</v>
      </c>
      <c r="L33" s="161">
        <f>'תקציב החברה לפיתוח 2022'!L44</f>
        <v>133342</v>
      </c>
      <c r="M33" s="161">
        <f>'תקציב החברה לפיתוח 2022'!M44</f>
        <v>266658</v>
      </c>
      <c r="N33" s="161">
        <f>'תקציב החברה לפיתוח 2022'!N44</f>
        <v>1100000</v>
      </c>
      <c r="O33" s="161">
        <f>'תקציב החברה לפיתוח 2022'!O44</f>
        <v>0</v>
      </c>
      <c r="P33" s="161">
        <f>'תקציב החברה לפיתוח 2022'!P44</f>
        <v>266658</v>
      </c>
      <c r="Q33" s="161">
        <f>'תקציב החברה לפיתוח 2022'!Q44</f>
        <v>0</v>
      </c>
      <c r="R33" s="161">
        <f>'תקציב החברה לפיתוח 2022'!R44</f>
        <v>0</v>
      </c>
      <c r="S33" s="161">
        <f>'תקציב החברה לפיתוח 2022'!S44</f>
        <v>0</v>
      </c>
      <c r="T33" s="161">
        <f>'תקציב החברה לפיתוח 2022'!T44</f>
        <v>0</v>
      </c>
      <c r="U33" s="161">
        <f>'תקציב החברה לפיתוח 2022'!U44</f>
        <v>1100000</v>
      </c>
      <c r="V33" s="161">
        <f>'תקציב החברה לפיתוח 2022'!V44</f>
        <v>1100000</v>
      </c>
      <c r="W33" s="161">
        <f>'תקציב החברה לפיתוח 2022'!W44</f>
        <v>0</v>
      </c>
      <c r="X33" s="161">
        <f>'תקציב החברה לפיתוח 2022'!X44</f>
        <v>0</v>
      </c>
      <c r="Y33" s="161">
        <f>'תקציב החברה לפיתוח 2022'!Y44</f>
        <v>0</v>
      </c>
      <c r="Z33" s="161">
        <f>'תקציב החברה לפיתוח 2022'!Z44</f>
        <v>0</v>
      </c>
      <c r="AA33" s="161">
        <f>'תקציב החברה לפיתוח 2022'!AA44</f>
        <v>0</v>
      </c>
      <c r="AB33" s="289" t="str">
        <f>'תקציב החברה לפיתוח 2022'!AB44</f>
        <v>הכשרת חניון העוגן במרינה לחניון בתשלום. ממתין להיתר.</v>
      </c>
      <c r="AC33" s="160">
        <f>'תקציב החברה לפיתוח 2022'!AC44</f>
        <v>742000</v>
      </c>
      <c r="AD33" s="157"/>
      <c r="AE33" s="520" t="s">
        <v>1605</v>
      </c>
      <c r="AF33" s="171"/>
      <c r="AG33" s="171"/>
      <c r="AH33" s="171"/>
      <c r="AI33" s="171"/>
      <c r="AJ33" s="171"/>
      <c r="AK33" s="277"/>
      <c r="AL33" s="277"/>
      <c r="AM33" s="515" t="s">
        <v>1606</v>
      </c>
      <c r="AN33" s="160" t="s">
        <v>1607</v>
      </c>
      <c r="AO33" s="160"/>
      <c r="AP33" s="160" t="s">
        <v>1607</v>
      </c>
      <c r="AQ33" s="277"/>
      <c r="AR33" s="160"/>
      <c r="AS33" s="160"/>
      <c r="AT33" s="268"/>
      <c r="AU33" s="160"/>
      <c r="AV33" s="272"/>
      <c r="AW33" s="641"/>
      <c r="AX33" s="277"/>
      <c r="AY33" s="161"/>
      <c r="AZ33" s="161"/>
      <c r="BA33" s="638"/>
      <c r="BB33" s="638"/>
      <c r="BC33" s="161"/>
    </row>
    <row r="34" spans="1:55" s="5" customFormat="1" ht="45">
      <c r="A34" s="160">
        <f t="shared" si="1"/>
        <v>30</v>
      </c>
      <c r="B34" s="160">
        <f>'תקציב החברה לפיתוח 2022'!B45</f>
        <v>2008</v>
      </c>
      <c r="C34" s="289" t="str">
        <f>'תקציב החברה לפיתוח 2022'!C45</f>
        <v>שדרות ה - 93 הבאר</v>
      </c>
      <c r="D34" s="161">
        <f>'תקציב החברה לפיתוח 2022'!D45</f>
        <v>2500000</v>
      </c>
      <c r="E34" s="160">
        <f>'תקציב החברה לפיתוח 2022'!E45</f>
        <v>2500000</v>
      </c>
      <c r="F34" s="160">
        <f>'תקציב החברה לפיתוח 2022'!F45</f>
        <v>0</v>
      </c>
      <c r="G34" s="160">
        <f>'תקציב החברה לפיתוח 2022'!G45</f>
        <v>250000</v>
      </c>
      <c r="H34" s="160">
        <f>'תקציב החברה לפיתוח 2022'!H45</f>
        <v>0</v>
      </c>
      <c r="I34" s="160">
        <f>'תקציב החברה לפיתוח 2022'!I45</f>
        <v>0</v>
      </c>
      <c r="J34" s="160">
        <f>'תקציב החברה לפיתוח 2022'!J45</f>
        <v>0</v>
      </c>
      <c r="K34" s="160">
        <f>'תקציב החברה לפיתוח 2022'!K45</f>
        <v>0</v>
      </c>
      <c r="L34" s="161">
        <f>'תקציב החברה לפיתוח 2022'!L45</f>
        <v>0</v>
      </c>
      <c r="M34" s="161">
        <f>'תקציב החברה לפיתוח 2022'!M45</f>
        <v>250000</v>
      </c>
      <c r="N34" s="161">
        <f>'תקציב החברה לפיתוח 2022'!N45</f>
        <v>1000000</v>
      </c>
      <c r="O34" s="161">
        <f>'תקציב החברה לפיתוח 2022'!O45</f>
        <v>1250000</v>
      </c>
      <c r="P34" s="161">
        <f>'תקציב החברה לפיתוח 2022'!P45</f>
        <v>250000</v>
      </c>
      <c r="Q34" s="161">
        <f>'תקציב החברה לפיתוח 2022'!Q45</f>
        <v>0</v>
      </c>
      <c r="R34" s="161">
        <f>'תקציב החברה לפיתוח 2022'!R45</f>
        <v>0</v>
      </c>
      <c r="S34" s="161">
        <f>'תקציב החברה לפיתוח 2022'!S45</f>
        <v>0</v>
      </c>
      <c r="T34" s="161">
        <f>'תקציב החברה לפיתוח 2022'!T45</f>
        <v>0</v>
      </c>
      <c r="U34" s="161">
        <f>'תקציב החברה לפיתוח 2022'!U45</f>
        <v>1000000</v>
      </c>
      <c r="V34" s="161">
        <f>'תקציב החברה לפיתוח 2022'!V45</f>
        <v>1000000</v>
      </c>
      <c r="W34" s="161">
        <f>'תקציב החברה לפיתוח 2022'!W45</f>
        <v>0</v>
      </c>
      <c r="X34" s="161">
        <f>'תקציב החברה לפיתוח 2022'!X45</f>
        <v>0</v>
      </c>
      <c r="Y34" s="161">
        <f>'תקציב החברה לפיתוח 2022'!Y45</f>
        <v>0</v>
      </c>
      <c r="Z34" s="161">
        <f>'תקציב החברה לפיתוח 2022'!Z45</f>
        <v>0</v>
      </c>
      <c r="AA34" s="161">
        <f>'תקציב החברה לפיתוח 2022'!AA45</f>
        <v>0</v>
      </c>
      <c r="AB34" s="289" t="str">
        <f>'תקציב החברה לפיתוח 2022'!AB45</f>
        <v>הסדרת הסמטה  המקשרת בין רח' אליעזר קפלן במזרח לרח' וינגייט  במערב.</v>
      </c>
      <c r="AC34" s="160">
        <f>'תקציב החברה לפיתוח 2022'!AC45</f>
        <v>742000</v>
      </c>
      <c r="AD34" s="157"/>
      <c r="AE34" s="157"/>
      <c r="AF34" s="171"/>
      <c r="AG34" s="171"/>
      <c r="AH34" s="171"/>
      <c r="AI34" s="171"/>
      <c r="AJ34" s="171"/>
      <c r="AK34" s="277"/>
      <c r="AL34" s="277"/>
      <c r="AM34" s="277"/>
      <c r="AN34" s="277"/>
      <c r="AO34" s="160"/>
      <c r="AP34" s="277"/>
      <c r="AQ34" s="277"/>
      <c r="AR34" s="160"/>
      <c r="AS34" s="160" t="s">
        <v>1128</v>
      </c>
      <c r="AT34" s="268"/>
      <c r="AU34" s="160" t="s">
        <v>1128</v>
      </c>
      <c r="AV34" s="272"/>
      <c r="AW34" s="641"/>
      <c r="AX34" s="277"/>
      <c r="AY34" s="161">
        <v>-1000000</v>
      </c>
      <c r="AZ34" s="161">
        <v>-1000000</v>
      </c>
      <c r="BA34" s="638"/>
      <c r="BB34" s="638"/>
      <c r="BC34" s="161"/>
    </row>
    <row r="35" spans="1:55" ht="90">
      <c r="A35" s="160">
        <f t="shared" si="1"/>
        <v>31</v>
      </c>
      <c r="B35" s="160">
        <f>'תקציב החברה לפיתוח 2022'!B46</f>
        <v>2009</v>
      </c>
      <c r="C35" s="289" t="str">
        <f>'תקציב החברה לפיתוח 2022'!C46</f>
        <v>סמטת ניסנוב</v>
      </c>
      <c r="D35" s="161">
        <f>'תקציב החברה לפיתוח 2022'!D46</f>
        <v>13700000</v>
      </c>
      <c r="E35" s="160">
        <f>'תקציב החברה לפיתוח 2022'!E46</f>
        <v>13700000</v>
      </c>
      <c r="F35" s="160">
        <f>'תקציב החברה לפיתוח 2022'!F46</f>
        <v>0</v>
      </c>
      <c r="G35" s="160">
        <f>'תקציב החברה לפיתוח 2022'!G46</f>
        <v>2200000</v>
      </c>
      <c r="H35" s="160">
        <f>'תקציב החברה לפיתוח 2022'!H46</f>
        <v>20187</v>
      </c>
      <c r="I35" s="160">
        <f>'תקציב החברה לפיתוח 2022'!I46</f>
        <v>258309</v>
      </c>
      <c r="J35" s="160">
        <f>'תקציב החברה לפיתוח 2022'!J46</f>
        <v>44954</v>
      </c>
      <c r="K35" s="160">
        <f>'תקציב החברה לפיתוח 2022'!K46</f>
        <v>303263</v>
      </c>
      <c r="L35" s="161">
        <f>'תקציב החברה לפיתוח 2022'!L46</f>
        <v>323450</v>
      </c>
      <c r="M35" s="161">
        <f>'תקציב החברה לפיתוח 2022'!M46</f>
        <v>1876550</v>
      </c>
      <c r="N35" s="161">
        <f>'תקציב החברה לפיתוח 2022'!N46</f>
        <v>1000000</v>
      </c>
      <c r="O35" s="161">
        <f>'תקציב החברה לפיתוח 2022'!O46</f>
        <v>10500000</v>
      </c>
      <c r="P35" s="161">
        <f>'תקציב החברה לפיתוח 2022'!P46</f>
        <v>1876550</v>
      </c>
      <c r="Q35" s="161">
        <f>'תקציב החברה לפיתוח 2022'!Q46</f>
        <v>0</v>
      </c>
      <c r="R35" s="161">
        <f>'תקציב החברה לפיתוח 2022'!R46</f>
        <v>0</v>
      </c>
      <c r="S35" s="161">
        <f>'תקציב החברה לפיתוח 2022'!S46</f>
        <v>0</v>
      </c>
      <c r="T35" s="161">
        <f>'תקציב החברה לפיתוח 2022'!T46</f>
        <v>0</v>
      </c>
      <c r="U35" s="161">
        <f>'תקציב החברה לפיתוח 2022'!U46</f>
        <v>1000000</v>
      </c>
      <c r="V35" s="161">
        <f>'תקציב החברה לפיתוח 2022'!V46</f>
        <v>1000000</v>
      </c>
      <c r="W35" s="161">
        <f>'תקציב החברה לפיתוח 2022'!W46</f>
        <v>0</v>
      </c>
      <c r="X35" s="161">
        <f>'תקציב החברה לפיתוח 2022'!X46</f>
        <v>0</v>
      </c>
      <c r="Y35" s="161">
        <f>'תקציב החברה לפיתוח 2022'!Y46</f>
        <v>0</v>
      </c>
      <c r="Z35" s="161">
        <f>'תקציב החברה לפיתוח 2022'!Z46</f>
        <v>0</v>
      </c>
      <c r="AA35" s="161">
        <f>'תקציב החברה לפיתוח 2022'!AA46</f>
        <v>0</v>
      </c>
      <c r="AB35" s="289" t="str">
        <f>'תקציב החברה לפיתוח 2022'!AB46</f>
        <v>פיתוח סימטה שהפכה לדרך במסגרת תב"ע 2029 בנווה עמל. העבודות כוללות החלפת תשתיות תת קרקעיות,הריסת מבנה והתחברות לרח' כצלנסון.</v>
      </c>
      <c r="AC35" s="160">
        <f>'תקציב החברה לפיתוח 2022'!AC46</f>
        <v>742000</v>
      </c>
      <c r="AD35" s="157"/>
      <c r="AE35" s="157" t="s">
        <v>1608</v>
      </c>
      <c r="AF35" s="374"/>
      <c r="AG35" s="3"/>
      <c r="AH35" s="3"/>
      <c r="AI35" s="3"/>
      <c r="AJ35" s="3"/>
      <c r="AK35" s="3"/>
      <c r="AL35" s="3"/>
      <c r="AM35" s="3"/>
      <c r="AN35" s="277"/>
      <c r="AO35" s="160"/>
      <c r="AP35" s="157" t="s">
        <v>1609</v>
      </c>
      <c r="AQ35" s="3" t="s">
        <v>1610</v>
      </c>
      <c r="AR35" s="160" t="s">
        <v>1610</v>
      </c>
      <c r="AS35" s="160" t="s">
        <v>1611</v>
      </c>
      <c r="AT35" s="268"/>
      <c r="AU35" s="160" t="s">
        <v>1610</v>
      </c>
      <c r="AV35" s="272" t="s">
        <v>2170</v>
      </c>
      <c r="AW35" s="638"/>
      <c r="AX35" s="3"/>
      <c r="AY35" s="264">
        <v>-5000000</v>
      </c>
      <c r="AZ35" s="161">
        <v>-2000000</v>
      </c>
      <c r="BA35" s="638">
        <v>7000000</v>
      </c>
      <c r="BB35" s="638">
        <f>BA35-N35</f>
        <v>6000000</v>
      </c>
      <c r="BC35" s="161">
        <v>-1000000</v>
      </c>
    </row>
    <row r="36" spans="1:55" s="164" customFormat="1" ht="45">
      <c r="A36" s="160">
        <f t="shared" si="1"/>
        <v>32</v>
      </c>
      <c r="B36" s="160">
        <f>'תקציב החברה לפיתוח 2022'!B47</f>
        <v>2010</v>
      </c>
      <c r="C36" s="289" t="str">
        <f>'תקציב החברה לפיתוח 2022'!C47</f>
        <v>יהודה הנשיא רבי עקיבא רזיאל</v>
      </c>
      <c r="D36" s="161">
        <f>'תקציב החברה לפיתוח 2022'!D47</f>
        <v>8000000</v>
      </c>
      <c r="E36" s="160">
        <f>'תקציב החברה לפיתוח 2022'!E47</f>
        <v>8000000</v>
      </c>
      <c r="F36" s="160">
        <f>'תקציב החברה לפיתוח 2022'!F47</f>
        <v>0</v>
      </c>
      <c r="G36" s="160">
        <f>'תקציב החברה לפיתוח 2022'!G47</f>
        <v>0</v>
      </c>
      <c r="H36" s="160">
        <f>'תקציב החברה לפיתוח 2022'!H47</f>
        <v>0</v>
      </c>
      <c r="I36" s="160">
        <f>'תקציב החברה לפיתוח 2022'!I47</f>
        <v>0</v>
      </c>
      <c r="J36" s="160">
        <f>'תקציב החברה לפיתוח 2022'!J47</f>
        <v>0</v>
      </c>
      <c r="K36" s="160">
        <f>'תקציב החברה לפיתוח 2022'!K47</f>
        <v>0</v>
      </c>
      <c r="L36" s="161">
        <f>'תקציב החברה לפיתוח 2022'!L47</f>
        <v>0</v>
      </c>
      <c r="M36" s="161">
        <f>'תקציב החברה לפיתוח 2022'!M47</f>
        <v>0</v>
      </c>
      <c r="N36" s="161">
        <f>'תקציב החברה לפיתוח 2022'!N47</f>
        <v>0</v>
      </c>
      <c r="O36" s="161">
        <f>'תקציב החברה לפיתוח 2022'!O47</f>
        <v>8000000</v>
      </c>
      <c r="P36" s="161">
        <f>'תקציב החברה לפיתוח 2022'!P47</f>
        <v>0</v>
      </c>
      <c r="Q36" s="161">
        <f>'תקציב החברה לפיתוח 2022'!Q47</f>
        <v>0</v>
      </c>
      <c r="R36" s="161">
        <f>'תקציב החברה לפיתוח 2022'!R47</f>
        <v>0</v>
      </c>
      <c r="S36" s="161">
        <f>'תקציב החברה לפיתוח 2022'!S47</f>
        <v>0</v>
      </c>
      <c r="T36" s="161">
        <f>'תקציב החברה לפיתוח 2022'!T47</f>
        <v>0</v>
      </c>
      <c r="U36" s="161">
        <f>'תקציב החברה לפיתוח 2022'!U47</f>
        <v>0</v>
      </c>
      <c r="V36" s="161">
        <f>'תקציב החברה לפיתוח 2022'!V47</f>
        <v>0</v>
      </c>
      <c r="W36" s="161">
        <f>'תקציב החברה לפיתוח 2022'!W47</f>
        <v>0</v>
      </c>
      <c r="X36" s="161">
        <f>'תקציב החברה לפיתוח 2022'!X47</f>
        <v>0</v>
      </c>
      <c r="Y36" s="161">
        <f>'תקציב החברה לפיתוח 2022'!Y47</f>
        <v>0</v>
      </c>
      <c r="Z36" s="161">
        <f>'תקציב החברה לפיתוח 2022'!Z47</f>
        <v>0</v>
      </c>
      <c r="AA36" s="161">
        <f>'תקציב החברה לפיתוח 2022'!AA47</f>
        <v>0</v>
      </c>
      <c r="AB36" s="289" t="str">
        <f>'תקציב החברה לפיתוח 2022'!AB47</f>
        <v xml:space="preserve">השלמת תכנון וביצוע פיתוח קטע הרחוב מרבי עקיבא עד דוד רזיאל. </v>
      </c>
      <c r="AC36" s="160">
        <f>'תקציב החברה לפיתוח 2022'!AC47</f>
        <v>742000</v>
      </c>
      <c r="AD36" s="157" t="s">
        <v>1612</v>
      </c>
      <c r="AE36" s="157" t="s">
        <v>1613</v>
      </c>
      <c r="AF36" s="171"/>
      <c r="AG36" s="171"/>
      <c r="AH36" s="171"/>
      <c r="AI36" s="171"/>
      <c r="AJ36" s="171"/>
      <c r="AK36" s="3"/>
      <c r="AL36" s="3"/>
      <c r="AM36" s="3"/>
      <c r="AN36" s="277"/>
      <c r="AO36" s="160"/>
      <c r="AP36" s="157" t="s">
        <v>1613</v>
      </c>
      <c r="AQ36" s="3">
        <v>2022</v>
      </c>
      <c r="AR36" s="160" t="s">
        <v>1614</v>
      </c>
      <c r="AS36" s="160" t="s">
        <v>1128</v>
      </c>
      <c r="AT36" s="268"/>
      <c r="AU36" s="160" t="s">
        <v>1615</v>
      </c>
      <c r="AV36" s="272" t="s">
        <v>2158</v>
      </c>
      <c r="AW36" s="638"/>
      <c r="AX36" s="3"/>
      <c r="AY36" s="264">
        <v>-4000000</v>
      </c>
      <c r="AZ36" s="161"/>
      <c r="BA36" s="638">
        <v>5000000</v>
      </c>
      <c r="BB36" s="638">
        <f>BA36-N36</f>
        <v>5000000</v>
      </c>
      <c r="BC36" s="161">
        <v>-1000000</v>
      </c>
    </row>
    <row r="37" spans="1:55" ht="60">
      <c r="A37" s="160">
        <f t="shared" si="1"/>
        <v>33</v>
      </c>
      <c r="B37" s="160">
        <f>'תקציב החברה לפיתוח 2022'!B48</f>
        <v>2011</v>
      </c>
      <c r="C37" s="289" t="str">
        <f>'תקציב החברה לפיתוח 2022'!C48</f>
        <v xml:space="preserve">הקמת חניון מרינה לי </v>
      </c>
      <c r="D37" s="161">
        <f>'תקציב החברה לפיתוח 2022'!D48</f>
        <v>80000000</v>
      </c>
      <c r="E37" s="160">
        <f>'תקציב החברה לפיתוח 2022'!E48</f>
        <v>80000000</v>
      </c>
      <c r="F37" s="160">
        <f>'תקציב החברה לפיתוח 2022'!F48</f>
        <v>0</v>
      </c>
      <c r="G37" s="160">
        <f>'תקציב החברה לפיתוח 2022'!G48</f>
        <v>4562673</v>
      </c>
      <c r="H37" s="160">
        <f>'תקציב החברה לפיתוח 2022'!H48</f>
        <v>2168048</v>
      </c>
      <c r="I37" s="160">
        <f>'תקציב החברה לפיתוח 2022'!I48</f>
        <v>0</v>
      </c>
      <c r="J37" s="160">
        <f>'תקציב החברה לפיתוח 2022'!J48</f>
        <v>325399</v>
      </c>
      <c r="K37" s="160">
        <f>'תקציב החברה לפיתוח 2022'!K48</f>
        <v>325399</v>
      </c>
      <c r="L37" s="161">
        <f>'תקציב החברה לפיתוח 2022'!L48</f>
        <v>2493447</v>
      </c>
      <c r="M37" s="161">
        <f>'תקציב החברה לפיתוח 2022'!M48</f>
        <v>20069226</v>
      </c>
      <c r="N37" s="161">
        <f>'תקציב החברה לפיתוח 2022'!N48</f>
        <v>8000000</v>
      </c>
      <c r="O37" s="161">
        <f>'תקציב החברה לפיתוח 2022'!O48</f>
        <v>49437327</v>
      </c>
      <c r="P37" s="161">
        <f>'תקציב החברה לפיתוח 2022'!P48</f>
        <v>2069226</v>
      </c>
      <c r="Q37" s="161">
        <f>'תקציב החברה לפיתוח 2022'!Q48</f>
        <v>18000000</v>
      </c>
      <c r="R37" s="161">
        <f>'תקציב החברה לפיתוח 2022'!R48</f>
        <v>0</v>
      </c>
      <c r="S37" s="161">
        <f>'תקציב החברה לפיתוח 2022'!S48</f>
        <v>18000000</v>
      </c>
      <c r="T37" s="161">
        <f>'תקציב החברה לפיתוח 2022'!T48</f>
        <v>0</v>
      </c>
      <c r="U37" s="161">
        <f>'תקציב החברה לפיתוח 2022'!U48</f>
        <v>8000000</v>
      </c>
      <c r="V37" s="161">
        <f>'תקציב החברה לפיתוח 2022'!V48</f>
        <v>8000000</v>
      </c>
      <c r="W37" s="161">
        <f>'תקציב החברה לפיתוח 2022'!W48</f>
        <v>0</v>
      </c>
      <c r="X37" s="161">
        <f>'תקציב החברה לפיתוח 2022'!X48</f>
        <v>0</v>
      </c>
      <c r="Y37" s="161">
        <f>'תקציב החברה לפיתוח 2022'!Y48</f>
        <v>0</v>
      </c>
      <c r="Z37" s="161">
        <f>'תקציב החברה לפיתוח 2022'!Z48</f>
        <v>0</v>
      </c>
      <c r="AA37" s="161">
        <f>'תקציב החברה לפיתוח 2022'!AA48</f>
        <v>0</v>
      </c>
      <c r="AB37" s="289" t="str">
        <f>'תקציב החברה לפיתוח 2022'!AB48</f>
        <v xml:space="preserve">הקמת החניון מתחת לשצ"פ במתחם המרינה לי. </v>
      </c>
      <c r="AC37" s="160">
        <f>'תקציב החברה לפיתוח 2022'!AC48</f>
        <v>742000</v>
      </c>
      <c r="AD37" s="157"/>
      <c r="AE37" s="157" t="s">
        <v>1616</v>
      </c>
      <c r="AF37" s="171"/>
      <c r="AG37" s="171"/>
      <c r="AH37" s="171"/>
      <c r="AI37" s="171"/>
      <c r="AJ37" s="171"/>
      <c r="AK37" s="3"/>
      <c r="AL37" s="3"/>
      <c r="AM37" s="3"/>
      <c r="AN37" s="277"/>
      <c r="AO37" s="160"/>
      <c r="AP37" s="3"/>
      <c r="AQ37" s="3"/>
      <c r="AR37" s="160"/>
      <c r="AS37" s="160"/>
      <c r="AT37" s="268"/>
      <c r="AU37" s="160"/>
      <c r="AV37" s="272"/>
      <c r="AW37" s="638"/>
      <c r="AX37" s="3"/>
      <c r="AY37" s="264">
        <v>-17000000</v>
      </c>
      <c r="AZ37" s="161">
        <v>-2000000</v>
      </c>
      <c r="BA37" s="638">
        <v>22000000</v>
      </c>
      <c r="BB37" s="638">
        <f>BA37-N37</f>
        <v>14000000</v>
      </c>
      <c r="BC37" s="161">
        <v>-5000000</v>
      </c>
    </row>
    <row r="38" spans="1:55" ht="39.6" customHeight="1">
      <c r="A38" s="160">
        <f t="shared" si="1"/>
        <v>34</v>
      </c>
      <c r="B38" s="160">
        <f>'תקציב החברה לפיתוח 2022'!B51</f>
        <v>2018</v>
      </c>
      <c r="C38" s="289" t="str">
        <f>'תקציב החברה לפיתוח 2022'!C51</f>
        <v>החלפת עמודי תאורה באיזור תעשיה</v>
      </c>
      <c r="D38" s="161">
        <f>'תקציב החברה לפיתוח 2022'!D51</f>
        <v>6600000</v>
      </c>
      <c r="E38" s="160">
        <f>'תקציב החברה לפיתוח 2022'!E51</f>
        <v>6600000</v>
      </c>
      <c r="F38" s="160">
        <f>'תקציב החברה לפיתוח 2022'!F51</f>
        <v>0</v>
      </c>
      <c r="G38" s="160">
        <f>'תקציב החברה לפיתוח 2022'!G51</f>
        <v>6600000</v>
      </c>
      <c r="H38" s="160">
        <f>'תקציב החברה לפיתוח 2022'!H51</f>
        <v>2716605</v>
      </c>
      <c r="I38" s="160">
        <f>'תקציב החברה לפיתוח 2022'!I51</f>
        <v>0</v>
      </c>
      <c r="J38" s="160">
        <f>'תקציב החברה לפיתוח 2022'!J51</f>
        <v>151387</v>
      </c>
      <c r="K38" s="160">
        <f>'תקציב החברה לפיתוח 2022'!K51</f>
        <v>151387</v>
      </c>
      <c r="L38" s="161">
        <f>'תקציב החברה לפיתוח 2022'!L51</f>
        <v>2867992</v>
      </c>
      <c r="M38" s="161">
        <f>'תקציב החברה לפיתוח 2022'!M51</f>
        <v>3732008</v>
      </c>
      <c r="N38" s="161">
        <f>'תקציב החברה לפיתוח 2022'!N51</f>
        <v>0</v>
      </c>
      <c r="O38" s="161">
        <f>'תקציב החברה לפיתוח 2022'!O51</f>
        <v>0</v>
      </c>
      <c r="P38" s="161">
        <f>'תקציב החברה לפיתוח 2022'!P51</f>
        <v>3732008</v>
      </c>
      <c r="Q38" s="161">
        <f>'תקציב החברה לפיתוח 2022'!Q51</f>
        <v>0</v>
      </c>
      <c r="R38" s="161">
        <f>'תקציב החברה לפיתוח 2022'!R51</f>
        <v>0</v>
      </c>
      <c r="S38" s="161">
        <f>'תקציב החברה לפיתוח 2022'!S51</f>
        <v>0</v>
      </c>
      <c r="T38" s="161">
        <f>'תקציב החברה לפיתוח 2022'!T51</f>
        <v>0</v>
      </c>
      <c r="U38" s="161">
        <f>'תקציב החברה לפיתוח 2022'!U51</f>
        <v>0</v>
      </c>
      <c r="V38" s="161">
        <f>'תקציב החברה לפיתוח 2022'!V51</f>
        <v>0</v>
      </c>
      <c r="W38" s="161">
        <f>'תקציב החברה לפיתוח 2022'!W51</f>
        <v>0</v>
      </c>
      <c r="X38" s="161">
        <f>'תקציב החברה לפיתוח 2022'!X51</f>
        <v>0</v>
      </c>
      <c r="Y38" s="161">
        <f>'תקציב החברה לפיתוח 2022'!Y51</f>
        <v>0</v>
      </c>
      <c r="Z38" s="161">
        <f>'תקציב החברה לפיתוח 2022'!Z51</f>
        <v>0</v>
      </c>
      <c r="AA38" s="161">
        <f>'תקציב החברה לפיתוח 2022'!AA51</f>
        <v>0</v>
      </c>
      <c r="AB38" s="289" t="str">
        <f>'תקציב החברה לפיתוח 2022'!AB51</f>
        <v>מסגרת עבודות של החלפת עמודי תאורה באיזור התעשיה.</v>
      </c>
      <c r="AC38" s="160">
        <f>'תקציב החברה לפיתוח 2022'!AC51</f>
        <v>742000</v>
      </c>
      <c r="AD38" s="157"/>
      <c r="AE38" s="157" t="s">
        <v>1625</v>
      </c>
      <c r="AF38" s="171"/>
      <c r="AG38" s="171"/>
      <c r="AH38" s="171"/>
      <c r="AI38" s="171"/>
      <c r="AJ38" s="171"/>
      <c r="AK38" s="171"/>
      <c r="AL38" s="171"/>
      <c r="AM38" s="266"/>
      <c r="AN38" s="277"/>
      <c r="AO38" s="160"/>
      <c r="AP38" s="157" t="s">
        <v>1626</v>
      </c>
      <c r="AQ38" s="171"/>
      <c r="AR38" s="171"/>
      <c r="AS38" s="171"/>
      <c r="AT38" s="268"/>
      <c r="AU38" s="171"/>
      <c r="AV38" s="633"/>
      <c r="AW38" s="640"/>
      <c r="AX38" s="171"/>
      <c r="AY38" s="161"/>
      <c r="AZ38" s="161"/>
      <c r="BA38" s="640"/>
      <c r="BB38" s="638"/>
      <c r="BC38" s="161"/>
    </row>
    <row r="39" spans="1:55" ht="46.15" customHeight="1">
      <c r="A39" s="160">
        <f t="shared" si="1"/>
        <v>35</v>
      </c>
      <c r="B39" s="160">
        <f>'תקציב החברה לפיתוח 2022'!B59</f>
        <v>2078</v>
      </c>
      <c r="C39" s="289" t="str">
        <f>'תקציב החברה לפיתוח 2022'!C59</f>
        <v>נילי - עבודות פיתוח והסדרת תנועה</v>
      </c>
      <c r="D39" s="161">
        <f>'תקציב החברה לפיתוח 2022'!D59</f>
        <v>4200000</v>
      </c>
      <c r="E39" s="160">
        <f>'תקציב החברה לפיתוח 2022'!E59</f>
        <v>4200000</v>
      </c>
      <c r="F39" s="160">
        <f>'תקציב החברה לפיתוח 2022'!F59</f>
        <v>0</v>
      </c>
      <c r="G39" s="160">
        <f>'תקציב החברה לפיתוח 2022'!G59</f>
        <v>1960000</v>
      </c>
      <c r="H39" s="160">
        <f>'תקציב החברה לפיתוח 2022'!H59</f>
        <v>157316</v>
      </c>
      <c r="I39" s="160">
        <f>'תקציב החברה לפיתוח 2022'!I59</f>
        <v>0</v>
      </c>
      <c r="J39" s="160">
        <f>'תקציב החברה לפיתוח 2022'!J59</f>
        <v>0</v>
      </c>
      <c r="K39" s="160">
        <f>'תקציב החברה לפיתוח 2022'!K59</f>
        <v>0</v>
      </c>
      <c r="L39" s="161">
        <f>'תקציב החברה לפיתוח 2022'!L59</f>
        <v>157316</v>
      </c>
      <c r="M39" s="161">
        <f>'תקציב החברה לפיתוח 2022'!M59</f>
        <v>1802684</v>
      </c>
      <c r="N39" s="161">
        <f>'תקציב החברה לפיתוח 2022'!N59</f>
        <v>0</v>
      </c>
      <c r="O39" s="161">
        <f>'תקציב החברה לפיתוח 2022'!O59</f>
        <v>2240000</v>
      </c>
      <c r="P39" s="161">
        <f>'תקציב החברה לפיתוח 2022'!P59</f>
        <v>1802684</v>
      </c>
      <c r="Q39" s="161">
        <f>'תקציב החברה לפיתוח 2022'!Q59</f>
        <v>0</v>
      </c>
      <c r="R39" s="161">
        <f>'תקציב החברה לפיתוח 2022'!R59</f>
        <v>0</v>
      </c>
      <c r="S39" s="161">
        <f>'תקציב החברה לפיתוח 2022'!S59</f>
        <v>0</v>
      </c>
      <c r="T39" s="161">
        <f>'תקציב החברה לפיתוח 2022'!T59</f>
        <v>0</v>
      </c>
      <c r="U39" s="161">
        <f>'תקציב החברה לפיתוח 2022'!U59</f>
        <v>0</v>
      </c>
      <c r="V39" s="161">
        <f>'תקציב החברה לפיתוח 2022'!V59</f>
        <v>0</v>
      </c>
      <c r="W39" s="161">
        <f>'תקציב החברה לפיתוח 2022'!W59</f>
        <v>0</v>
      </c>
      <c r="X39" s="161">
        <f>'תקציב החברה לפיתוח 2022'!X59</f>
        <v>0</v>
      </c>
      <c r="Y39" s="161">
        <f>'תקציב החברה לפיתוח 2022'!Y59</f>
        <v>0</v>
      </c>
      <c r="Z39" s="161">
        <f>'תקציב החברה לפיתוח 2022'!Z59</f>
        <v>0</v>
      </c>
      <c r="AA39" s="161">
        <f>'תקציב החברה לפיתוח 2022'!AA59</f>
        <v>0</v>
      </c>
      <c r="AB39" s="289" t="str">
        <f>'תקציב החברה לפיתוח 2022'!AB59</f>
        <v>לאור החלטת בימ"ש שהעיריה תבצע שינויים גיאומטרים וקיר.</v>
      </c>
      <c r="AC39" s="160">
        <f>'תקציב החברה לפיתוח 2022'!AC59</f>
        <v>742000</v>
      </c>
      <c r="AD39" s="157"/>
      <c r="AE39" s="157" t="s">
        <v>1654</v>
      </c>
      <c r="AF39" s="171"/>
      <c r="AG39" s="171"/>
      <c r="AH39" s="171"/>
      <c r="AI39" s="171"/>
      <c r="AJ39" s="171"/>
      <c r="AK39" s="3"/>
      <c r="AL39" s="3"/>
      <c r="AM39" s="266"/>
      <c r="AN39" s="277"/>
      <c r="AO39" s="160"/>
      <c r="AP39" s="157" t="s">
        <v>1654</v>
      </c>
      <c r="AQ39" s="3"/>
      <c r="AR39" s="3"/>
      <c r="AS39" s="522" t="s">
        <v>1655</v>
      </c>
      <c r="AT39" s="519" t="s">
        <v>1656</v>
      </c>
      <c r="AU39" s="563" t="s">
        <v>1655</v>
      </c>
      <c r="AV39" s="563"/>
      <c r="AW39" s="638"/>
      <c r="AX39" s="3"/>
      <c r="AY39" s="161"/>
      <c r="AZ39" s="161"/>
      <c r="BA39" s="665"/>
      <c r="BB39" s="638"/>
      <c r="BC39" s="161"/>
    </row>
    <row r="40" spans="1:55" s="164" customFormat="1" ht="45">
      <c r="A40" s="160">
        <f t="shared" si="1"/>
        <v>36</v>
      </c>
      <c r="B40" s="160">
        <f>'תקציב החברה לפיתוח 2022'!B66</f>
        <v>2106</v>
      </c>
      <c r="C40" s="289" t="str">
        <f>'תקציב החברה לפיתוח 2022'!C66</f>
        <v>אוצר הצמחים ,הראשונים ואבן אודם</v>
      </c>
      <c r="D40" s="161">
        <f>'תקציב החברה לפיתוח 2022'!D66</f>
        <v>15000000</v>
      </c>
      <c r="E40" s="160">
        <f>'תקציב החברה לפיתוח 2022'!E66</f>
        <v>15000000</v>
      </c>
      <c r="F40" s="160">
        <f>'תקציב החברה לפיתוח 2022'!F66</f>
        <v>0</v>
      </c>
      <c r="G40" s="160">
        <f>'תקציב החברה לפיתוח 2022'!G66</f>
        <v>4000000</v>
      </c>
      <c r="H40" s="160">
        <f>'תקציב החברה לפיתוח 2022'!H66</f>
        <v>241447</v>
      </c>
      <c r="I40" s="160">
        <f>'תקציב החברה לפיתוח 2022'!I66</f>
        <v>0</v>
      </c>
      <c r="J40" s="160">
        <f>'תקציב החברה לפיתוח 2022'!J66</f>
        <v>528653</v>
      </c>
      <c r="K40" s="160">
        <f>'תקציב החברה לפיתוח 2022'!K66</f>
        <v>528653</v>
      </c>
      <c r="L40" s="161">
        <f>'תקציב החברה לפיתוח 2022'!L66</f>
        <v>770100</v>
      </c>
      <c r="M40" s="161">
        <f>'תקציב החברה לפיתוח 2022'!M66</f>
        <v>3229900</v>
      </c>
      <c r="N40" s="161">
        <f>'תקציב החברה לפיתוח 2022'!N66</f>
        <v>0</v>
      </c>
      <c r="O40" s="161">
        <f>'תקציב החברה לפיתוח 2022'!O66</f>
        <v>11000000</v>
      </c>
      <c r="P40" s="161">
        <f>'תקציב החברה לפיתוח 2022'!P66</f>
        <v>3229900</v>
      </c>
      <c r="Q40" s="161">
        <f>'תקציב החברה לפיתוח 2022'!Q66</f>
        <v>0</v>
      </c>
      <c r="R40" s="161">
        <f>'תקציב החברה לפיתוח 2022'!R66</f>
        <v>0</v>
      </c>
      <c r="S40" s="161">
        <f>'תקציב החברה לפיתוח 2022'!S66</f>
        <v>0</v>
      </c>
      <c r="T40" s="161">
        <f>'תקציב החברה לפיתוח 2022'!T66</f>
        <v>0</v>
      </c>
      <c r="U40" s="161">
        <f>'תקציב החברה לפיתוח 2022'!U66</f>
        <v>0</v>
      </c>
      <c r="V40" s="161">
        <f>'תקציב החברה לפיתוח 2022'!V66</f>
        <v>0</v>
      </c>
      <c r="W40" s="161">
        <f>'תקציב החברה לפיתוח 2022'!W66</f>
        <v>0</v>
      </c>
      <c r="X40" s="161">
        <f>'תקציב החברה לפיתוח 2022'!X66</f>
        <v>0</v>
      </c>
      <c r="Y40" s="161">
        <f>'תקציב החברה לפיתוח 2022'!Y66</f>
        <v>0</v>
      </c>
      <c r="Z40" s="161">
        <f>'תקציב החברה לפיתוח 2022'!Z66</f>
        <v>0</v>
      </c>
      <c r="AA40" s="161">
        <f>'תקציב החברה לפיתוח 2022'!AA66</f>
        <v>0</v>
      </c>
      <c r="AB40" s="289" t="str">
        <f>'תקציב החברה לפיתוח 2022'!AB66</f>
        <v>פיתוח מתחם הרחובות אוצר הצמחים, אבן אודם, הראשונים.</v>
      </c>
      <c r="AC40" s="160">
        <f>'תקציב החברה לפיתוח 2022'!AC66</f>
        <v>742000</v>
      </c>
      <c r="AD40" s="157"/>
      <c r="AE40" s="157" t="s">
        <v>1537</v>
      </c>
      <c r="AF40" s="171"/>
      <c r="AG40" s="171"/>
      <c r="AH40" s="171"/>
      <c r="AI40" s="171"/>
      <c r="AJ40" s="171"/>
      <c r="AK40" s="7"/>
      <c r="AL40" s="7"/>
      <c r="AM40" s="266"/>
      <c r="AN40" s="277"/>
      <c r="AO40" s="160"/>
      <c r="AP40" s="157" t="s">
        <v>1538</v>
      </c>
      <c r="AQ40" s="7"/>
      <c r="AR40" s="7"/>
      <c r="AS40" s="7"/>
      <c r="AT40" s="268"/>
      <c r="AU40" s="7"/>
      <c r="AV40" s="30" t="s">
        <v>2187</v>
      </c>
      <c r="AW40" s="638">
        <v>11000000</v>
      </c>
      <c r="AX40" s="639">
        <f>U40-AW40</f>
        <v>-11000000</v>
      </c>
      <c r="AY40" s="161"/>
      <c r="AZ40" s="161"/>
      <c r="BA40" s="638"/>
      <c r="BB40" s="638"/>
      <c r="BC40" s="161"/>
    </row>
    <row r="41" spans="1:55" ht="57.6" customHeight="1">
      <c r="A41" s="160">
        <f t="shared" si="1"/>
        <v>37</v>
      </c>
      <c r="B41" s="160">
        <f>'תקציב החברה לפיתוח 2022'!B67</f>
        <v>2109</v>
      </c>
      <c r="C41" s="289" t="str">
        <f>'תקציב החברה לפיתוח 2022'!C67</f>
        <v>רחוב הפרטיזנים</v>
      </c>
      <c r="D41" s="161">
        <f>'תקציב החברה לפיתוח 2022'!D67</f>
        <v>2000000</v>
      </c>
      <c r="E41" s="160">
        <f>'תקציב החברה לפיתוח 2022'!E67</f>
        <v>2000000</v>
      </c>
      <c r="F41" s="160">
        <f>'תקציב החברה לפיתוח 2022'!F67</f>
        <v>0</v>
      </c>
      <c r="G41" s="160">
        <f>'תקציב החברה לפיתוח 2022'!G67</f>
        <v>150000</v>
      </c>
      <c r="H41" s="160">
        <f>'תקציב החברה לפיתוח 2022'!H67</f>
        <v>18976</v>
      </c>
      <c r="I41" s="160">
        <f>'תקציב החברה לפיתוח 2022'!I67</f>
        <v>0</v>
      </c>
      <c r="J41" s="160">
        <f>'תקציב החברה לפיתוח 2022'!J67</f>
        <v>103781</v>
      </c>
      <c r="K41" s="160">
        <f>'תקציב החברה לפיתוח 2022'!K67</f>
        <v>103781</v>
      </c>
      <c r="L41" s="161">
        <f>'תקציב החברה לפיתוח 2022'!L67</f>
        <v>122757</v>
      </c>
      <c r="M41" s="161">
        <f>'תקציב החברה לפיתוח 2022'!M67</f>
        <v>377243</v>
      </c>
      <c r="N41" s="161">
        <f>'תקציב החברה לפיתוח 2022'!N67</f>
        <v>700000</v>
      </c>
      <c r="O41" s="161">
        <f>'תקציב החברה לפיתוח 2022'!O67</f>
        <v>800000</v>
      </c>
      <c r="P41" s="161">
        <f>'תקציב החברה לפיתוח 2022'!P67</f>
        <v>27243</v>
      </c>
      <c r="Q41" s="161">
        <f>'תקציב החברה לפיתוח 2022'!Q67</f>
        <v>350000</v>
      </c>
      <c r="R41" s="161">
        <f>'תקציב החברה לפיתוח 2022'!R67</f>
        <v>0</v>
      </c>
      <c r="S41" s="161">
        <f>'תקציב החברה לפיתוח 2022'!S67</f>
        <v>350000</v>
      </c>
      <c r="T41" s="161">
        <f>'תקציב החברה לפיתוח 2022'!T67</f>
        <v>0</v>
      </c>
      <c r="U41" s="161">
        <f>'תקציב החברה לפיתוח 2022'!U67</f>
        <v>700000</v>
      </c>
      <c r="V41" s="161">
        <f>'תקציב החברה לפיתוח 2022'!V67</f>
        <v>700000</v>
      </c>
      <c r="W41" s="161">
        <f>'תקציב החברה לפיתוח 2022'!W67</f>
        <v>0</v>
      </c>
      <c r="X41" s="161">
        <f>'תקציב החברה לפיתוח 2022'!X67</f>
        <v>0</v>
      </c>
      <c r="Y41" s="161">
        <f>'תקציב החברה לפיתוח 2022'!Y67</f>
        <v>0</v>
      </c>
      <c r="Z41" s="161">
        <f>'תקציב החברה לפיתוח 2022'!Z67</f>
        <v>0</v>
      </c>
      <c r="AA41" s="161">
        <f>'תקציב החברה לפיתוח 2022'!AA67</f>
        <v>0</v>
      </c>
      <c r="AB41" s="289" t="str">
        <f>'תקציב החברה לפיתוח 2022'!AB67</f>
        <v xml:space="preserve">תכנון פיתוח רחוב הפרטיזנים. מדרכה מזרחית/דרומית, עבודות ניקוז. </v>
      </c>
      <c r="AC41" s="160">
        <f>'תקציב החברה לפיתוח 2022'!AC67</f>
        <v>742000</v>
      </c>
      <c r="AD41" s="157"/>
      <c r="AE41" s="157"/>
      <c r="AF41" s="171"/>
      <c r="AG41" s="171"/>
      <c r="AH41" s="171"/>
      <c r="AI41" s="171"/>
      <c r="AJ41" s="171"/>
      <c r="AK41" s="3"/>
      <c r="AL41" s="3"/>
      <c r="AM41" s="266"/>
      <c r="AN41" s="277"/>
      <c r="AO41" s="160"/>
      <c r="AP41" s="157"/>
      <c r="AQ41" s="3"/>
      <c r="AR41" s="3"/>
      <c r="AS41" s="3" t="s">
        <v>1128</v>
      </c>
      <c r="AT41" s="268"/>
      <c r="AU41" s="3" t="s">
        <v>1128</v>
      </c>
      <c r="AV41" s="30" t="s">
        <v>2158</v>
      </c>
      <c r="AW41" s="638"/>
      <c r="AX41" s="3"/>
      <c r="AY41" s="264">
        <v>-500000</v>
      </c>
      <c r="AZ41" s="161"/>
      <c r="BA41" s="638">
        <v>900000</v>
      </c>
      <c r="BB41" s="638">
        <f>BA41-N41</f>
        <v>200000</v>
      </c>
      <c r="BC41" s="161"/>
    </row>
    <row r="42" spans="1:55" ht="61.9" customHeight="1">
      <c r="A42" s="160">
        <f t="shared" si="1"/>
        <v>38</v>
      </c>
      <c r="B42" s="160">
        <f>'תקציב החברה לפיתוח 2022'!B68</f>
        <v>2110</v>
      </c>
      <c r="C42" s="289" t="str">
        <f>'תקציב החברה לפיתוח 2022'!C68</f>
        <v>שיכון דרום הר' 2312</v>
      </c>
      <c r="D42" s="161">
        <f>'תקציב החברה לפיתוח 2022'!D68</f>
        <v>16000000</v>
      </c>
      <c r="E42" s="160">
        <f>'תקציב החברה לפיתוח 2022'!E68</f>
        <v>16000000</v>
      </c>
      <c r="F42" s="160">
        <f>'תקציב החברה לפיתוח 2022'!F68</f>
        <v>0</v>
      </c>
      <c r="G42" s="160">
        <f>'תקציב החברה לפיתוח 2022'!G68</f>
        <v>100000</v>
      </c>
      <c r="H42" s="160">
        <f>'תקציב החברה לפיתוח 2022'!H68</f>
        <v>0</v>
      </c>
      <c r="I42" s="160">
        <f>'תקציב החברה לפיתוח 2022'!I68</f>
        <v>0</v>
      </c>
      <c r="J42" s="160">
        <f>'תקציב החברה לפיתוח 2022'!J68</f>
        <v>0</v>
      </c>
      <c r="K42" s="160">
        <f>'תקציב החברה לפיתוח 2022'!K68</f>
        <v>0</v>
      </c>
      <c r="L42" s="161">
        <f>'תקציב החברה לפיתוח 2022'!L68</f>
        <v>0</v>
      </c>
      <c r="M42" s="161">
        <f>'תקציב החברה לפיתוח 2022'!M68</f>
        <v>200000</v>
      </c>
      <c r="N42" s="161">
        <f>'תקציב החברה לפיתוח 2022'!N68</f>
        <v>0</v>
      </c>
      <c r="O42" s="161">
        <f>'תקציב החברה לפיתוח 2022'!O68</f>
        <v>15800000</v>
      </c>
      <c r="P42" s="161">
        <f>'תקציב החברה לפיתוח 2022'!P68</f>
        <v>100000</v>
      </c>
      <c r="Q42" s="161">
        <f>'תקציב החברה לפיתוח 2022'!Q68</f>
        <v>100000</v>
      </c>
      <c r="R42" s="161">
        <f>'תקציב החברה לפיתוח 2022'!R68</f>
        <v>0</v>
      </c>
      <c r="S42" s="161">
        <f>'תקציב החברה לפיתוח 2022'!S68</f>
        <v>100000</v>
      </c>
      <c r="T42" s="161">
        <f>'תקציב החברה לפיתוח 2022'!T68</f>
        <v>0</v>
      </c>
      <c r="U42" s="161">
        <f>'תקציב החברה לפיתוח 2022'!U68</f>
        <v>0</v>
      </c>
      <c r="V42" s="161">
        <f>'תקציב החברה לפיתוח 2022'!V68</f>
        <v>0</v>
      </c>
      <c r="W42" s="161">
        <f>'תקציב החברה לפיתוח 2022'!W68</f>
        <v>0</v>
      </c>
      <c r="X42" s="161">
        <f>'תקציב החברה לפיתוח 2022'!X68</f>
        <v>0</v>
      </c>
      <c r="Y42" s="161">
        <f>'תקציב החברה לפיתוח 2022'!Y68</f>
        <v>0</v>
      </c>
      <c r="Z42" s="161">
        <f>'תקציב החברה לפיתוח 2022'!Z68</f>
        <v>0</v>
      </c>
      <c r="AA42" s="161">
        <f>'תקציב החברה לפיתוח 2022'!AA68</f>
        <v>0</v>
      </c>
      <c r="AB42" s="289" t="str">
        <f>'תקציב החברה לפיתוח 2022'!AB68</f>
        <v xml:space="preserve">תכנון פיתוח מתחם שיכון דרום. תכנון בין רח' בן גוריון-רבי עקיבא-בן יהודה. </v>
      </c>
      <c r="AC42" s="160">
        <f>'תקציב החברה לפיתוח 2022'!AC68</f>
        <v>742000</v>
      </c>
      <c r="AD42" s="157" t="s">
        <v>1539</v>
      </c>
      <c r="AE42" s="157" t="s">
        <v>1668</v>
      </c>
      <c r="AF42" s="171"/>
      <c r="AG42" s="171"/>
      <c r="AH42" s="171"/>
      <c r="AI42" s="171"/>
      <c r="AJ42" s="171"/>
      <c r="AK42" s="3"/>
      <c r="AL42" s="3"/>
      <c r="AM42" s="266"/>
      <c r="AN42" s="277"/>
      <c r="AO42" s="160"/>
      <c r="AP42" s="157" t="s">
        <v>1669</v>
      </c>
      <c r="AQ42" s="3"/>
      <c r="AR42" s="3" t="s">
        <v>1540</v>
      </c>
      <c r="AS42" s="3" t="s">
        <v>1670</v>
      </c>
      <c r="AT42" s="519" t="s">
        <v>1671</v>
      </c>
      <c r="AU42" s="3" t="s">
        <v>1128</v>
      </c>
      <c r="AV42" s="3" t="s">
        <v>1128</v>
      </c>
      <c r="AW42" s="638"/>
      <c r="AX42" s="3"/>
      <c r="AY42" s="161"/>
      <c r="AZ42" s="161"/>
      <c r="BA42" s="660"/>
      <c r="BB42" s="638"/>
      <c r="BC42" s="161"/>
    </row>
    <row r="43" spans="1:55" ht="75">
      <c r="A43" s="160">
        <f t="shared" si="1"/>
        <v>39</v>
      </c>
      <c r="B43" s="160">
        <f>'תקציב החברה לפיתוח 2022'!B69</f>
        <v>2111</v>
      </c>
      <c r="C43" s="289" t="str">
        <f>'תקציב החברה לפיתוח 2022'!C69</f>
        <v>הר מירון בר כוכבא הר' 2266</v>
      </c>
      <c r="D43" s="161">
        <f>'תקציב החברה לפיתוח 2022'!D69</f>
        <v>15200000</v>
      </c>
      <c r="E43" s="160">
        <f>'תקציב החברה לפיתוח 2022'!E69</f>
        <v>10240000</v>
      </c>
      <c r="F43" s="160">
        <f>'תקציב החברה לפיתוח 2022'!F69</f>
        <v>4960000</v>
      </c>
      <c r="G43" s="160">
        <f>'תקציב החברה לפיתוח 2022'!G69</f>
        <v>100000</v>
      </c>
      <c r="H43" s="160">
        <f>'תקציב החברה לפיתוח 2022'!H69</f>
        <v>0</v>
      </c>
      <c r="I43" s="160">
        <f>'תקציב החברה לפיתוח 2022'!I69</f>
        <v>0</v>
      </c>
      <c r="J43" s="160">
        <f>'תקציב החברה לפיתוח 2022'!J69</f>
        <v>0</v>
      </c>
      <c r="K43" s="160">
        <f>'תקציב החברה לפיתוח 2022'!K69</f>
        <v>0</v>
      </c>
      <c r="L43" s="161">
        <f>'תקציב החברה לפיתוח 2022'!L69</f>
        <v>0</v>
      </c>
      <c r="M43" s="161">
        <f>'תקציב החברה לפיתוח 2022'!M69</f>
        <v>200000</v>
      </c>
      <c r="N43" s="161">
        <f>'תקציב החברה לפיתוח 2022'!N69</f>
        <v>300000</v>
      </c>
      <c r="O43" s="161">
        <f>'תקציב החברה לפיתוח 2022'!O69</f>
        <v>14700000</v>
      </c>
      <c r="P43" s="161">
        <f>'תקציב החברה לפיתוח 2022'!P69</f>
        <v>100000</v>
      </c>
      <c r="Q43" s="161">
        <f>'תקציב החברה לפיתוח 2022'!Q69</f>
        <v>100000</v>
      </c>
      <c r="R43" s="161">
        <f>'תקציב החברה לפיתוח 2022'!R69</f>
        <v>0</v>
      </c>
      <c r="S43" s="161">
        <f>'תקציב החברה לפיתוח 2022'!S69</f>
        <v>100000</v>
      </c>
      <c r="T43" s="161">
        <f>'תקציב החברה לפיתוח 2022'!T69</f>
        <v>0</v>
      </c>
      <c r="U43" s="161">
        <f>'תקציב החברה לפיתוח 2022'!U69</f>
        <v>300000</v>
      </c>
      <c r="V43" s="161">
        <f>'תקציב החברה לפיתוח 2022'!V69</f>
        <v>300000</v>
      </c>
      <c r="W43" s="161">
        <f>'תקציב החברה לפיתוח 2022'!W69</f>
        <v>0</v>
      </c>
      <c r="X43" s="161">
        <f>'תקציב החברה לפיתוח 2022'!X69</f>
        <v>0</v>
      </c>
      <c r="Y43" s="161">
        <f>'תקציב החברה לפיתוח 2022'!Y69</f>
        <v>0</v>
      </c>
      <c r="Z43" s="161">
        <f>'תקציב החברה לפיתוח 2022'!Z69</f>
        <v>0</v>
      </c>
      <c r="AA43" s="161">
        <f>'תקציב החברה לפיתוח 2022'!AA69</f>
        <v>0</v>
      </c>
      <c r="AB43" s="289" t="str">
        <f>'תקציב החברה לפיתוח 2022'!AB69</f>
        <v xml:space="preserve">תכנון פיתוח הרחובות הר מירון בר כוכבא בעקבות אישור תוכנית התחדשות עירונית. </v>
      </c>
      <c r="AC43" s="160">
        <f>'תקציב החברה לפיתוח 2022'!AC69</f>
        <v>742000</v>
      </c>
      <c r="AD43" s="157" t="s">
        <v>1539</v>
      </c>
      <c r="AE43" s="157" t="s">
        <v>1668</v>
      </c>
      <c r="AF43" s="171"/>
      <c r="AG43" s="171"/>
      <c r="AH43" s="171"/>
      <c r="AI43" s="171"/>
      <c r="AJ43" s="171"/>
      <c r="AK43" s="3"/>
      <c r="AL43" s="3"/>
      <c r="AM43" s="266" t="s">
        <v>1672</v>
      </c>
      <c r="AN43" s="277"/>
      <c r="AO43" s="160"/>
      <c r="AP43" s="266" t="s">
        <v>1673</v>
      </c>
      <c r="AQ43" s="3" t="s">
        <v>1674</v>
      </c>
      <c r="AR43" s="3" t="s">
        <v>1540</v>
      </c>
      <c r="AS43" s="3" t="s">
        <v>1675</v>
      </c>
      <c r="AT43" s="268"/>
      <c r="AU43" s="3"/>
      <c r="AV43" s="30"/>
      <c r="AW43" s="638"/>
      <c r="AX43" s="3"/>
      <c r="AY43" s="161"/>
      <c r="AZ43" s="161"/>
      <c r="BA43" s="638"/>
      <c r="BB43" s="638"/>
      <c r="BC43" s="161"/>
    </row>
    <row r="44" spans="1:55" s="170" customFormat="1" ht="60">
      <c r="A44" s="160">
        <f t="shared" ref="A44:A62" si="2">A43+1</f>
        <v>40</v>
      </c>
      <c r="B44" s="160">
        <f>'תקציב החברה לפיתוח 2022'!B72</f>
        <v>2119</v>
      </c>
      <c r="C44" s="289" t="str">
        <f>'תקציב החברה לפיתוח 2022'!C72</f>
        <v>שביל מתחם העצמאות הרב גורן הבנים</v>
      </c>
      <c r="D44" s="161">
        <f>'תקציב החברה לפיתוח 2022'!D72</f>
        <v>2500000</v>
      </c>
      <c r="E44" s="160">
        <f>'תקציב החברה לפיתוח 2022'!E72</f>
        <v>2500000</v>
      </c>
      <c r="F44" s="160">
        <f>'תקציב החברה לפיתוח 2022'!F72</f>
        <v>0</v>
      </c>
      <c r="G44" s="160">
        <f>'תקציב החברה לפיתוח 2022'!G72</f>
        <v>1100000</v>
      </c>
      <c r="H44" s="160">
        <f>'תקציב החברה לפיתוח 2022'!H72</f>
        <v>110870</v>
      </c>
      <c r="I44" s="160">
        <f>'תקציב החברה לפיתוח 2022'!I72</f>
        <v>0</v>
      </c>
      <c r="J44" s="160">
        <f>'תקציב החברה לפיתוח 2022'!J72</f>
        <v>0</v>
      </c>
      <c r="K44" s="160">
        <f>'תקציב החברה לפיתוח 2022'!K72</f>
        <v>0</v>
      </c>
      <c r="L44" s="161">
        <f>'תקציב החברה לפיתוח 2022'!L72</f>
        <v>110870</v>
      </c>
      <c r="M44" s="161">
        <f>'תקציב החברה לפיתוח 2022'!M72</f>
        <v>989130</v>
      </c>
      <c r="N44" s="161">
        <f>'תקציב החברה לפיתוח 2022'!N72</f>
        <v>0</v>
      </c>
      <c r="O44" s="161">
        <f>'תקציב החברה לפיתוח 2022'!O72</f>
        <v>1400000</v>
      </c>
      <c r="P44" s="161">
        <f>'תקציב החברה לפיתוח 2022'!P72</f>
        <v>989130</v>
      </c>
      <c r="Q44" s="161">
        <f>'תקציב החברה לפיתוח 2022'!Q72</f>
        <v>0</v>
      </c>
      <c r="R44" s="161">
        <f>'תקציב החברה לפיתוח 2022'!R72</f>
        <v>0</v>
      </c>
      <c r="S44" s="161">
        <f>'תקציב החברה לפיתוח 2022'!S72</f>
        <v>0</v>
      </c>
      <c r="T44" s="161">
        <f>'תקציב החברה לפיתוח 2022'!T72</f>
        <v>0</v>
      </c>
      <c r="U44" s="161">
        <f>'תקציב החברה לפיתוח 2022'!U72</f>
        <v>0</v>
      </c>
      <c r="V44" s="161">
        <f>'תקציב החברה לפיתוח 2022'!V72</f>
        <v>0</v>
      </c>
      <c r="W44" s="161">
        <f>'תקציב החברה לפיתוח 2022'!W72</f>
        <v>0</v>
      </c>
      <c r="X44" s="161">
        <f>'תקציב החברה לפיתוח 2022'!X72</f>
        <v>0</v>
      </c>
      <c r="Y44" s="161">
        <f>'תקציב החברה לפיתוח 2022'!Y72</f>
        <v>0</v>
      </c>
      <c r="Z44" s="161">
        <f>'תקציב החברה לפיתוח 2022'!Z72</f>
        <v>0</v>
      </c>
      <c r="AA44" s="161">
        <f>'תקציב החברה לפיתוח 2022'!AA72</f>
        <v>0</v>
      </c>
      <c r="AB44" s="289" t="str">
        <f>'תקציב החברה לפיתוח 2022'!AB72</f>
        <v>עבודות פיתוח מערך שבילים בין הרחובות העצמאות הרב גורן ורחוב הבנים.</v>
      </c>
      <c r="AC44" s="160">
        <f>'תקציב החברה לפיתוח 2022'!AC72</f>
        <v>742000</v>
      </c>
      <c r="AD44" s="157" t="s">
        <v>1539</v>
      </c>
      <c r="AE44" s="157" t="s">
        <v>1539</v>
      </c>
      <c r="AF44" s="171"/>
      <c r="AG44" s="171"/>
      <c r="AH44" s="171"/>
      <c r="AI44" s="171"/>
      <c r="AJ44" s="171"/>
      <c r="AK44" s="3"/>
      <c r="AL44" s="3"/>
      <c r="AM44" s="266"/>
      <c r="AN44" s="277"/>
      <c r="AO44" s="160"/>
      <c r="AP44" s="157" t="s">
        <v>1678</v>
      </c>
      <c r="AQ44" s="3" t="s">
        <v>1679</v>
      </c>
      <c r="AR44" s="3" t="s">
        <v>1540</v>
      </c>
      <c r="AS44" s="3" t="s">
        <v>1128</v>
      </c>
      <c r="AT44" s="268" t="s">
        <v>1680</v>
      </c>
      <c r="AU44" s="3" t="s">
        <v>1681</v>
      </c>
      <c r="AV44" s="30"/>
      <c r="AW44" s="638"/>
      <c r="AX44" s="3"/>
      <c r="AY44" s="161"/>
      <c r="AZ44" s="161"/>
      <c r="BA44" s="638"/>
      <c r="BB44" s="638"/>
      <c r="BC44" s="161"/>
    </row>
    <row r="45" spans="1:55" s="170" customFormat="1" ht="40.15" customHeight="1">
      <c r="A45" s="160">
        <f t="shared" si="2"/>
        <v>41</v>
      </c>
      <c r="B45" s="160">
        <f>'תקציב החברה לפיתוח 2022'!B73</f>
        <v>2126</v>
      </c>
      <c r="C45" s="289" t="str">
        <f>'תקציב החברה לפיתוח 2022'!C73</f>
        <v>כיכר העוגן השונית</v>
      </c>
      <c r="D45" s="161">
        <f>'תקציב החברה לפיתוח 2022'!D73</f>
        <v>1975000</v>
      </c>
      <c r="E45" s="160">
        <f>'תקציב החברה לפיתוח 2022'!E73</f>
        <v>1975000</v>
      </c>
      <c r="F45" s="160">
        <f>'תקציב החברה לפיתוח 2022'!F73</f>
        <v>0</v>
      </c>
      <c r="G45" s="160">
        <f>'תקציב החברה לפיתוח 2022'!G73</f>
        <v>0</v>
      </c>
      <c r="H45" s="160">
        <f>'תקציב החברה לפיתוח 2022'!H73</f>
        <v>0</v>
      </c>
      <c r="I45" s="160">
        <f>'תקציב החברה לפיתוח 2022'!I73</f>
        <v>0</v>
      </c>
      <c r="J45" s="160">
        <f>'תקציב החברה לפיתוח 2022'!J73</f>
        <v>0</v>
      </c>
      <c r="K45" s="160">
        <f>'תקציב החברה לפיתוח 2022'!K73</f>
        <v>0</v>
      </c>
      <c r="L45" s="161">
        <f>'תקציב החברה לפיתוח 2022'!L73</f>
        <v>0</v>
      </c>
      <c r="M45" s="161">
        <f>'תקציב החברה לפיתוח 2022'!M73</f>
        <v>0</v>
      </c>
      <c r="N45" s="161">
        <f>'תקציב החברה לפיתוח 2022'!N73</f>
        <v>0</v>
      </c>
      <c r="O45" s="161">
        <f>'תקציב החברה לפיתוח 2022'!O73</f>
        <v>1975000</v>
      </c>
      <c r="P45" s="161">
        <f>'תקציב החברה לפיתוח 2022'!P73</f>
        <v>0</v>
      </c>
      <c r="Q45" s="161">
        <f>'תקציב החברה לפיתוח 2022'!Q73</f>
        <v>0</v>
      </c>
      <c r="R45" s="161">
        <f>'תקציב החברה לפיתוח 2022'!R73</f>
        <v>0</v>
      </c>
      <c r="S45" s="161">
        <f>'תקציב החברה לפיתוח 2022'!S73</f>
        <v>0</v>
      </c>
      <c r="T45" s="161">
        <f>'תקציב החברה לפיתוח 2022'!T73</f>
        <v>0</v>
      </c>
      <c r="U45" s="161">
        <f>'תקציב החברה לפיתוח 2022'!U73</f>
        <v>0</v>
      </c>
      <c r="V45" s="161">
        <f>'תקציב החברה לפיתוח 2022'!V73</f>
        <v>0</v>
      </c>
      <c r="W45" s="161">
        <f>'תקציב החברה לפיתוח 2022'!W73</f>
        <v>0</v>
      </c>
      <c r="X45" s="161">
        <f>'תקציב החברה לפיתוח 2022'!X73</f>
        <v>0</v>
      </c>
      <c r="Y45" s="161">
        <f>'תקציב החברה לפיתוח 2022'!Y73</f>
        <v>0</v>
      </c>
      <c r="Z45" s="161">
        <f>'תקציב החברה לפיתוח 2022'!Z73</f>
        <v>0</v>
      </c>
      <c r="AA45" s="161">
        <f>'תקציב החברה לפיתוח 2022'!AA73</f>
        <v>0</v>
      </c>
      <c r="AB45" s="289" t="str">
        <f>'תקציב החברה לפיתוח 2022'!AB73</f>
        <v xml:space="preserve">מימון מ. התחבורה. </v>
      </c>
      <c r="AC45" s="160">
        <f>'תקציב החברה לפיתוח 2022'!AC73</f>
        <v>742000</v>
      </c>
      <c r="AD45" s="157" t="s">
        <v>1097</v>
      </c>
      <c r="AE45" s="157" t="s">
        <v>1682</v>
      </c>
      <c r="AF45" s="171"/>
      <c r="AG45" s="171"/>
      <c r="AH45" s="171"/>
      <c r="AI45" s="171"/>
      <c r="AJ45" s="171"/>
      <c r="AK45" s="3"/>
      <c r="AL45" s="3"/>
      <c r="AM45" s="266"/>
      <c r="AN45" s="277"/>
      <c r="AO45" s="160"/>
      <c r="AP45" s="157" t="s">
        <v>1682</v>
      </c>
      <c r="AQ45" s="3" t="s">
        <v>1683</v>
      </c>
      <c r="AR45" s="3" t="s">
        <v>1684</v>
      </c>
      <c r="AS45" s="3" t="s">
        <v>1685</v>
      </c>
      <c r="AT45" s="268"/>
      <c r="AU45" s="3" t="s">
        <v>1685</v>
      </c>
      <c r="AV45" s="30"/>
      <c r="AW45" s="638"/>
      <c r="AX45" s="3"/>
      <c r="AY45" s="161"/>
      <c r="AZ45" s="161"/>
      <c r="BA45" s="638"/>
      <c r="BB45" s="638"/>
      <c r="BC45" s="161"/>
    </row>
    <row r="46" spans="1:55" s="170" customFormat="1" ht="75">
      <c r="A46" s="160">
        <f t="shared" si="2"/>
        <v>42</v>
      </c>
      <c r="B46" s="160">
        <f>'תקציב החברה לפיתוח 2022'!B79</f>
        <v>2151</v>
      </c>
      <c r="C46" s="289" t="str">
        <f>'תקציב החברה לפיתוח 2022'!C79</f>
        <v>מתחם בזק</v>
      </c>
      <c r="D46" s="161">
        <f>'תקציב החברה לפיתוח 2022'!D79</f>
        <v>54000000</v>
      </c>
      <c r="E46" s="160">
        <f>'תקציב החברה לפיתוח 2022'!E79</f>
        <v>54000000</v>
      </c>
      <c r="F46" s="160">
        <f>'תקציב החברה לפיתוח 2022'!F79</f>
        <v>0</v>
      </c>
      <c r="G46" s="160">
        <f>'תקציב החברה לפיתוח 2022'!G79</f>
        <v>2000000</v>
      </c>
      <c r="H46" s="160">
        <f>'תקציב החברה לפיתוח 2022'!H79</f>
        <v>698439</v>
      </c>
      <c r="I46" s="160">
        <f>'תקציב החברה לפיתוח 2022'!I79</f>
        <v>0</v>
      </c>
      <c r="J46" s="160">
        <f>'תקציב החברה לפיתוח 2022'!J79</f>
        <v>975479</v>
      </c>
      <c r="K46" s="160">
        <f>'תקציב החברה לפיתוח 2022'!K79</f>
        <v>975479</v>
      </c>
      <c r="L46" s="161">
        <f>'תקציב החברה לפיתוח 2022'!L79</f>
        <v>1673918</v>
      </c>
      <c r="M46" s="161">
        <f>'תקציב החברה לפיתוח 2022'!M79</f>
        <v>3326082</v>
      </c>
      <c r="N46" s="161">
        <f>'תקציב החברה לפיתוח 2022'!N79</f>
        <v>0</v>
      </c>
      <c r="O46" s="161">
        <f>'תקציב החברה לפיתוח 2022'!O79</f>
        <v>49000000</v>
      </c>
      <c r="P46" s="161">
        <f>'תקציב החברה לפיתוח 2022'!P79</f>
        <v>326082</v>
      </c>
      <c r="Q46" s="161">
        <f>'תקציב החברה לפיתוח 2022'!Q79</f>
        <v>3000000</v>
      </c>
      <c r="R46" s="161">
        <f>'תקציב החברה לפיתוח 2022'!R79</f>
        <v>0</v>
      </c>
      <c r="S46" s="161">
        <f>'תקציב החברה לפיתוח 2022'!S79</f>
        <v>3000000</v>
      </c>
      <c r="T46" s="161">
        <f>'תקציב החברה לפיתוח 2022'!T79</f>
        <v>0</v>
      </c>
      <c r="U46" s="161">
        <f>'תקציב החברה לפיתוח 2022'!U79</f>
        <v>0</v>
      </c>
      <c r="V46" s="161">
        <f>'תקציב החברה לפיתוח 2022'!V79</f>
        <v>0</v>
      </c>
      <c r="W46" s="161">
        <f>'תקציב החברה לפיתוח 2022'!W79</f>
        <v>0</v>
      </c>
      <c r="X46" s="161">
        <f>'תקציב החברה לפיתוח 2022'!X79</f>
        <v>0</v>
      </c>
      <c r="Y46" s="161">
        <f>'תקציב החברה לפיתוח 2022'!Y79</f>
        <v>0</v>
      </c>
      <c r="Z46" s="161">
        <f>'תקציב החברה לפיתוח 2022'!Z79</f>
        <v>0</v>
      </c>
      <c r="AA46" s="161">
        <f>'תקציב החברה לפיתוח 2022'!AA79</f>
        <v>0</v>
      </c>
      <c r="AB46" s="289" t="str">
        <f>'תקציב החברה לפיתוח 2022'!AB79</f>
        <v>תכנון ראשוני של פיתוח מתחם "בזק" בו ייבנה בניין משרדים שבין היתר יאוכלס אגף הרווחה. הפרויקט כולל הריסת מבנה בזק.</v>
      </c>
      <c r="AC46" s="160">
        <f>'תקציב החברה לפיתוח 2022'!AC79</f>
        <v>742000</v>
      </c>
      <c r="AD46" s="157"/>
      <c r="AE46" s="157" t="s">
        <v>1694</v>
      </c>
      <c r="AF46" s="171"/>
      <c r="AG46" s="171"/>
      <c r="AH46" s="171"/>
      <c r="AI46" s="171"/>
      <c r="AJ46" s="171"/>
      <c r="AK46" s="3"/>
      <c r="AL46" s="3"/>
      <c r="AM46" s="3"/>
      <c r="AN46" s="277"/>
      <c r="AO46" s="160"/>
      <c r="AP46" s="157" t="s">
        <v>1694</v>
      </c>
      <c r="AQ46" s="3"/>
      <c r="AR46" s="3"/>
      <c r="AS46" s="160" t="s">
        <v>1695</v>
      </c>
      <c r="AT46" s="268"/>
      <c r="AU46" s="160"/>
      <c r="AV46" s="30" t="s">
        <v>2175</v>
      </c>
      <c r="AW46" s="638"/>
      <c r="AX46" s="3"/>
      <c r="AY46" s="161">
        <v>-2000000</v>
      </c>
      <c r="AZ46" s="161">
        <v>-2000000</v>
      </c>
      <c r="BA46" s="638"/>
      <c r="BB46" s="638"/>
      <c r="BC46" s="161"/>
    </row>
    <row r="47" spans="1:55" s="5" customFormat="1" ht="50.45" customHeight="1">
      <c r="A47" s="160">
        <f t="shared" si="2"/>
        <v>43</v>
      </c>
      <c r="B47" s="160">
        <f>'תקציב החברה לפיתוח 2022'!B87</f>
        <v>2191</v>
      </c>
      <c r="C47" s="289" t="str">
        <f>'תקציב החברה לפיתוח 2022'!C87</f>
        <v>עבודות ניקוז רחוב סוקולוב</v>
      </c>
      <c r="D47" s="161">
        <f>'תקציב החברה לפיתוח 2022'!D87</f>
        <v>14000000</v>
      </c>
      <c r="E47" s="160">
        <f>'תקציב החברה לפיתוח 2022'!E87</f>
        <v>500000</v>
      </c>
      <c r="F47" s="160">
        <f>'תקציב החברה לפיתוח 2022'!F87</f>
        <v>13500000</v>
      </c>
      <c r="G47" s="160">
        <f>'תקציב החברה לפיתוח 2022'!G87</f>
        <v>500000</v>
      </c>
      <c r="H47" s="160">
        <f>'תקציב החברה לפיתוח 2022'!H87</f>
        <v>0</v>
      </c>
      <c r="I47" s="160">
        <f>'תקציב החברה לפיתוח 2022'!I87</f>
        <v>0</v>
      </c>
      <c r="J47" s="160">
        <f>'תקציב החברה לפיתוח 2022'!J87</f>
        <v>0</v>
      </c>
      <c r="K47" s="160">
        <f>'תקציב החברה לפיתוח 2022'!K87</f>
        <v>0</v>
      </c>
      <c r="L47" s="161">
        <f>'תקציב החברה לפיתוח 2022'!L87</f>
        <v>0</v>
      </c>
      <c r="M47" s="161">
        <f>'תקציב החברה לפיתוח 2022'!M87</f>
        <v>500000</v>
      </c>
      <c r="N47" s="161">
        <f>'תקציב החברה לפיתוח 2022'!N87</f>
        <v>200000</v>
      </c>
      <c r="O47" s="161">
        <f>'תקציב החברה לפיתוח 2022'!O87</f>
        <v>13300000</v>
      </c>
      <c r="P47" s="161">
        <f>'תקציב החברה לפיתוח 2022'!P87</f>
        <v>500000</v>
      </c>
      <c r="Q47" s="161">
        <f>'תקציב החברה לפיתוח 2022'!Q87</f>
        <v>0</v>
      </c>
      <c r="R47" s="161">
        <f>'תקציב החברה לפיתוח 2022'!R87</f>
        <v>0</v>
      </c>
      <c r="S47" s="161">
        <f>'תקציב החברה לפיתוח 2022'!S87</f>
        <v>0</v>
      </c>
      <c r="T47" s="161">
        <f>'תקציב החברה לפיתוח 2022'!T87</f>
        <v>0</v>
      </c>
      <c r="U47" s="161">
        <f>'תקציב החברה לפיתוח 2022'!U87</f>
        <v>200000</v>
      </c>
      <c r="V47" s="161">
        <f>'תקציב החברה לפיתוח 2022'!V87</f>
        <v>200000</v>
      </c>
      <c r="W47" s="161">
        <f>'תקציב החברה לפיתוח 2022'!W87</f>
        <v>0</v>
      </c>
      <c r="X47" s="161">
        <f>'תקציב החברה לפיתוח 2022'!X87</f>
        <v>0</v>
      </c>
      <c r="Y47" s="161">
        <f>'תקציב החברה לפיתוח 2022'!Y87</f>
        <v>0</v>
      </c>
      <c r="Z47" s="161">
        <f>'תקציב החברה לפיתוח 2022'!Z87</f>
        <v>0</v>
      </c>
      <c r="AA47" s="161">
        <f>'תקציב החברה לפיתוח 2022'!AA87</f>
        <v>0</v>
      </c>
      <c r="AB47" s="289" t="str">
        <f>'תקציב החברה לפיתוח 2022'!AB87</f>
        <v>תכנון וביצוע ניקוז ברחוב סוקולוב בשיתוף עם תאגיד המים. במסגרת תוכ. אב לניקוז.</v>
      </c>
      <c r="AC47" s="160">
        <f>'תקציב החברה לפיתוח 2022'!AC87</f>
        <v>742000</v>
      </c>
      <c r="AD47" s="157"/>
      <c r="AE47" s="157" t="s">
        <v>1716</v>
      </c>
      <c r="AF47" s="374"/>
      <c r="AG47" s="3"/>
      <c r="AH47" s="3"/>
      <c r="AI47" s="3"/>
      <c r="AJ47" s="3"/>
      <c r="AK47" s="3"/>
      <c r="AL47" s="3"/>
      <c r="AM47" s="3"/>
      <c r="AN47" s="277"/>
      <c r="AO47" s="160"/>
      <c r="AP47" s="157"/>
      <c r="AQ47" s="3"/>
      <c r="AR47" s="3"/>
      <c r="AS47" s="357" t="s">
        <v>1717</v>
      </c>
      <c r="AT47" s="268"/>
      <c r="AU47" s="357" t="s">
        <v>1718</v>
      </c>
      <c r="AV47" s="357"/>
      <c r="AW47" s="638"/>
      <c r="AX47" s="3"/>
      <c r="AY47" s="161"/>
      <c r="AZ47" s="161"/>
      <c r="BA47" s="664"/>
      <c r="BB47" s="638"/>
      <c r="BC47" s="161"/>
    </row>
    <row r="48" spans="1:55" s="5" customFormat="1" ht="60">
      <c r="A48" s="160">
        <f t="shared" si="2"/>
        <v>44</v>
      </c>
      <c r="B48" s="160">
        <f>'תקציב החברה לפיתוח 2022'!B88</f>
        <v>2194</v>
      </c>
      <c r="C48" s="289" t="str">
        <f>'תקציב החברה לפיתוח 2022'!C88</f>
        <v xml:space="preserve">עבודות ניקוז  רחוב רבינו תם </v>
      </c>
      <c r="D48" s="161">
        <f>'תקציב החברה לפיתוח 2022'!D88</f>
        <v>700000</v>
      </c>
      <c r="E48" s="160">
        <f>'תקציב החברה לפיתוח 2022'!E88</f>
        <v>700000</v>
      </c>
      <c r="F48" s="160">
        <f>'תקציב החברה לפיתוח 2022'!F88</f>
        <v>0</v>
      </c>
      <c r="G48" s="160">
        <f>'תקציב החברה לפיתוח 2022'!G88</f>
        <v>500000</v>
      </c>
      <c r="H48" s="160">
        <f>'תקציב החברה לפיתוח 2022'!H88</f>
        <v>0</v>
      </c>
      <c r="I48" s="160">
        <f>'תקציב החברה לפיתוח 2022'!I88</f>
        <v>0</v>
      </c>
      <c r="J48" s="160">
        <f>'תקציב החברה לפיתוח 2022'!J88</f>
        <v>0</v>
      </c>
      <c r="K48" s="160">
        <f>'תקציב החברה לפיתוח 2022'!K88</f>
        <v>0</v>
      </c>
      <c r="L48" s="161">
        <f>'תקציב החברה לפיתוח 2022'!L88</f>
        <v>0</v>
      </c>
      <c r="M48" s="161">
        <f>'תקציב החברה לפיתוח 2022'!M88</f>
        <v>500000</v>
      </c>
      <c r="N48" s="161">
        <f>'תקציב החברה לפיתוח 2022'!N88</f>
        <v>200000</v>
      </c>
      <c r="O48" s="161">
        <f>'תקציב החברה לפיתוח 2022'!O88</f>
        <v>0</v>
      </c>
      <c r="P48" s="161">
        <f>'תקציב החברה לפיתוח 2022'!P88</f>
        <v>500000</v>
      </c>
      <c r="Q48" s="161">
        <f>'תקציב החברה לפיתוח 2022'!Q88</f>
        <v>0</v>
      </c>
      <c r="R48" s="161">
        <f>'תקציב החברה לפיתוח 2022'!R88</f>
        <v>0</v>
      </c>
      <c r="S48" s="161">
        <f>'תקציב החברה לפיתוח 2022'!S88</f>
        <v>0</v>
      </c>
      <c r="T48" s="161">
        <f>'תקציב החברה לפיתוח 2022'!T88</f>
        <v>0</v>
      </c>
      <c r="U48" s="161">
        <f>'תקציב החברה לפיתוח 2022'!U88</f>
        <v>200000</v>
      </c>
      <c r="V48" s="161">
        <f>'תקציב החברה לפיתוח 2022'!V88</f>
        <v>200000</v>
      </c>
      <c r="W48" s="161">
        <f>'תקציב החברה לפיתוח 2022'!W88</f>
        <v>0</v>
      </c>
      <c r="X48" s="161">
        <f>'תקציב החברה לפיתוח 2022'!X88</f>
        <v>0</v>
      </c>
      <c r="Y48" s="161">
        <f>'תקציב החברה לפיתוח 2022'!Y88</f>
        <v>0</v>
      </c>
      <c r="Z48" s="161">
        <f>'תקציב החברה לפיתוח 2022'!Z88</f>
        <v>0</v>
      </c>
      <c r="AA48" s="161">
        <f>'תקציב החברה לפיתוח 2022'!AA88</f>
        <v>0</v>
      </c>
      <c r="AB48" s="289" t="str">
        <f>'תקציב החברה לפיתוח 2022'!AB88</f>
        <v>תכנון וביצוע ניקוז ברחוב רבנו תם בשיתוף עם תאגיד המים. במסגרת תוכ. אב לניקוז.</v>
      </c>
      <c r="AC48" s="160">
        <f>'תקציב החברה לפיתוח 2022'!AC88</f>
        <v>742000</v>
      </c>
      <c r="AD48" s="157"/>
      <c r="AE48" s="157" t="s">
        <v>1716</v>
      </c>
      <c r="AF48" s="374"/>
      <c r="AG48" s="3"/>
      <c r="AH48" s="3"/>
      <c r="AI48" s="3"/>
      <c r="AJ48" s="3"/>
      <c r="AK48" s="3"/>
      <c r="AL48" s="3"/>
      <c r="AM48" s="3"/>
      <c r="AN48" s="277"/>
      <c r="AO48" s="160"/>
      <c r="AP48" s="157"/>
      <c r="AQ48" s="3"/>
      <c r="AR48" s="3"/>
      <c r="AS48" s="357" t="s">
        <v>1720</v>
      </c>
      <c r="AT48" s="268"/>
      <c r="AU48" s="357" t="s">
        <v>1720</v>
      </c>
      <c r="AV48" s="357"/>
      <c r="AW48" s="638"/>
      <c r="AX48" s="3"/>
      <c r="AY48" s="161"/>
      <c r="AZ48" s="161"/>
      <c r="BA48" s="664"/>
      <c r="BB48" s="638"/>
      <c r="BC48" s="161"/>
    </row>
    <row r="49" spans="1:55" s="5" customFormat="1" ht="60">
      <c r="A49" s="160">
        <f t="shared" si="2"/>
        <v>45</v>
      </c>
      <c r="B49" s="160">
        <f>'תקציב החברה לפיתוח 2022'!B89</f>
        <v>2196</v>
      </c>
      <c r="C49" s="289" t="str">
        <f>'תקציב החברה לפיתוח 2022'!C89</f>
        <v xml:space="preserve">עבודות ניקוז   רחוב הרב גורן </v>
      </c>
      <c r="D49" s="161">
        <f>'תקציב החברה לפיתוח 2022'!D89</f>
        <v>21135000</v>
      </c>
      <c r="E49" s="160">
        <f>'תקציב החברה לפיתוח 2022'!E89</f>
        <v>2000000</v>
      </c>
      <c r="F49" s="160">
        <f>'תקציב החברה לפיתוח 2022'!F89</f>
        <v>19135000</v>
      </c>
      <c r="G49" s="160">
        <f>'תקציב החברה לפיתוח 2022'!G89</f>
        <v>400000</v>
      </c>
      <c r="H49" s="160">
        <f>'תקציב החברה לפיתוח 2022'!H89</f>
        <v>0</v>
      </c>
      <c r="I49" s="160">
        <f>'תקציב החברה לפיתוח 2022'!I89</f>
        <v>0</v>
      </c>
      <c r="J49" s="160">
        <f>'תקציב החברה לפיתוח 2022'!J89</f>
        <v>0</v>
      </c>
      <c r="K49" s="160">
        <f>'תקציב החברה לפיתוח 2022'!K89</f>
        <v>0</v>
      </c>
      <c r="L49" s="161">
        <f>'תקציב החברה לפיתוח 2022'!L89</f>
        <v>0</v>
      </c>
      <c r="M49" s="161">
        <f>'תקציב החברה לפיתוח 2022'!M89</f>
        <v>400000</v>
      </c>
      <c r="N49" s="161">
        <f>'תקציב החברה לפיתוח 2022'!N89</f>
        <v>600000</v>
      </c>
      <c r="O49" s="161">
        <f>'תקציב החברה לפיתוח 2022'!O89</f>
        <v>20135000</v>
      </c>
      <c r="P49" s="161">
        <f>'תקציב החברה לפיתוח 2022'!P89</f>
        <v>400000</v>
      </c>
      <c r="Q49" s="161">
        <f>'תקציב החברה לפיתוח 2022'!Q89</f>
        <v>0</v>
      </c>
      <c r="R49" s="161">
        <f>'תקציב החברה לפיתוח 2022'!R89</f>
        <v>0</v>
      </c>
      <c r="S49" s="161">
        <f>'תקציב החברה לפיתוח 2022'!S89</f>
        <v>0</v>
      </c>
      <c r="T49" s="161">
        <f>'תקציב החברה לפיתוח 2022'!T89</f>
        <v>0</v>
      </c>
      <c r="U49" s="161">
        <f>'תקציב החברה לפיתוח 2022'!U89</f>
        <v>600000</v>
      </c>
      <c r="V49" s="161">
        <f>'תקציב החברה לפיתוח 2022'!V89</f>
        <v>600000</v>
      </c>
      <c r="W49" s="161">
        <f>'תקציב החברה לפיתוח 2022'!W89</f>
        <v>0</v>
      </c>
      <c r="X49" s="161">
        <f>'תקציב החברה לפיתוח 2022'!X89</f>
        <v>0</v>
      </c>
      <c r="Y49" s="161">
        <f>'תקציב החברה לפיתוח 2022'!Y89</f>
        <v>0</v>
      </c>
      <c r="Z49" s="161">
        <f>'תקציב החברה לפיתוח 2022'!Z89</f>
        <v>0</v>
      </c>
      <c r="AA49" s="161">
        <f>'תקציב החברה לפיתוח 2022'!AA89</f>
        <v>0</v>
      </c>
      <c r="AB49" s="289" t="str">
        <f>'תקציב החברה לפיתוח 2022'!AB89</f>
        <v>תכנון וביצוע ניקוז ברחוב הרב גורן בשיתוף עם תאגיד המים. במסגרת תוכ. אב לניקוז.</v>
      </c>
      <c r="AC49" s="160">
        <f>'תקציב החברה לפיתוח 2022'!AC89</f>
        <v>742000</v>
      </c>
      <c r="AD49" s="157"/>
      <c r="AE49" s="157" t="s">
        <v>1716</v>
      </c>
      <c r="AF49" s="374"/>
      <c r="AG49" s="3"/>
      <c r="AH49" s="3"/>
      <c r="AI49" s="3"/>
      <c r="AJ49" s="3"/>
      <c r="AK49" s="3"/>
      <c r="AL49" s="3"/>
      <c r="AM49" s="3"/>
      <c r="AN49" s="277"/>
      <c r="AO49" s="160"/>
      <c r="AP49" s="157"/>
      <c r="AQ49" s="3"/>
      <c r="AR49" s="3"/>
      <c r="AS49" s="357" t="s">
        <v>1720</v>
      </c>
      <c r="AT49" s="268"/>
      <c r="AU49" s="357" t="s">
        <v>1720</v>
      </c>
      <c r="AV49" s="357"/>
      <c r="AW49" s="638"/>
      <c r="AX49" s="3"/>
      <c r="AY49" s="161"/>
      <c r="AZ49" s="161"/>
      <c r="BA49" s="664"/>
      <c r="BB49" s="638"/>
      <c r="BC49" s="161"/>
    </row>
    <row r="50" spans="1:55" s="170" customFormat="1" ht="60">
      <c r="A50" s="160">
        <f t="shared" si="2"/>
        <v>46</v>
      </c>
      <c r="B50" s="160">
        <f>'תקציב החברה לפיתוח 2022'!B90</f>
        <v>2197</v>
      </c>
      <c r="C50" s="289" t="str">
        <f>'תקציב החברה לפיתוח 2022'!C90</f>
        <v xml:space="preserve">עבודות ניקוז   רחוב רוחמה ושבטי ישראל </v>
      </c>
      <c r="D50" s="161">
        <f>'תקציב החברה לפיתוח 2022'!D90</f>
        <v>15160000</v>
      </c>
      <c r="E50" s="160">
        <f>'תקציב החברה לפיתוח 2022'!E90</f>
        <v>4000000</v>
      </c>
      <c r="F50" s="160">
        <f>'תקציב החברה לפיתוח 2022'!F90</f>
        <v>11160000</v>
      </c>
      <c r="G50" s="160">
        <f>'תקציב החברה לפיתוח 2022'!G90</f>
        <v>300000</v>
      </c>
      <c r="H50" s="160">
        <f>'תקציב החברה לפיתוח 2022'!H90</f>
        <v>0</v>
      </c>
      <c r="I50" s="160">
        <f>'תקציב החברה לפיתוח 2022'!I90</f>
        <v>0</v>
      </c>
      <c r="J50" s="160">
        <f>'תקציב החברה לפיתוח 2022'!J90</f>
        <v>0</v>
      </c>
      <c r="K50" s="160">
        <f>'תקציב החברה לפיתוח 2022'!K90</f>
        <v>0</v>
      </c>
      <c r="L50" s="161">
        <f>'תקציב החברה לפיתוח 2022'!L90</f>
        <v>0</v>
      </c>
      <c r="M50" s="161">
        <f>'תקציב החברה לפיתוח 2022'!M90</f>
        <v>300000</v>
      </c>
      <c r="N50" s="161">
        <f>'תקציב החברה לפיתוח 2022'!N90</f>
        <v>400000</v>
      </c>
      <c r="O50" s="161">
        <f>'תקציב החברה לפיתוח 2022'!O90</f>
        <v>14460000</v>
      </c>
      <c r="P50" s="161">
        <f>'תקציב החברה לפיתוח 2022'!P90</f>
        <v>300000</v>
      </c>
      <c r="Q50" s="161">
        <f>'תקציב החברה לפיתוח 2022'!Q90</f>
        <v>0</v>
      </c>
      <c r="R50" s="161">
        <f>'תקציב החברה לפיתוח 2022'!R90</f>
        <v>0</v>
      </c>
      <c r="S50" s="161">
        <f>'תקציב החברה לפיתוח 2022'!S90</f>
        <v>0</v>
      </c>
      <c r="T50" s="161">
        <f>'תקציב החברה לפיתוח 2022'!T90</f>
        <v>0</v>
      </c>
      <c r="U50" s="161">
        <f>'תקציב החברה לפיתוח 2022'!U90</f>
        <v>400000</v>
      </c>
      <c r="V50" s="161">
        <f>'תקציב החברה לפיתוח 2022'!V90</f>
        <v>400000</v>
      </c>
      <c r="W50" s="161">
        <f>'תקציב החברה לפיתוח 2022'!W90</f>
        <v>0</v>
      </c>
      <c r="X50" s="161">
        <f>'תקציב החברה לפיתוח 2022'!X90</f>
        <v>0</v>
      </c>
      <c r="Y50" s="161">
        <f>'תקציב החברה לפיתוח 2022'!Y90</f>
        <v>0</v>
      </c>
      <c r="Z50" s="161">
        <f>'תקציב החברה לפיתוח 2022'!Z90</f>
        <v>0</v>
      </c>
      <c r="AA50" s="161">
        <f>'תקציב החברה לפיתוח 2022'!AA90</f>
        <v>0</v>
      </c>
      <c r="AB50" s="289" t="str">
        <f>'תקציב החברה לפיתוח 2022'!AB90</f>
        <v>תכנון וביצוע ניקוז ברחוב רוחמה ושבאי ישראל בשיתוף עם תאגיד המים. במסגרת תוכ. אב לניקוז.</v>
      </c>
      <c r="AC50" s="160">
        <f>'תקציב החברה לפיתוח 2022'!AC90</f>
        <v>742000</v>
      </c>
      <c r="AD50" s="157"/>
      <c r="AE50" s="157" t="s">
        <v>1716</v>
      </c>
      <c r="AF50" s="374"/>
      <c r="AG50" s="3"/>
      <c r="AH50" s="3"/>
      <c r="AI50" s="3"/>
      <c r="AJ50" s="3"/>
      <c r="AK50" s="3"/>
      <c r="AL50" s="3"/>
      <c r="AM50" s="3"/>
      <c r="AN50" s="277"/>
      <c r="AO50" s="160"/>
      <c r="AP50" s="157"/>
      <c r="AQ50" s="3"/>
      <c r="AR50" s="3"/>
      <c r="AS50" s="357" t="s">
        <v>1720</v>
      </c>
      <c r="AT50" s="268"/>
      <c r="AU50" s="357" t="s">
        <v>1720</v>
      </c>
      <c r="AV50" s="357"/>
      <c r="AW50" s="638"/>
      <c r="AX50" s="3"/>
      <c r="AY50" s="161"/>
      <c r="AZ50" s="161"/>
      <c r="BA50" s="664"/>
      <c r="BB50" s="638"/>
      <c r="BC50" s="161"/>
    </row>
    <row r="51" spans="1:55" ht="45">
      <c r="A51" s="160">
        <f t="shared" si="2"/>
        <v>47</v>
      </c>
      <c r="B51" s="160">
        <f>'תקציב החברה לפיתוח 2022'!B91</f>
        <v>2198</v>
      </c>
      <c r="C51" s="289" t="str">
        <f>'תקציב החברה לפיתוח 2022'!C91</f>
        <v>פיתוח דרך מזרחית מקבילה לקיבוץ גלויות</v>
      </c>
      <c r="D51" s="161">
        <f>'תקציב החברה לפיתוח 2022'!D91</f>
        <v>16030000</v>
      </c>
      <c r="E51" s="160">
        <f>'תקציב החברה לפיתוח 2022'!E91</f>
        <v>9500000</v>
      </c>
      <c r="F51" s="160">
        <f>'תקציב החברה לפיתוח 2022'!F91</f>
        <v>6530000</v>
      </c>
      <c r="G51" s="160">
        <f>'תקציב החברה לפיתוח 2022'!G91</f>
        <v>500000</v>
      </c>
      <c r="H51" s="160">
        <f>'תקציב החברה לפיתוח 2022'!H91</f>
        <v>0</v>
      </c>
      <c r="I51" s="160">
        <f>'תקציב החברה לפיתוח 2022'!I91</f>
        <v>0</v>
      </c>
      <c r="J51" s="160">
        <f>'תקציב החברה לפיתוח 2022'!J91</f>
        <v>0</v>
      </c>
      <c r="K51" s="160">
        <f>'תקציב החברה לפיתוח 2022'!K91</f>
        <v>0</v>
      </c>
      <c r="L51" s="161">
        <f>'תקציב החברה לפיתוח 2022'!L91</f>
        <v>0</v>
      </c>
      <c r="M51" s="161">
        <f>'תקציב החברה לפיתוח 2022'!M91</f>
        <v>500000</v>
      </c>
      <c r="N51" s="161">
        <f>'תקציב החברה לפיתוח 2022'!N91</f>
        <v>300000</v>
      </c>
      <c r="O51" s="161">
        <f>'תקציב החברה לפיתוח 2022'!O91</f>
        <v>15230000</v>
      </c>
      <c r="P51" s="161">
        <f>'תקציב החברה לפיתוח 2022'!P91</f>
        <v>500000</v>
      </c>
      <c r="Q51" s="161">
        <f>'תקציב החברה לפיתוח 2022'!Q91</f>
        <v>0</v>
      </c>
      <c r="R51" s="161">
        <f>'תקציב החברה לפיתוח 2022'!R91</f>
        <v>0</v>
      </c>
      <c r="S51" s="161">
        <f>'תקציב החברה לפיתוח 2022'!S91</f>
        <v>0</v>
      </c>
      <c r="T51" s="161">
        <f>'תקציב החברה לפיתוח 2022'!T91</f>
        <v>0</v>
      </c>
      <c r="U51" s="161">
        <f>'תקציב החברה לפיתוח 2022'!U91</f>
        <v>300000</v>
      </c>
      <c r="V51" s="161">
        <f>'תקציב החברה לפיתוח 2022'!V91</f>
        <v>300000</v>
      </c>
      <c r="W51" s="161">
        <f>'תקציב החברה לפיתוח 2022'!W91</f>
        <v>0</v>
      </c>
      <c r="X51" s="161">
        <f>'תקציב החברה לפיתוח 2022'!X91</f>
        <v>0</v>
      </c>
      <c r="Y51" s="161">
        <f>'תקציב החברה לפיתוח 2022'!Y91</f>
        <v>0</v>
      </c>
      <c r="Z51" s="161">
        <f>'תקציב החברה לפיתוח 2022'!Z91</f>
        <v>0</v>
      </c>
      <c r="AA51" s="161">
        <f>'תקציב החברה לפיתוח 2022'!AA91</f>
        <v>0</v>
      </c>
      <c r="AB51" s="289" t="str">
        <f>'תקציב החברה לפיתוח 2022'!AB91</f>
        <v>פיתוח רחוב חדש המזרחי ביותר בנווה עמל.  תכנון.</v>
      </c>
      <c r="AC51" s="160">
        <f>'תקציב החברה לפיתוח 2022'!AC91</f>
        <v>742000</v>
      </c>
      <c r="AD51" s="157"/>
      <c r="AE51" s="157" t="s">
        <v>1716</v>
      </c>
      <c r="AF51" s="374"/>
      <c r="AG51" s="3"/>
      <c r="AH51" s="3"/>
      <c r="AI51" s="3"/>
      <c r="AJ51" s="3"/>
      <c r="AK51" s="3"/>
      <c r="AL51" s="3"/>
      <c r="AM51" s="3"/>
      <c r="AN51" s="277"/>
      <c r="AO51" s="160"/>
      <c r="AP51" s="157"/>
      <c r="AQ51" s="3"/>
      <c r="AR51" s="3"/>
      <c r="AS51" s="3" t="s">
        <v>1723</v>
      </c>
      <c r="AT51" s="268"/>
      <c r="AU51" s="3"/>
      <c r="AV51" s="30"/>
      <c r="AW51" s="638"/>
      <c r="AX51" s="3"/>
      <c r="AY51" s="161"/>
      <c r="AZ51" s="161"/>
      <c r="BA51" s="638"/>
      <c r="BB51" s="638"/>
      <c r="BC51" s="161"/>
    </row>
    <row r="52" spans="1:55" ht="30" customHeight="1">
      <c r="A52" s="160">
        <f t="shared" si="2"/>
        <v>48</v>
      </c>
      <c r="B52" s="160">
        <f>'תקציב החברה לפיתוח 2022'!B116</f>
        <v>1547</v>
      </c>
      <c r="C52" s="289" t="str">
        <f>'תקציב החברה לפיתוח 2022'!C116</f>
        <v>פיתוח מתחם גליל ים הר' 1985 א'</v>
      </c>
      <c r="D52" s="161">
        <f>'תקציב החברה לפיתוח 2022'!D116</f>
        <v>144000000</v>
      </c>
      <c r="E52" s="161">
        <f>'תקציב החברה לפיתוח 2022'!E116</f>
        <v>144000000</v>
      </c>
      <c r="F52" s="161">
        <f>'תקציב החברה לפיתוח 2022'!F116</f>
        <v>0</v>
      </c>
      <c r="G52" s="161">
        <f>'תקציב החברה לפיתוח 2022'!G116</f>
        <v>114000000</v>
      </c>
      <c r="H52" s="161">
        <f>'תקציב החברה לפיתוח 2022'!H116</f>
        <v>104414485</v>
      </c>
      <c r="I52" s="161">
        <f>'תקציב החברה לפיתוח 2022'!I116</f>
        <v>0</v>
      </c>
      <c r="J52" s="161">
        <f>'תקציב החברה לפיתוח 2022'!J116</f>
        <v>2378300</v>
      </c>
      <c r="K52" s="161">
        <f>'תקציב החברה לפיתוח 2022'!K116</f>
        <v>2378300</v>
      </c>
      <c r="L52" s="161">
        <f>'תקציב החברה לפיתוח 2022'!L116</f>
        <v>106792785</v>
      </c>
      <c r="M52" s="161">
        <f>'תקציב החברה לפיתוח 2022'!M116</f>
        <v>7207215</v>
      </c>
      <c r="N52" s="161">
        <f>'תקציב החברה לפיתוח 2022'!N116</f>
        <v>0</v>
      </c>
      <c r="O52" s="161">
        <f>'תקציב החברה לפיתוח 2022'!O116</f>
        <v>30000000</v>
      </c>
      <c r="P52" s="161">
        <f>'תקציב החברה לפיתוח 2022'!P116</f>
        <v>7207215</v>
      </c>
      <c r="Q52" s="161">
        <f>'תקציב החברה לפיתוח 2022'!Q116</f>
        <v>0</v>
      </c>
      <c r="R52" s="161">
        <f>'תקציב החברה לפיתוח 2022'!R116</f>
        <v>0</v>
      </c>
      <c r="S52" s="161">
        <f>'תקציב החברה לפיתוח 2022'!S116</f>
        <v>0</v>
      </c>
      <c r="T52" s="161">
        <f>'תקציב החברה לפיתוח 2022'!T116</f>
        <v>0</v>
      </c>
      <c r="U52" s="161">
        <f>'תקציב החברה לפיתוח 2022'!U116</f>
        <v>0</v>
      </c>
      <c r="V52" s="161">
        <f>'תקציב החברה לפיתוח 2022'!V116</f>
        <v>0</v>
      </c>
      <c r="W52" s="161">
        <f>'תקציב החברה לפיתוח 2022'!W116</f>
        <v>0</v>
      </c>
      <c r="X52" s="161">
        <f>'תקציב החברה לפיתוח 2022'!X116</f>
        <v>0</v>
      </c>
      <c r="Y52" s="161">
        <f>'תקציב החברה לפיתוח 2022'!Y116</f>
        <v>0</v>
      </c>
      <c r="Z52" s="161">
        <f>'תקציב החברה לפיתוח 2022'!Z116</f>
        <v>0</v>
      </c>
      <c r="AA52" s="161">
        <f>'תקציב החברה לפיתוח 2022'!AA116</f>
        <v>0</v>
      </c>
      <c r="AB52" s="289" t="str">
        <f>'תקציב החברה לפיתוח 2022'!AB116</f>
        <v>עבודות פיתוח. מימון רמ"י במסגרת הסכם "הגג".</v>
      </c>
      <c r="AC52" s="160">
        <f>'תקציב החברה לפיתוח 2022'!AC116</f>
        <v>742000</v>
      </c>
      <c r="AD52" s="157"/>
      <c r="AE52" s="157" t="s">
        <v>1758</v>
      </c>
      <c r="AF52" s="171"/>
      <c r="AG52" s="171"/>
      <c r="AH52" s="171"/>
      <c r="AI52" s="171"/>
      <c r="AJ52" s="171"/>
      <c r="AK52" s="160"/>
      <c r="AL52" s="160"/>
      <c r="AM52" s="266" t="s">
        <v>1759</v>
      </c>
      <c r="AN52" s="277"/>
      <c r="AO52" s="160" t="s">
        <v>1760</v>
      </c>
      <c r="AP52" s="160"/>
      <c r="AQ52" s="160"/>
      <c r="AR52" s="160"/>
      <c r="AS52" s="160"/>
      <c r="AT52" s="268"/>
      <c r="AU52" s="160"/>
      <c r="AV52" s="160"/>
      <c r="AW52" s="638"/>
      <c r="AX52" s="160"/>
      <c r="AY52" s="161"/>
      <c r="AZ52" s="161"/>
      <c r="BA52" s="660"/>
      <c r="BB52" s="638"/>
      <c r="BC52" s="161"/>
    </row>
    <row r="53" spans="1:55" s="164" customFormat="1" ht="30" customHeight="1">
      <c r="A53" s="160">
        <f t="shared" si="2"/>
        <v>49</v>
      </c>
      <c r="B53" s="160">
        <f>'תקציב החברה לפיתוח 2022'!B124</f>
        <v>1919</v>
      </c>
      <c r="C53" s="289" t="str">
        <f>'תקציב החברה לפיתוח 2022'!C124</f>
        <v>פיתוח גליל ים ב'</v>
      </c>
      <c r="D53" s="161">
        <f>'תקציב החברה לפיתוח 2022'!D124</f>
        <v>135100000</v>
      </c>
      <c r="E53" s="161">
        <f>'תקציב החברה לפיתוח 2022'!E124</f>
        <v>135100000</v>
      </c>
      <c r="F53" s="161">
        <f>'תקציב החברה לפיתוח 2022'!F124</f>
        <v>0</v>
      </c>
      <c r="G53" s="161">
        <f>'תקציב החברה לפיתוח 2022'!G124</f>
        <v>70359741</v>
      </c>
      <c r="H53" s="161">
        <f>'תקציב החברה לפיתוח 2022'!H124</f>
        <v>56023508</v>
      </c>
      <c r="I53" s="161">
        <f>'תקציב החברה לפיתוח 2022'!I124</f>
        <v>0</v>
      </c>
      <c r="J53" s="161">
        <f>'תקציב החברה לפיתוח 2022'!J124</f>
        <v>2291671</v>
      </c>
      <c r="K53" s="161">
        <f>'תקציב החברה לפיתוח 2022'!K124</f>
        <v>2291671</v>
      </c>
      <c r="L53" s="161">
        <f>'תקציב החברה לפיתוח 2022'!L124</f>
        <v>58315179</v>
      </c>
      <c r="M53" s="161">
        <f>'תקציב החברה לפיתוח 2022'!M124</f>
        <v>13709655</v>
      </c>
      <c r="N53" s="161">
        <f>'תקציב החברה לפיתוח 2022'!N124</f>
        <v>0</v>
      </c>
      <c r="O53" s="161">
        <f>'תקציב החברה לפיתוח 2022'!O124</f>
        <v>63075166</v>
      </c>
      <c r="P53" s="161">
        <f>'תקציב החברה לפיתוח 2022'!P124</f>
        <v>12044562</v>
      </c>
      <c r="Q53" s="161">
        <f>'תקציב החברה לפיתוח 2022'!Q124</f>
        <v>0</v>
      </c>
      <c r="R53" s="161">
        <f>'תקציב החברה לפיתוח 2022'!R124</f>
        <v>1665093</v>
      </c>
      <c r="S53" s="161">
        <f>'תקציב החברה לפיתוח 2022'!S124</f>
        <v>1665093</v>
      </c>
      <c r="T53" s="161">
        <f>'תקציב החברה לפיתוח 2022'!T124</f>
        <v>0</v>
      </c>
      <c r="U53" s="161">
        <f>'תקציב החברה לפיתוח 2022'!U124</f>
        <v>0</v>
      </c>
      <c r="V53" s="161">
        <f>'תקציב החברה לפיתוח 2022'!V124</f>
        <v>0</v>
      </c>
      <c r="W53" s="161">
        <f>'תקציב החברה לפיתוח 2022'!W124</f>
        <v>0</v>
      </c>
      <c r="X53" s="161">
        <f>'תקציב החברה לפיתוח 2022'!X124</f>
        <v>0</v>
      </c>
      <c r="Y53" s="161">
        <f>'תקציב החברה לפיתוח 2022'!Y124</f>
        <v>0</v>
      </c>
      <c r="Z53" s="161">
        <f>'תקציב החברה לפיתוח 2022'!Z124</f>
        <v>0</v>
      </c>
      <c r="AA53" s="161">
        <f>'תקציב החברה לפיתוח 2022'!AA124</f>
        <v>0</v>
      </c>
      <c r="AB53" s="289" t="str">
        <f>'תקציב החברה לפיתוח 2022'!AB124</f>
        <v xml:space="preserve">עבודות פיתוח. מימון רמ"י במסגרת הסכם "הגג". </v>
      </c>
      <c r="AC53" s="160">
        <f>'תקציב החברה לפיתוח 2022'!AC124</f>
        <v>742000</v>
      </c>
      <c r="AD53" s="157"/>
      <c r="AE53" s="157"/>
      <c r="AF53" s="171"/>
      <c r="AG53" s="171"/>
      <c r="AH53" s="171"/>
      <c r="AI53" s="171"/>
      <c r="AJ53" s="171"/>
      <c r="AK53" s="171"/>
      <c r="AL53" s="171"/>
      <c r="AM53" s="157" t="s">
        <v>1776</v>
      </c>
      <c r="AN53" s="277"/>
      <c r="AO53" s="160" t="s">
        <v>1777</v>
      </c>
      <c r="AP53" s="171"/>
      <c r="AQ53" s="171"/>
      <c r="AR53" s="171"/>
      <c r="AS53" s="171"/>
      <c r="AT53" s="268"/>
      <c r="AU53" s="171"/>
      <c r="AV53" s="171"/>
      <c r="AW53" s="640"/>
      <c r="AX53" s="171"/>
      <c r="AY53" s="161"/>
      <c r="AZ53" s="161"/>
      <c r="BA53" s="666"/>
      <c r="BB53" s="638"/>
      <c r="BC53" s="161"/>
    </row>
    <row r="54" spans="1:55" s="164" customFormat="1" ht="30">
      <c r="A54" s="160">
        <f t="shared" si="2"/>
        <v>50</v>
      </c>
      <c r="B54" s="160">
        <f>'תקציב החברה לפיתוח 2022'!B126</f>
        <v>1962</v>
      </c>
      <c r="C54" s="289" t="str">
        <f>'תקציב החברה לפיתוח 2022'!C126</f>
        <v>גשר הולכי רגל מעל שבעת הכוכבים</v>
      </c>
      <c r="D54" s="161">
        <f>'תקציב החברה לפיתוח 2022'!D126</f>
        <v>20000000</v>
      </c>
      <c r="E54" s="161">
        <f>'תקציב החברה לפיתוח 2022'!E126</f>
        <v>20000000</v>
      </c>
      <c r="F54" s="161">
        <f>'תקציב החברה לפיתוח 2022'!F126</f>
        <v>0</v>
      </c>
      <c r="G54" s="161">
        <f>'תקציב החברה לפיתוח 2022'!G126</f>
        <v>1000000</v>
      </c>
      <c r="H54" s="161">
        <f>'תקציב החברה לפיתוח 2022'!H126</f>
        <v>0</v>
      </c>
      <c r="I54" s="161">
        <f>'תקציב החברה לפיתוח 2022'!I126</f>
        <v>0</v>
      </c>
      <c r="J54" s="161">
        <f>'תקציב החברה לפיתוח 2022'!J126</f>
        <v>0</v>
      </c>
      <c r="K54" s="161">
        <f>'תקציב החברה לפיתוח 2022'!K126</f>
        <v>0</v>
      </c>
      <c r="L54" s="161">
        <f>'תקציב החברה לפיתוח 2022'!L126</f>
        <v>0</v>
      </c>
      <c r="M54" s="161">
        <f>'תקציב החברה לפיתוח 2022'!M126</f>
        <v>100000</v>
      </c>
      <c r="N54" s="161">
        <f>'תקציב החברה לפיתוח 2022'!N126</f>
        <v>0</v>
      </c>
      <c r="O54" s="161">
        <f>'תקציב החברה לפיתוח 2022'!O126</f>
        <v>19900000</v>
      </c>
      <c r="P54" s="161">
        <f>'תקציב החברה לפיתוח 2022'!P126</f>
        <v>1000000</v>
      </c>
      <c r="Q54" s="161">
        <f>'תקציב החברה לפיתוח 2022'!Q126</f>
        <v>0</v>
      </c>
      <c r="R54" s="161">
        <f>'תקציב החברה לפיתוח 2022'!R126</f>
        <v>0</v>
      </c>
      <c r="S54" s="161">
        <f>'תקציב החברה לפיתוח 2022'!S126</f>
        <v>0</v>
      </c>
      <c r="T54" s="161">
        <f>'תקציב החברה לפיתוח 2022'!T126</f>
        <v>900000</v>
      </c>
      <c r="U54" s="161">
        <f>'תקציב החברה לפיתוח 2022'!U126</f>
        <v>-900000</v>
      </c>
      <c r="V54" s="161">
        <f>'תקציב החברה לפיתוח 2022'!V126</f>
        <v>-900000</v>
      </c>
      <c r="W54" s="161">
        <f>'תקציב החברה לפיתוח 2022'!W126</f>
        <v>0</v>
      </c>
      <c r="X54" s="161">
        <f>'תקציב החברה לפיתוח 2022'!X126</f>
        <v>0</v>
      </c>
      <c r="Y54" s="161">
        <f>'תקציב החברה לפיתוח 2022'!Y126</f>
        <v>0</v>
      </c>
      <c r="Z54" s="161">
        <f>'תקציב החברה לפיתוח 2022'!Z126</f>
        <v>0</v>
      </c>
      <c r="AA54" s="161">
        <f>'תקציב החברה לפיתוח 2022'!AA126</f>
        <v>0</v>
      </c>
      <c r="AB54" s="289" t="str">
        <f>'תקציב החברה לפיתוח 2022'!AB126</f>
        <v>גשר מחבר בין הפארק לבין שבעת הכוכבים.</v>
      </c>
      <c r="AC54" s="160">
        <f>'תקציב החברה לפיתוח 2022'!AC126</f>
        <v>742000</v>
      </c>
      <c r="AD54" s="157"/>
      <c r="AE54" s="157" t="s">
        <v>1781</v>
      </c>
      <c r="AF54" s="171"/>
      <c r="AG54" s="171"/>
      <c r="AH54" s="171"/>
      <c r="AI54" s="171"/>
      <c r="AJ54" s="171"/>
      <c r="AK54" s="171"/>
      <c r="AL54" s="171"/>
      <c r="AM54" s="157" t="s">
        <v>1782</v>
      </c>
      <c r="AN54" s="277"/>
      <c r="AO54" s="160" t="s">
        <v>1783</v>
      </c>
      <c r="AP54" s="171"/>
      <c r="AQ54" s="171"/>
      <c r="AR54" s="171"/>
      <c r="AS54" s="3" t="s">
        <v>1784</v>
      </c>
      <c r="AT54" s="268"/>
      <c r="AU54" s="3"/>
      <c r="AV54" s="171"/>
      <c r="AW54" s="640"/>
      <c r="AX54" s="171"/>
      <c r="AY54" s="161"/>
      <c r="AZ54" s="161"/>
      <c r="BA54" s="666"/>
      <c r="BB54" s="638"/>
      <c r="BC54" s="161"/>
    </row>
    <row r="55" spans="1:55" s="164" customFormat="1" ht="51" customHeight="1">
      <c r="A55" s="160">
        <f t="shared" si="2"/>
        <v>51</v>
      </c>
      <c r="B55" s="160">
        <f>'תקציב החברה לפיתוח 2022'!B28</f>
        <v>1773</v>
      </c>
      <c r="C55" s="289" t="str">
        <f>'תקציב החברה לפיתוח 2022'!C28</f>
        <v>שיקום האגם בפארק</v>
      </c>
      <c r="D55" s="161">
        <f>'תקציב החברה לפיתוח 2022'!D28</f>
        <v>1500000</v>
      </c>
      <c r="E55" s="160">
        <f>'תקציב החברה לפיתוח 2022'!E28</f>
        <v>1500000</v>
      </c>
      <c r="F55" s="160">
        <f>'תקציב החברה לפיתוח 2022'!F28</f>
        <v>0</v>
      </c>
      <c r="G55" s="160">
        <f>'תקציב החברה לפיתוח 2022'!G28</f>
        <v>1500000</v>
      </c>
      <c r="H55" s="160">
        <f>'תקציב החברה לפיתוח 2022'!H28</f>
        <v>212004</v>
      </c>
      <c r="I55" s="160">
        <f>'תקציב החברה לפיתוח 2022'!I28</f>
        <v>17401</v>
      </c>
      <c r="J55" s="160">
        <f>'תקציב החברה לפיתוח 2022'!J28</f>
        <v>0</v>
      </c>
      <c r="K55" s="160">
        <f>'תקציב החברה לפיתוח 2022'!K28</f>
        <v>17401</v>
      </c>
      <c r="L55" s="161">
        <f>'תקציב החברה לפיתוח 2022'!L28</f>
        <v>229405</v>
      </c>
      <c r="M55" s="161">
        <f>'תקציב החברה לפיתוח 2022'!M28</f>
        <v>1270595</v>
      </c>
      <c r="N55" s="161">
        <f>'תקציב החברה לפיתוח 2022'!N28</f>
        <v>0</v>
      </c>
      <c r="O55" s="161">
        <f>'תקציב החברה לפיתוח 2022'!O28</f>
        <v>0</v>
      </c>
      <c r="P55" s="161">
        <f>'תקציב החברה לפיתוח 2022'!P28</f>
        <v>1270595</v>
      </c>
      <c r="Q55" s="161">
        <f>'תקציב החברה לפיתוח 2022'!Q28</f>
        <v>0</v>
      </c>
      <c r="R55" s="161">
        <f>'תקציב החברה לפיתוח 2022'!R28</f>
        <v>0</v>
      </c>
      <c r="S55" s="161">
        <f>'תקציב החברה לפיתוח 2022'!S28</f>
        <v>0</v>
      </c>
      <c r="T55" s="161">
        <f>'תקציב החברה לפיתוח 2022'!T28</f>
        <v>0</v>
      </c>
      <c r="U55" s="161">
        <f>'תקציב החברה לפיתוח 2022'!U28</f>
        <v>0</v>
      </c>
      <c r="V55" s="161">
        <f>'תקציב החברה לפיתוח 2022'!V28</f>
        <v>0</v>
      </c>
      <c r="W55" s="161">
        <f>'תקציב החברה לפיתוח 2022'!W28</f>
        <v>0</v>
      </c>
      <c r="X55" s="161">
        <f>'תקציב החברה לפיתוח 2022'!X28</f>
        <v>0</v>
      </c>
      <c r="Y55" s="161">
        <f>'תקציב החברה לפיתוח 2022'!Y28</f>
        <v>0</v>
      </c>
      <c r="Z55" s="161">
        <f>'תקציב החברה לפיתוח 2022'!Z28</f>
        <v>0</v>
      </c>
      <c r="AA55" s="161">
        <f>'תקציב החברה לפיתוח 2022'!AA28</f>
        <v>0</v>
      </c>
      <c r="AB55" s="289" t="str">
        <f>'תקציב החברה לפיתוח 2022'!AB28</f>
        <v>עבודות שיקום לשיפור איכות ומראה המים באגם.</v>
      </c>
      <c r="AC55" s="160">
        <f>'תקציב החברה לפיתוח 2022'!AC28</f>
        <v>746000</v>
      </c>
      <c r="AD55" s="157"/>
      <c r="AE55" s="157"/>
      <c r="AF55" s="3"/>
      <c r="AG55" s="3"/>
      <c r="AH55" s="3"/>
      <c r="AI55" s="3"/>
      <c r="AJ55" s="4"/>
      <c r="AK55" s="3"/>
      <c r="AL55" s="3"/>
      <c r="AM55" s="3"/>
      <c r="AN55" s="277"/>
      <c r="AO55" s="160"/>
      <c r="AP55" s="266"/>
      <c r="AQ55" s="3"/>
      <c r="AR55" s="3"/>
      <c r="AS55" s="3" t="s">
        <v>1405</v>
      </c>
      <c r="AT55" s="268"/>
      <c r="AU55" s="3"/>
      <c r="AV55" s="30"/>
      <c r="AW55" s="638"/>
      <c r="AX55" s="3"/>
      <c r="AY55" s="161"/>
      <c r="AZ55" s="161"/>
      <c r="BA55" s="638"/>
      <c r="BB55" s="638"/>
      <c r="BC55" s="161"/>
    </row>
    <row r="56" spans="1:55" s="164" customFormat="1" ht="46.15" customHeight="1">
      <c r="A56" s="160">
        <f t="shared" si="2"/>
        <v>52</v>
      </c>
      <c r="B56" s="160">
        <f>'תקציב החברה לפיתוח 2022'!B42</f>
        <v>1972</v>
      </c>
      <c r="C56" s="289" t="str">
        <f>'תקציב החברה לפיתוח 2022'!C42</f>
        <v>פיתוח חורשת הפרחים</v>
      </c>
      <c r="D56" s="161">
        <f>'תקציב החברה לפיתוח 2022'!D42</f>
        <v>4420000</v>
      </c>
      <c r="E56" s="160">
        <f>'תקציב החברה לפיתוח 2022'!E42</f>
        <v>4470000</v>
      </c>
      <c r="F56" s="160">
        <f>'תקציב החברה לפיתוח 2022'!F42</f>
        <v>-50000</v>
      </c>
      <c r="G56" s="160">
        <f>'תקציב החברה לפיתוח 2022'!G42</f>
        <v>4470000</v>
      </c>
      <c r="H56" s="160">
        <f>'תקציב החברה לפיתוח 2022'!H42</f>
        <v>4073430</v>
      </c>
      <c r="I56" s="160">
        <f>'תקציב החברה לפיתוח 2022'!I42</f>
        <v>0</v>
      </c>
      <c r="J56" s="160">
        <f>'תקציב החברה לפיתוח 2022'!J42</f>
        <v>256833</v>
      </c>
      <c r="K56" s="160">
        <f>'תקציב החברה לפיתוח 2022'!K42</f>
        <v>256833</v>
      </c>
      <c r="L56" s="161">
        <f>'תקציב החברה לפיתוח 2022'!L42</f>
        <v>4330263</v>
      </c>
      <c r="M56" s="161">
        <f>'תקציב החברה לפיתוח 2022'!M42</f>
        <v>89737</v>
      </c>
      <c r="N56" s="161">
        <f>'תקציב החברה לפיתוח 2022'!N42</f>
        <v>0</v>
      </c>
      <c r="O56" s="161">
        <f>'תקציב החברה לפיתוח 2022'!O42</f>
        <v>0</v>
      </c>
      <c r="P56" s="161">
        <f>'תקציב החברה לפיתוח 2022'!P42</f>
        <v>139737</v>
      </c>
      <c r="Q56" s="161">
        <f>'תקציב החברה לפיתוח 2022'!Q42</f>
        <v>0</v>
      </c>
      <c r="R56" s="161">
        <f>'תקציב החברה לפיתוח 2022'!R42</f>
        <v>0</v>
      </c>
      <c r="S56" s="161">
        <f>'תקציב החברה לפיתוח 2022'!S42</f>
        <v>0</v>
      </c>
      <c r="T56" s="161">
        <f>'תקציב החברה לפיתוח 2022'!T42</f>
        <v>50000</v>
      </c>
      <c r="U56" s="161">
        <f>'תקציב החברה לפיתוח 2022'!U42</f>
        <v>-50000</v>
      </c>
      <c r="V56" s="161">
        <f>'תקציב החברה לפיתוח 2022'!V42</f>
        <v>-50000</v>
      </c>
      <c r="W56" s="161">
        <f>'תקציב החברה לפיתוח 2022'!W42</f>
        <v>0</v>
      </c>
      <c r="X56" s="161">
        <f>'תקציב החברה לפיתוח 2022'!X42</f>
        <v>0</v>
      </c>
      <c r="Y56" s="161">
        <f>'תקציב החברה לפיתוח 2022'!Y42</f>
        <v>0</v>
      </c>
      <c r="Z56" s="161">
        <f>'תקציב החברה לפיתוח 2022'!Z42</f>
        <v>0</v>
      </c>
      <c r="AA56" s="161">
        <f>'תקציב החברה לפיתוח 2022'!AA42</f>
        <v>0</v>
      </c>
      <c r="AB56" s="289" t="str">
        <f>'תקציב החברה לפיתוח 2022'!AB42</f>
        <v xml:space="preserve">פיתוח שצ"פ בגבעת הפרחים כולל הנגשה. ח-ן סופיים. </v>
      </c>
      <c r="AC56" s="160">
        <f>'תקציב החברה לפיתוח 2022'!AC42</f>
        <v>746000</v>
      </c>
      <c r="AD56" s="157"/>
      <c r="AE56" s="157" t="s">
        <v>1598</v>
      </c>
      <c r="AF56" s="171"/>
      <c r="AG56" s="171"/>
      <c r="AH56" s="171"/>
      <c r="AI56" s="171"/>
      <c r="AJ56" s="171"/>
      <c r="AK56" s="171"/>
      <c r="AL56" s="171"/>
      <c r="AM56" s="266"/>
      <c r="AN56" s="277"/>
      <c r="AO56" s="160"/>
      <c r="AP56" s="157" t="s">
        <v>1598</v>
      </c>
      <c r="AQ56" s="171"/>
      <c r="AR56" s="160" t="s">
        <v>1524</v>
      </c>
      <c r="AS56" s="160"/>
      <c r="AT56" s="519" t="s">
        <v>1551</v>
      </c>
      <c r="AU56" s="160" t="s">
        <v>1524</v>
      </c>
      <c r="AV56" s="272"/>
      <c r="AW56" s="640"/>
      <c r="AX56" s="171"/>
      <c r="AY56" s="161"/>
      <c r="AZ56" s="161"/>
      <c r="BA56" s="638"/>
      <c r="BB56" s="638"/>
      <c r="BC56" s="161"/>
    </row>
    <row r="57" spans="1:55" ht="45">
      <c r="A57" s="160">
        <f t="shared" si="2"/>
        <v>53</v>
      </c>
      <c r="B57" s="160">
        <f>'תקציב החברה לפיתוח 2022'!B71</f>
        <v>2118</v>
      </c>
      <c r="C57" s="289" t="str">
        <f>'תקציב החברה לפיתוח 2022'!C71</f>
        <v>שצ"פ דליה רביקוביץ בשכונת אלתרמן (הר/1920)</v>
      </c>
      <c r="D57" s="161">
        <f>'תקציב החברה לפיתוח 2022'!D71</f>
        <v>2600000</v>
      </c>
      <c r="E57" s="160">
        <f>'תקציב החברה לפיתוח 2022'!E71</f>
        <v>2600000</v>
      </c>
      <c r="F57" s="160">
        <f>'תקציב החברה לפיתוח 2022'!F71</f>
        <v>0</v>
      </c>
      <c r="G57" s="160">
        <f>'תקציב החברה לפיתוח 2022'!G71</f>
        <v>2600000</v>
      </c>
      <c r="H57" s="160">
        <f>'תקציב החברה לפיתוח 2022'!H71</f>
        <v>2020883</v>
      </c>
      <c r="I57" s="160">
        <f>'תקציב החברה לפיתוח 2022'!I71</f>
        <v>0</v>
      </c>
      <c r="J57" s="160">
        <f>'תקציב החברה לפיתוח 2022'!J71</f>
        <v>214849</v>
      </c>
      <c r="K57" s="160">
        <f>'תקציב החברה לפיתוח 2022'!K71</f>
        <v>214849</v>
      </c>
      <c r="L57" s="161">
        <f>'תקציב החברה לפיתוח 2022'!L71</f>
        <v>2235732</v>
      </c>
      <c r="M57" s="161">
        <f>'תקציב החברה לפיתוח 2022'!M71</f>
        <v>364268</v>
      </c>
      <c r="N57" s="161">
        <f>'תקציב החברה לפיתוח 2022'!N71</f>
        <v>0</v>
      </c>
      <c r="O57" s="161">
        <f>'תקציב החברה לפיתוח 2022'!O71</f>
        <v>0</v>
      </c>
      <c r="P57" s="161">
        <f>'תקציב החברה לפיתוח 2022'!P71</f>
        <v>364268</v>
      </c>
      <c r="Q57" s="161">
        <f>'תקציב החברה לפיתוח 2022'!Q71</f>
        <v>0</v>
      </c>
      <c r="R57" s="161">
        <f>'תקציב החברה לפיתוח 2022'!R71</f>
        <v>0</v>
      </c>
      <c r="S57" s="161">
        <f>'תקציב החברה לפיתוח 2022'!S71</f>
        <v>0</v>
      </c>
      <c r="T57" s="161">
        <f>'תקציב החברה לפיתוח 2022'!T71</f>
        <v>0</v>
      </c>
      <c r="U57" s="161">
        <f>'תקציב החברה לפיתוח 2022'!U71</f>
        <v>0</v>
      </c>
      <c r="V57" s="161">
        <f>'תקציב החברה לפיתוח 2022'!V71</f>
        <v>0</v>
      </c>
      <c r="W57" s="161">
        <f>'תקציב החברה לפיתוח 2022'!W71</f>
        <v>0</v>
      </c>
      <c r="X57" s="161">
        <f>'תקציב החברה לפיתוח 2022'!X71</f>
        <v>0</v>
      </c>
      <c r="Y57" s="161">
        <f>'תקציב החברה לפיתוח 2022'!Y71</f>
        <v>0</v>
      </c>
      <c r="Z57" s="161">
        <f>'תקציב החברה לפיתוח 2022'!Z71</f>
        <v>0</v>
      </c>
      <c r="AA57" s="161">
        <f>'תקציב החברה לפיתוח 2022'!AA71</f>
        <v>0</v>
      </c>
      <c r="AB57" s="289" t="str">
        <f>'תקציב החברה לפיתוח 2022'!AB71</f>
        <v xml:space="preserve">ביצוע שצ"פ בקטע רח' דליה רביקוביץ פינת אסתר רהב. </v>
      </c>
      <c r="AC57" s="160">
        <f>'תקציב החברה לפיתוח 2022'!AC71</f>
        <v>746000</v>
      </c>
      <c r="AD57" s="157"/>
      <c r="AE57" s="157" t="s">
        <v>1643</v>
      </c>
      <c r="AF57" s="171"/>
      <c r="AG57" s="171"/>
      <c r="AH57" s="171"/>
      <c r="AI57" s="171"/>
      <c r="AJ57" s="171"/>
      <c r="AK57" s="7"/>
      <c r="AL57" s="7"/>
      <c r="AM57" s="266"/>
      <c r="AN57" s="277"/>
      <c r="AO57" s="160"/>
      <c r="AP57" s="266" t="s">
        <v>1677</v>
      </c>
      <c r="AQ57" s="7"/>
      <c r="AR57" s="7"/>
      <c r="AS57" s="7"/>
      <c r="AT57" s="268"/>
      <c r="AU57" s="7"/>
      <c r="AV57" s="32"/>
      <c r="AW57" s="638"/>
      <c r="AX57" s="7"/>
      <c r="AY57" s="161"/>
      <c r="AZ57" s="161"/>
      <c r="BA57" s="663"/>
      <c r="BB57" s="638"/>
      <c r="BC57" s="161"/>
    </row>
    <row r="58" spans="1:55" ht="60">
      <c r="A58" s="160">
        <f t="shared" si="2"/>
        <v>54</v>
      </c>
      <c r="B58" s="160">
        <f>'תקציב החברה לפיתוח 2022'!B78</f>
        <v>2150</v>
      </c>
      <c r="C58" s="289" t="str">
        <f>'תקציב החברה לפיתוח 2022'!C78</f>
        <v xml:space="preserve">שצ"פים במתחם הר 1960 </v>
      </c>
      <c r="D58" s="161">
        <f>'תקציב החברה לפיתוח 2022'!D78</f>
        <v>23500000</v>
      </c>
      <c r="E58" s="160">
        <f>'תקציב החברה לפיתוח 2022'!E78</f>
        <v>23500000</v>
      </c>
      <c r="F58" s="160">
        <f>'תקציב החברה לפיתוח 2022'!F78</f>
        <v>0</v>
      </c>
      <c r="G58" s="160">
        <f>'תקציב החברה לפיתוח 2022'!G78</f>
        <v>1100000</v>
      </c>
      <c r="H58" s="160">
        <f>'תקציב החברה לפיתוח 2022'!H78</f>
        <v>542641</v>
      </c>
      <c r="I58" s="160">
        <f>'תקציב החברה לפיתוח 2022'!I78</f>
        <v>0</v>
      </c>
      <c r="J58" s="160">
        <f>'תקציב החברה לפיתוח 2022'!J78</f>
        <v>171823</v>
      </c>
      <c r="K58" s="160">
        <f>'תקציב החברה לפיתוח 2022'!K78</f>
        <v>171823</v>
      </c>
      <c r="L58" s="161">
        <f>'תקציב החברה לפיתוח 2022'!L78</f>
        <v>714464</v>
      </c>
      <c r="M58" s="161">
        <f>'תקציב החברה לפיתוח 2022'!M78</f>
        <v>9435536</v>
      </c>
      <c r="N58" s="161">
        <f>'תקציב החברה לפיתוח 2022'!N78</f>
        <v>9000000</v>
      </c>
      <c r="O58" s="161">
        <f>'תקציב החברה לפיתוח 2022'!O78</f>
        <v>4350000</v>
      </c>
      <c r="P58" s="161">
        <f>'תקציב החברה לפיתוח 2022'!P78</f>
        <v>385536</v>
      </c>
      <c r="Q58" s="161">
        <f>'תקציב החברה לפיתוח 2022'!Q78</f>
        <v>9050000</v>
      </c>
      <c r="R58" s="161">
        <f>'תקציב החברה לפיתוח 2022'!R78</f>
        <v>0</v>
      </c>
      <c r="S58" s="161">
        <f>'תקציב החברה לפיתוח 2022'!S78</f>
        <v>9050000</v>
      </c>
      <c r="T58" s="161">
        <f>'תקציב החברה לפיתוח 2022'!T78</f>
        <v>0</v>
      </c>
      <c r="U58" s="161">
        <f>'תקציב החברה לפיתוח 2022'!U78</f>
        <v>9000000</v>
      </c>
      <c r="V58" s="161">
        <f>'תקציב החברה לפיתוח 2022'!V78</f>
        <v>9000000</v>
      </c>
      <c r="W58" s="161">
        <f>'תקציב החברה לפיתוח 2022'!W78</f>
        <v>0</v>
      </c>
      <c r="X58" s="161">
        <f>'תקציב החברה לפיתוח 2022'!X78</f>
        <v>0</v>
      </c>
      <c r="Y58" s="161">
        <f>'תקציב החברה לפיתוח 2022'!Y78</f>
        <v>0</v>
      </c>
      <c r="Z58" s="161">
        <f>'תקציב החברה לפיתוח 2022'!Z78</f>
        <v>0</v>
      </c>
      <c r="AA58" s="161">
        <f>'תקציב החברה לפיתוח 2022'!AA78</f>
        <v>0</v>
      </c>
      <c r="AB58" s="289" t="str">
        <f>'תקציב החברה לפיתוח 2022'!AB78</f>
        <v xml:space="preserve">ביצוע שצ"פים במתחם : מלכי יהודה (האקליפטוס), קורן,דן שומרון,דורי,משה שמיר. </v>
      </c>
      <c r="AC58" s="160">
        <f>'תקציב החברה לפיתוח 2022'!AC78</f>
        <v>746000</v>
      </c>
      <c r="AD58" s="157"/>
      <c r="AE58" s="157"/>
      <c r="AF58" s="171"/>
      <c r="AG58" s="171"/>
      <c r="AH58" s="171"/>
      <c r="AI58" s="171"/>
      <c r="AJ58" s="171"/>
      <c r="AK58" s="3"/>
      <c r="AL58" s="3"/>
      <c r="AM58" s="3"/>
      <c r="AN58" s="277"/>
      <c r="AO58" s="160"/>
      <c r="AP58" s="157"/>
      <c r="AQ58" s="3"/>
      <c r="AR58" s="3"/>
      <c r="AS58" s="3" t="s">
        <v>1693</v>
      </c>
      <c r="AT58" s="519" t="s">
        <v>1009</v>
      </c>
      <c r="AU58" s="3" t="s">
        <v>1908</v>
      </c>
      <c r="AV58" s="30"/>
      <c r="AW58" s="638"/>
      <c r="AX58" s="3"/>
      <c r="AY58" s="161">
        <v>-5000000</v>
      </c>
      <c r="AZ58" s="161">
        <v>-5000000</v>
      </c>
      <c r="BA58" s="638"/>
      <c r="BB58" s="638"/>
      <c r="BC58" s="161">
        <v>-3000000</v>
      </c>
    </row>
    <row r="59" spans="1:55" ht="90">
      <c r="A59" s="160">
        <f t="shared" si="2"/>
        <v>55</v>
      </c>
      <c r="B59" s="160">
        <f>'תקציב החברה לפיתוח 2022'!B102</f>
        <v>2220</v>
      </c>
      <c r="C59" s="289" t="str">
        <f>'תקציב החברה לפיתוח 2022'!C102</f>
        <v>גן יניב - פיתוח והקמת מתקני כושר</v>
      </c>
      <c r="D59" s="161">
        <f>'תקציב החברה לפיתוח 2022'!D102</f>
        <v>1000000</v>
      </c>
      <c r="E59" s="160">
        <f>'תקציב החברה לפיתוח 2022'!E102</f>
        <v>800000</v>
      </c>
      <c r="F59" s="160">
        <f>'תקציב החברה לפיתוח 2022'!F102</f>
        <v>200000</v>
      </c>
      <c r="G59" s="160">
        <f>'תקציב החברה לפיתוח 2022'!G102</f>
        <v>0</v>
      </c>
      <c r="H59" s="160">
        <f>'תקציב החברה לפיתוח 2022'!H102</f>
        <v>0</v>
      </c>
      <c r="I59" s="160">
        <f>'תקציב החברה לפיתוח 2022'!I102</f>
        <v>0</v>
      </c>
      <c r="J59" s="160">
        <f>'תקציב החברה לפיתוח 2022'!J102</f>
        <v>0</v>
      </c>
      <c r="K59" s="160">
        <f>'תקציב החברה לפיתוח 2022'!K102</f>
        <v>0</v>
      </c>
      <c r="L59" s="161">
        <f>'תקציב החברה לפיתוח 2022'!L102</f>
        <v>0</v>
      </c>
      <c r="M59" s="161">
        <f>'תקציב החברה לפיתוח 2022'!M102</f>
        <v>0</v>
      </c>
      <c r="N59" s="161">
        <f>'תקציב החברה לפיתוח 2022'!N102</f>
        <v>1000000</v>
      </c>
      <c r="O59" s="161">
        <f>'תקציב החברה לפיתוח 2022'!O102</f>
        <v>0</v>
      </c>
      <c r="P59" s="161">
        <f>'תקציב החברה לפיתוח 2022'!P102</f>
        <v>0</v>
      </c>
      <c r="Q59" s="161">
        <f>'תקציב החברה לפיתוח 2022'!Q102</f>
        <v>0</v>
      </c>
      <c r="R59" s="161">
        <f>'תקציב החברה לפיתוח 2022'!R102</f>
        <v>0</v>
      </c>
      <c r="S59" s="161">
        <f>'תקציב החברה לפיתוח 2022'!S102</f>
        <v>0</v>
      </c>
      <c r="T59" s="161">
        <f>'תקציב החברה לפיתוח 2022'!T102</f>
        <v>0</v>
      </c>
      <c r="U59" s="161">
        <f>'תקציב החברה לפיתוח 2022'!U102</f>
        <v>1000000</v>
      </c>
      <c r="V59" s="161">
        <f>'תקציב החברה לפיתוח 2022'!V102</f>
        <v>1000000</v>
      </c>
      <c r="W59" s="161">
        <f>'תקציב החברה לפיתוח 2022'!W102</f>
        <v>0</v>
      </c>
      <c r="X59" s="161">
        <f>'תקציב החברה לפיתוח 2022'!X102</f>
        <v>0</v>
      </c>
      <c r="Y59" s="161">
        <f>'תקציב החברה לפיתוח 2022'!Y102</f>
        <v>0</v>
      </c>
      <c r="Z59" s="161">
        <f>'תקציב החברה לפיתוח 2022'!Z102</f>
        <v>0</v>
      </c>
      <c r="AA59" s="161">
        <f>'תקציב החברה לפיתוח 2022'!AA102</f>
        <v>0</v>
      </c>
      <c r="AB59" s="289" t="str">
        <f>'תקציב החברה לפיתוח 2022'!AB102</f>
        <v>תכנון וביצוע הקמת מתקני כושר ופיתוח בשטח הגבול בין גינת הכלבים וחיבור לגן הציבורי בשטח של 1.3 דונם.</v>
      </c>
      <c r="AC59" s="160">
        <f>'תקציב החברה לפיתוח 2022'!AC102</f>
        <v>746000</v>
      </c>
      <c r="AD59" s="157" t="s">
        <v>1754</v>
      </c>
      <c r="AE59" s="157" t="s">
        <v>1754</v>
      </c>
      <c r="AF59" s="3"/>
      <c r="AG59" s="3"/>
      <c r="AH59" s="3"/>
      <c r="AI59" s="3"/>
      <c r="AJ59" s="3"/>
      <c r="AK59" s="3"/>
      <c r="AL59" s="3"/>
      <c r="AM59" s="3"/>
      <c r="AN59" s="277"/>
      <c r="AO59" s="160"/>
      <c r="AP59" s="157" t="s">
        <v>1754</v>
      </c>
      <c r="AQ59" s="3"/>
      <c r="AR59" s="3" t="s">
        <v>1755</v>
      </c>
      <c r="AS59" s="3" t="s">
        <v>1756</v>
      </c>
      <c r="AT59" s="268" t="s">
        <v>1757</v>
      </c>
      <c r="AU59" s="3" t="s">
        <v>1756</v>
      </c>
      <c r="AV59" s="3" t="s">
        <v>2177</v>
      </c>
      <c r="AW59" s="638"/>
      <c r="AX59" s="3"/>
      <c r="AY59" s="161"/>
      <c r="AZ59" s="161"/>
      <c r="BA59" s="660">
        <v>1000000</v>
      </c>
      <c r="BB59" s="638">
        <f>BA59-N59</f>
        <v>0</v>
      </c>
      <c r="BC59" s="161"/>
    </row>
    <row r="60" spans="1:55" s="5" customFormat="1" ht="45">
      <c r="A60" s="160">
        <f t="shared" si="2"/>
        <v>56</v>
      </c>
      <c r="B60" s="160">
        <f>'תקציב החברה לפיתוח 2022'!B117</f>
        <v>1827</v>
      </c>
      <c r="C60" s="289" t="str">
        <f>'תקציב החברה לפיתוח 2022'!C117</f>
        <v xml:space="preserve">פארק גליל ים </v>
      </c>
      <c r="D60" s="161">
        <f>'תקציב החברה לפיתוח 2022'!D117</f>
        <v>100000000</v>
      </c>
      <c r="E60" s="161">
        <f>'תקציב החברה לפיתוח 2022'!E117</f>
        <v>100000000</v>
      </c>
      <c r="F60" s="161">
        <f>'תקציב החברה לפיתוח 2022'!F117</f>
        <v>0</v>
      </c>
      <c r="G60" s="161">
        <f>'תקציב החברה לפיתוח 2022'!G117</f>
        <v>96320302</v>
      </c>
      <c r="H60" s="161">
        <f>'תקציב החברה לפיתוח 2022'!H117</f>
        <v>78059808</v>
      </c>
      <c r="I60" s="161">
        <f>'תקציב החברה לפיתוח 2022'!I117</f>
        <v>0</v>
      </c>
      <c r="J60" s="161">
        <f>'תקציב החברה לפיתוח 2022'!J117</f>
        <v>3324726</v>
      </c>
      <c r="K60" s="161">
        <f>'תקציב החברה לפיתוח 2022'!K117</f>
        <v>3324726</v>
      </c>
      <c r="L60" s="161">
        <f>'תקציב החברה לפיתוח 2022'!L117</f>
        <v>81384534</v>
      </c>
      <c r="M60" s="161">
        <f>'תקציב החברה לפיתוח 2022'!M117</f>
        <v>5935768</v>
      </c>
      <c r="N60" s="161">
        <f>'תקציב החברה לפיתוח 2022'!N117</f>
        <v>7000000</v>
      </c>
      <c r="O60" s="161">
        <f>'תקציב החברה לפיתוח 2022'!O117</f>
        <v>5679698</v>
      </c>
      <c r="P60" s="161">
        <f>'תקציב החברה לפיתוח 2022'!P117</f>
        <v>14935768</v>
      </c>
      <c r="Q60" s="161">
        <f>'תקציב החברה לפיתוח 2022'!Q117</f>
        <v>0</v>
      </c>
      <c r="R60" s="161">
        <f>'תקציב החברה לפיתוח 2022'!R117</f>
        <v>-9000000</v>
      </c>
      <c r="S60" s="161">
        <f>'תקציב החברה לפיתוח 2022'!S117</f>
        <v>-9000000</v>
      </c>
      <c r="T60" s="161">
        <f>'תקציב החברה לפיתוח 2022'!T117</f>
        <v>0</v>
      </c>
      <c r="U60" s="161">
        <f>'תקציב החברה לפיתוח 2022'!U117</f>
        <v>7000000</v>
      </c>
      <c r="V60" s="161">
        <f>'תקציב החברה לפיתוח 2022'!V117</f>
        <v>3320302</v>
      </c>
      <c r="W60" s="161">
        <f>'תקציב החברה לפיתוח 2022'!W117</f>
        <v>0</v>
      </c>
      <c r="X60" s="161">
        <f>'תקציב החברה לפיתוח 2022'!X117</f>
        <v>0</v>
      </c>
      <c r="Y60" s="161">
        <f>'תקציב החברה לפיתוח 2022'!Y117</f>
        <v>0</v>
      </c>
      <c r="Z60" s="161">
        <f>'תקציב החברה לפיתוח 2022'!Z117</f>
        <v>0</v>
      </c>
      <c r="AA60" s="161">
        <f>'תקציב החברה לפיתוח 2022'!AA117</f>
        <v>3679698</v>
      </c>
      <c r="AB60" s="289" t="str">
        <f>'תקציב החברה לפיתוח 2022'!AB117</f>
        <v>עבודות פיתוח. מימון רמ"י במסגרת הסכם "הגג".</v>
      </c>
      <c r="AC60" s="160">
        <f>'תקציב החברה לפיתוח 2022'!AC117</f>
        <v>746000</v>
      </c>
      <c r="AD60" s="157"/>
      <c r="AE60" s="157" t="s">
        <v>1761</v>
      </c>
      <c r="AF60" s="171"/>
      <c r="AG60" s="171"/>
      <c r="AH60" s="171"/>
      <c r="AI60" s="171"/>
      <c r="AJ60" s="171"/>
      <c r="AK60" s="171"/>
      <c r="AL60" s="171"/>
      <c r="AM60" s="266" t="s">
        <v>1762</v>
      </c>
      <c r="AN60" s="277"/>
      <c r="AO60" s="160" t="s">
        <v>1763</v>
      </c>
      <c r="AP60" s="171"/>
      <c r="AQ60" s="171"/>
      <c r="AR60" s="171"/>
      <c r="AS60" s="171"/>
      <c r="AT60" s="268"/>
      <c r="AU60" s="171"/>
      <c r="AV60" s="160" t="s">
        <v>2190</v>
      </c>
      <c r="AW60" s="640"/>
      <c r="AX60" s="171"/>
      <c r="AY60" s="161"/>
      <c r="AZ60" s="161"/>
      <c r="BA60" s="660"/>
      <c r="BB60" s="638"/>
      <c r="BC60" s="161"/>
    </row>
    <row r="61" spans="1:55" ht="45">
      <c r="A61" s="160">
        <f t="shared" si="2"/>
        <v>57</v>
      </c>
      <c r="B61" s="160">
        <f>'תקציב החברה לפיתוח 2022'!B118</f>
        <v>1905</v>
      </c>
      <c r="C61" s="289" t="str">
        <f>'תקציב החברה לפיתוח 2022'!C118</f>
        <v>שצ"פ מערב קיר אקוסטי גליל ים ב'</v>
      </c>
      <c r="D61" s="161">
        <f>'תקציב החברה לפיתוח 2022'!D118</f>
        <v>3366000</v>
      </c>
      <c r="E61" s="161">
        <f>'תקציב החברה לפיתוח 2022'!E118</f>
        <v>3366000</v>
      </c>
      <c r="F61" s="161">
        <f>'תקציב החברה לפיתוח 2022'!F118</f>
        <v>0</v>
      </c>
      <c r="G61" s="161">
        <f>'תקציב החברה לפיתוח 2022'!G118</f>
        <v>3366000</v>
      </c>
      <c r="H61" s="161">
        <f>'תקציב החברה לפיתוח 2022'!H118</f>
        <v>0</v>
      </c>
      <c r="I61" s="161">
        <f>'תקציב החברה לפיתוח 2022'!I118</f>
        <v>0</v>
      </c>
      <c r="J61" s="161">
        <f>'תקציב החברה לפיתוח 2022'!J118</f>
        <v>0</v>
      </c>
      <c r="K61" s="161">
        <f>'תקציב החברה לפיתוח 2022'!K118</f>
        <v>0</v>
      </c>
      <c r="L61" s="161">
        <f>'תקציב החברה לפיתוח 2022'!L118</f>
        <v>0</v>
      </c>
      <c r="M61" s="161">
        <f>'תקציב החברה לפיתוח 2022'!M118</f>
        <v>3366000</v>
      </c>
      <c r="N61" s="161">
        <f>'תקציב החברה לפיתוח 2022'!N118</f>
        <v>0</v>
      </c>
      <c r="O61" s="161">
        <f>'תקציב החברה לפיתוח 2022'!O118</f>
        <v>0</v>
      </c>
      <c r="P61" s="161">
        <f>'תקציב החברה לפיתוח 2022'!P118</f>
        <v>3366000</v>
      </c>
      <c r="Q61" s="161">
        <f>'תקציב החברה לפיתוח 2022'!Q118</f>
        <v>0</v>
      </c>
      <c r="R61" s="161">
        <f>'תקציב החברה לפיתוח 2022'!R118</f>
        <v>0</v>
      </c>
      <c r="S61" s="161">
        <f>'תקציב החברה לפיתוח 2022'!S118</f>
        <v>0</v>
      </c>
      <c r="T61" s="161">
        <f>'תקציב החברה לפיתוח 2022'!T118</f>
        <v>0</v>
      </c>
      <c r="U61" s="161">
        <f>'תקציב החברה לפיתוח 2022'!U118</f>
        <v>0</v>
      </c>
      <c r="V61" s="161">
        <f>'תקציב החברה לפיתוח 2022'!V118</f>
        <v>0</v>
      </c>
      <c r="W61" s="161">
        <f>'תקציב החברה לפיתוח 2022'!W118</f>
        <v>0</v>
      </c>
      <c r="X61" s="161">
        <f>'תקציב החברה לפיתוח 2022'!X118</f>
        <v>0</v>
      </c>
      <c r="Y61" s="161">
        <f>'תקציב החברה לפיתוח 2022'!Y118</f>
        <v>0</v>
      </c>
      <c r="Z61" s="161">
        <f>'תקציב החברה לפיתוח 2022'!Z118</f>
        <v>0</v>
      </c>
      <c r="AA61" s="161">
        <f>'תקציב החברה לפיתוח 2022'!AA118</f>
        <v>0</v>
      </c>
      <c r="AB61" s="289" t="str">
        <f>'תקציב החברה לפיתוח 2022'!AB118</f>
        <v>מימון רמ"י במסגרת הסכם "הגג".</v>
      </c>
      <c r="AC61" s="160">
        <f>'תקציב החברה לפיתוח 2022'!AC118</f>
        <v>746000</v>
      </c>
      <c r="AD61" s="157"/>
      <c r="AE61" s="157"/>
      <c r="AF61" s="171"/>
      <c r="AG61" s="171"/>
      <c r="AH61" s="171"/>
      <c r="AI61" s="171"/>
      <c r="AJ61" s="171"/>
      <c r="AK61" s="160"/>
      <c r="AL61" s="160"/>
      <c r="AM61" s="160"/>
      <c r="AN61" s="277"/>
      <c r="AO61" s="160" t="s">
        <v>1764</v>
      </c>
      <c r="AP61" s="160"/>
      <c r="AQ61" s="160"/>
      <c r="AR61" s="160"/>
      <c r="AS61" s="160"/>
      <c r="AT61" s="268"/>
      <c r="AU61" s="160"/>
      <c r="AV61" s="160"/>
      <c r="AW61" s="638"/>
      <c r="AX61" s="160"/>
      <c r="AY61" s="161"/>
      <c r="AZ61" s="161"/>
      <c r="BA61" s="660"/>
      <c r="BB61" s="638"/>
      <c r="BC61" s="161"/>
    </row>
    <row r="62" spans="1:55" ht="43.9" customHeight="1">
      <c r="A62" s="160">
        <f t="shared" si="2"/>
        <v>58</v>
      </c>
      <c r="B62" s="160">
        <f>'תקציב החברה לפיתוח 2022'!B17</f>
        <v>1375</v>
      </c>
      <c r="C62" s="289" t="str">
        <f>'תקציב החברה לפיתוח 2022'!C17</f>
        <v>הקמת בריכה ומרכז לאומנויות לחימה</v>
      </c>
      <c r="D62" s="161">
        <f>'תקציב החברה לפיתוח 2022'!D17</f>
        <v>40150000</v>
      </c>
      <c r="E62" s="160">
        <f>'תקציב החברה לפיתוח 2022'!E17</f>
        <v>40150000</v>
      </c>
      <c r="F62" s="160">
        <f>'תקציב החברה לפיתוח 2022'!F17</f>
        <v>0</v>
      </c>
      <c r="G62" s="160">
        <f>'תקציב החברה לפיתוח 2022'!G17</f>
        <v>30150000</v>
      </c>
      <c r="H62" s="160">
        <f>'תקציב החברה לפיתוח 2022'!H17</f>
        <v>29602392</v>
      </c>
      <c r="I62" s="160">
        <f>'תקציב החברה לפיתוח 2022'!I17</f>
        <v>0</v>
      </c>
      <c r="J62" s="160">
        <f>'תקציב החברה לפיתוח 2022'!J17</f>
        <v>110367</v>
      </c>
      <c r="K62" s="160">
        <f>'תקציב החברה לפיתוח 2022'!K17</f>
        <v>110367</v>
      </c>
      <c r="L62" s="161">
        <f>'תקציב החברה לפיתוח 2022'!L17</f>
        <v>29712759</v>
      </c>
      <c r="M62" s="161">
        <f>'תקציב החברה לפיתוח 2022'!M17</f>
        <v>437241</v>
      </c>
      <c r="N62" s="161">
        <f>'תקציב החברה לפיתוח 2022'!N17</f>
        <v>0</v>
      </c>
      <c r="O62" s="161">
        <f>'תקציב החברה לפיתוח 2022'!O17</f>
        <v>10000000</v>
      </c>
      <c r="P62" s="161">
        <f>'תקציב החברה לפיתוח 2022'!P17</f>
        <v>437241</v>
      </c>
      <c r="Q62" s="161">
        <f>'תקציב החברה לפיתוח 2022'!Q17</f>
        <v>0</v>
      </c>
      <c r="R62" s="161">
        <f>'תקציב החברה לפיתוח 2022'!R17</f>
        <v>0</v>
      </c>
      <c r="S62" s="161">
        <f>'תקציב החברה לפיתוח 2022'!S17</f>
        <v>0</v>
      </c>
      <c r="T62" s="161">
        <f>'תקציב החברה לפיתוח 2022'!T17</f>
        <v>0</v>
      </c>
      <c r="U62" s="161">
        <f>'תקציב החברה לפיתוח 2022'!U17</f>
        <v>0</v>
      </c>
      <c r="V62" s="161">
        <f>'תקציב החברה לפיתוח 2022'!V17</f>
        <v>0</v>
      </c>
      <c r="W62" s="161">
        <f>'תקציב החברה לפיתוח 2022'!W17</f>
        <v>0</v>
      </c>
      <c r="X62" s="161">
        <f>'תקציב החברה לפיתוח 2022'!X17</f>
        <v>0</v>
      </c>
      <c r="Y62" s="161">
        <f>'תקציב החברה לפיתוח 2022'!Y17</f>
        <v>0</v>
      </c>
      <c r="Z62" s="161">
        <f>'תקציב החברה לפיתוח 2022'!Z17</f>
        <v>0</v>
      </c>
      <c r="AA62" s="161">
        <f>'תקציב החברה לפיתוח 2022'!AA17</f>
        <v>0</v>
      </c>
      <c r="AB62" s="289" t="str">
        <f>'תקציב החברה לפיתוח 2022'!AB17</f>
        <v>תוספת קומה והקמת חדרי פעילויות .</v>
      </c>
      <c r="AC62" s="160">
        <f>'תקציב החברה לפיתוח 2022'!AC17</f>
        <v>747000</v>
      </c>
      <c r="AD62" s="157" t="s">
        <v>1539</v>
      </c>
      <c r="AE62" s="157" t="s">
        <v>1539</v>
      </c>
      <c r="AF62" s="171"/>
      <c r="AG62" s="171"/>
      <c r="AH62" s="171"/>
      <c r="AI62" s="171"/>
      <c r="AJ62" s="171"/>
      <c r="AK62" s="160"/>
      <c r="AL62" s="160"/>
      <c r="AM62" s="266"/>
      <c r="AN62" s="277"/>
      <c r="AO62" s="160"/>
      <c r="AP62" s="157" t="s">
        <v>1539</v>
      </c>
      <c r="AQ62" s="160"/>
      <c r="AR62" s="272" t="s">
        <v>1540</v>
      </c>
      <c r="AS62" s="272" t="s">
        <v>1544</v>
      </c>
      <c r="AT62" s="519" t="s">
        <v>1537</v>
      </c>
      <c r="AU62" s="272" t="s">
        <v>1545</v>
      </c>
      <c r="AV62" s="272" t="s">
        <v>2165</v>
      </c>
      <c r="AW62" s="638"/>
      <c r="AX62" s="160"/>
      <c r="AY62" s="161"/>
      <c r="AZ62" s="161"/>
      <c r="BA62" s="638"/>
      <c r="BB62" s="638"/>
      <c r="BC62" s="161"/>
    </row>
    <row r="63" spans="1:55" ht="45">
      <c r="A63" s="160">
        <f>A65+1</f>
        <v>60</v>
      </c>
      <c r="B63" s="160">
        <f>'תקציב החברה לפיתוח 2022'!B18</f>
        <v>1443</v>
      </c>
      <c r="C63" s="289" t="str">
        <f>'תקציב החברה לפיתוח 2022'!C18</f>
        <v>עבודות פינוי ומיחזור הר' 1903</v>
      </c>
      <c r="D63" s="161">
        <f>'תקציב החברה לפיתוח 2022'!D18</f>
        <v>78500000</v>
      </c>
      <c r="E63" s="160">
        <f>'תקציב החברה לפיתוח 2022'!E18</f>
        <v>78500000</v>
      </c>
      <c r="F63" s="160">
        <f>'תקציב החברה לפיתוח 2022'!F18</f>
        <v>0</v>
      </c>
      <c r="G63" s="160">
        <f>'תקציב החברה לפיתוח 2022'!G18</f>
        <v>53840000</v>
      </c>
      <c r="H63" s="160">
        <f>'תקציב החברה לפיתוח 2022'!H18</f>
        <v>53697797</v>
      </c>
      <c r="I63" s="160">
        <f>'תקציב החברה לפיתוח 2022'!I18</f>
        <v>0</v>
      </c>
      <c r="J63" s="160">
        <f>'תקציב החברה לפיתוח 2022'!J18</f>
        <v>0</v>
      </c>
      <c r="K63" s="160">
        <f>'תקציב החברה לפיתוח 2022'!K18</f>
        <v>0</v>
      </c>
      <c r="L63" s="161">
        <f>'תקציב החברה לפיתוח 2022'!L18</f>
        <v>53697797</v>
      </c>
      <c r="M63" s="161">
        <f>'תקציב החברה לפיתוח 2022'!M18</f>
        <v>13004005</v>
      </c>
      <c r="N63" s="161">
        <f>'תקציב החברה לפיתוח 2022'!N18</f>
        <v>0</v>
      </c>
      <c r="O63" s="161">
        <f>'תקציב החברה לפיתוח 2022'!O18</f>
        <v>11798198</v>
      </c>
      <c r="P63" s="161">
        <f>'תקציב החברה לפיתוח 2022'!P18</f>
        <v>142203</v>
      </c>
      <c r="Q63" s="161">
        <f>'תקציב החברה לפיתוח 2022'!Q18</f>
        <v>0</v>
      </c>
      <c r="R63" s="161">
        <f>'תקציב החברה לפיתוח 2022'!R18</f>
        <v>12861802</v>
      </c>
      <c r="S63" s="161">
        <f>'תקציב החברה לפיתוח 2022'!S18</f>
        <v>12861802</v>
      </c>
      <c r="T63" s="161">
        <f>'תקציב החברה לפיתוח 2022'!T18</f>
        <v>0</v>
      </c>
      <c r="U63" s="161">
        <f>'תקציב החברה לפיתוח 2022'!U18</f>
        <v>0</v>
      </c>
      <c r="V63" s="161">
        <f>'תקציב החברה לפיתוח 2022'!V18</f>
        <v>0</v>
      </c>
      <c r="W63" s="161">
        <f>'תקציב החברה לפיתוח 2022'!W18</f>
        <v>0</v>
      </c>
      <c r="X63" s="161">
        <f>'תקציב החברה לפיתוח 2022'!X18</f>
        <v>0</v>
      </c>
      <c r="Y63" s="161">
        <f>'תקציב החברה לפיתוח 2022'!Y18</f>
        <v>0</v>
      </c>
      <c r="Z63" s="161">
        <f>'תקציב החברה לפיתוח 2022'!Z18</f>
        <v>0</v>
      </c>
      <c r="AA63" s="161">
        <f>'תקציב החברה לפיתוח 2022'!AA18</f>
        <v>0</v>
      </c>
      <c r="AB63" s="289">
        <f>'תקציב החברה לפיתוח 2022'!AB18</f>
        <v>0</v>
      </c>
      <c r="AC63" s="160">
        <f>'תקציב החברה לפיתוח 2022'!AC18</f>
        <v>749000</v>
      </c>
      <c r="AD63" s="157" t="s">
        <v>1546</v>
      </c>
      <c r="AE63" s="157" t="s">
        <v>1547</v>
      </c>
      <c r="AF63" s="171"/>
      <c r="AG63" s="171"/>
      <c r="AH63" s="171"/>
      <c r="AI63" s="171"/>
      <c r="AJ63" s="171"/>
      <c r="AK63" s="160"/>
      <c r="AL63" s="160"/>
      <c r="AM63" s="160"/>
      <c r="AN63" s="277"/>
      <c r="AO63" s="160"/>
      <c r="AP63" s="157" t="s">
        <v>1547</v>
      </c>
      <c r="AQ63" s="289" t="s">
        <v>1548</v>
      </c>
      <c r="AR63" s="160"/>
      <c r="AS63" s="160"/>
      <c r="AT63" s="268"/>
      <c r="AU63" s="160"/>
      <c r="AV63" s="272"/>
      <c r="AW63" s="638"/>
      <c r="AX63" s="160"/>
      <c r="AY63" s="161"/>
      <c r="AZ63" s="161"/>
      <c r="BA63" s="638"/>
      <c r="BB63" s="638"/>
      <c r="BC63" s="161"/>
    </row>
    <row r="64" spans="1:55" s="301" customFormat="1" ht="25.15" customHeight="1">
      <c r="A64" s="266"/>
      <c r="B64" s="266"/>
      <c r="C64" s="368" t="s">
        <v>801</v>
      </c>
      <c r="D64" s="305">
        <f>SUM(D11:D63)</f>
        <v>1526682330</v>
      </c>
      <c r="E64" s="305">
        <f t="shared" ref="E64:AA64" si="3">SUM(E11:E63)</f>
        <v>1429787330</v>
      </c>
      <c r="F64" s="305">
        <f t="shared" si="3"/>
        <v>96895000</v>
      </c>
      <c r="G64" s="305">
        <f t="shared" si="3"/>
        <v>789455046</v>
      </c>
      <c r="H64" s="305">
        <f t="shared" si="3"/>
        <v>673977359</v>
      </c>
      <c r="I64" s="305">
        <f t="shared" si="3"/>
        <v>920124</v>
      </c>
      <c r="J64" s="305">
        <f t="shared" si="3"/>
        <v>21881806</v>
      </c>
      <c r="K64" s="305">
        <f t="shared" si="3"/>
        <v>22801930</v>
      </c>
      <c r="L64" s="305">
        <f t="shared" si="3"/>
        <v>696779289</v>
      </c>
      <c r="M64" s="305">
        <f t="shared" si="3"/>
        <v>147702652</v>
      </c>
      <c r="N64" s="305">
        <f t="shared" si="3"/>
        <v>54250000</v>
      </c>
      <c r="O64" s="305">
        <f t="shared" si="3"/>
        <v>627950389</v>
      </c>
      <c r="P64" s="305">
        <f t="shared" si="3"/>
        <v>92675757</v>
      </c>
      <c r="Q64" s="305">
        <f t="shared" si="3"/>
        <v>53900000</v>
      </c>
      <c r="R64" s="305">
        <f t="shared" si="3"/>
        <v>5526895</v>
      </c>
      <c r="S64" s="305">
        <f t="shared" si="3"/>
        <v>59426895</v>
      </c>
      <c r="T64" s="305">
        <f t="shared" si="3"/>
        <v>4400000</v>
      </c>
      <c r="U64" s="305">
        <f t="shared" si="3"/>
        <v>49850000</v>
      </c>
      <c r="V64" s="305">
        <f t="shared" si="3"/>
        <v>44170302</v>
      </c>
      <c r="W64" s="305">
        <f t="shared" si="3"/>
        <v>0</v>
      </c>
      <c r="X64" s="305">
        <f t="shared" si="3"/>
        <v>0</v>
      </c>
      <c r="Y64" s="305">
        <f t="shared" si="3"/>
        <v>0</v>
      </c>
      <c r="Z64" s="305">
        <f t="shared" si="3"/>
        <v>0</v>
      </c>
      <c r="AA64" s="305">
        <f t="shared" si="3"/>
        <v>5679698</v>
      </c>
      <c r="AB64" s="368"/>
      <c r="AC64" s="266"/>
      <c r="AD64" s="306"/>
      <c r="AE64" s="306"/>
      <c r="AF64" s="514"/>
      <c r="AG64" s="514"/>
      <c r="AH64" s="514"/>
      <c r="AI64" s="514"/>
      <c r="AJ64" s="514"/>
      <c r="AK64" s="266"/>
      <c r="AL64" s="266"/>
      <c r="AM64" s="266"/>
      <c r="AN64" s="515"/>
      <c r="AO64" s="266"/>
      <c r="AP64" s="306"/>
      <c r="AQ64" s="368"/>
      <c r="AR64" s="266"/>
      <c r="AS64" s="266"/>
      <c r="AT64" s="306"/>
      <c r="AU64" s="266"/>
      <c r="AV64" s="266"/>
      <c r="AW64" s="663"/>
      <c r="AX64" s="266"/>
      <c r="AY64" s="305"/>
      <c r="AZ64" s="305"/>
      <c r="BA64" s="663"/>
      <c r="BB64" s="663"/>
      <c r="BC64" s="305"/>
    </row>
    <row r="65" spans="1:55" ht="90">
      <c r="A65" s="160">
        <f>A62+1</f>
        <v>59</v>
      </c>
      <c r="B65" s="160">
        <f>'תקציב החברה לפיתוח 2022'!B74</f>
        <v>2127</v>
      </c>
      <c r="C65" s="289" t="str">
        <f>'תקציב החברה לפיתוח 2022'!C74</f>
        <v>הגנה על מצוקי הים</v>
      </c>
      <c r="D65" s="161">
        <f>'תקציב החברה לפיתוח 2022'!D74</f>
        <v>2259000</v>
      </c>
      <c r="E65" s="160">
        <f>'תקציב החברה לפיתוח 2022'!E74</f>
        <v>2259000</v>
      </c>
      <c r="F65" s="160">
        <f>'תקציב החברה לפיתוח 2022'!F74</f>
        <v>0</v>
      </c>
      <c r="G65" s="160">
        <f>'תקציב החברה לפיתוח 2022'!G74</f>
        <v>1000000</v>
      </c>
      <c r="H65" s="160">
        <f>'תקציב החברה לפיתוח 2022'!H74</f>
        <v>252909</v>
      </c>
      <c r="I65" s="160">
        <f>'תקציב החברה לפיתוח 2022'!I74</f>
        <v>0</v>
      </c>
      <c r="J65" s="160">
        <f>'תקציב החברה לפיתוח 2022'!J74</f>
        <v>746171</v>
      </c>
      <c r="K65" s="160">
        <f>'תקציב החברה לפיתוח 2022'!K74</f>
        <v>746171</v>
      </c>
      <c r="L65" s="161">
        <f>'תקציב החברה לפיתוח 2022'!L74</f>
        <v>999080</v>
      </c>
      <c r="M65" s="161">
        <f>'תקציב החברה לפיתוח 2022'!M74</f>
        <v>920</v>
      </c>
      <c r="N65" s="161">
        <f>'תקציב החברה לפיתוח 2022'!N74</f>
        <v>1259000</v>
      </c>
      <c r="O65" s="161">
        <f>'תקציב החברה לפיתוח 2022'!O74</f>
        <v>0</v>
      </c>
      <c r="P65" s="161">
        <f>'תקציב החברה לפיתוח 2022'!P74</f>
        <v>920</v>
      </c>
      <c r="Q65" s="161">
        <f>'תקציב החברה לפיתוח 2022'!Q74</f>
        <v>0</v>
      </c>
      <c r="R65" s="161">
        <f>'תקציב החברה לפיתוח 2022'!R74</f>
        <v>0</v>
      </c>
      <c r="S65" s="161">
        <f>'תקציב החברה לפיתוח 2022'!S74</f>
        <v>0</v>
      </c>
      <c r="T65" s="161">
        <f>'תקציב החברה לפיתוח 2022'!T74</f>
        <v>0</v>
      </c>
      <c r="U65" s="161">
        <f>'תקציב החברה לפיתוח 2022'!U74</f>
        <v>1259000</v>
      </c>
      <c r="V65" s="161">
        <f>'תקציב החברה לפיתוח 2022'!V74</f>
        <v>0</v>
      </c>
      <c r="W65" s="161">
        <f>'תקציב החברה לפיתוח 2022'!W74</f>
        <v>0</v>
      </c>
      <c r="X65" s="161">
        <f>'תקציב החברה לפיתוח 2022'!X74</f>
        <v>0</v>
      </c>
      <c r="Y65" s="161">
        <f>'תקציב החברה לפיתוח 2022'!Y74</f>
        <v>0</v>
      </c>
      <c r="Z65" s="161">
        <f>'תקציב החברה לפיתוח 2022'!Z74</f>
        <v>0</v>
      </c>
      <c r="AA65" s="161">
        <f>'תקציב החברה לפיתוח 2022'!AA74</f>
        <v>1259000</v>
      </c>
      <c r="AB65" s="289" t="str">
        <f>'תקציב החברה לפיתוח 2022'!AB74</f>
        <v xml:space="preserve">גיבוש תוכנית פעולות לעבודות הגנה על מצוקי חופי הים . 2022: המשך תכנון. מימון מ. הפנים. </v>
      </c>
      <c r="AC65" s="160">
        <f>'תקציב החברה לפיתוח 2022'!AC74</f>
        <v>747000</v>
      </c>
      <c r="AD65" s="157"/>
      <c r="AE65" s="157" t="s">
        <v>1686</v>
      </c>
      <c r="AF65" s="171"/>
      <c r="AG65" s="171"/>
      <c r="AH65" s="171"/>
      <c r="AI65" s="171"/>
      <c r="AJ65" s="171"/>
      <c r="AK65" s="7"/>
      <c r="AL65" s="7"/>
      <c r="AM65" s="266"/>
      <c r="AN65" s="277"/>
      <c r="AO65" s="160"/>
      <c r="AP65" s="266" t="s">
        <v>1687</v>
      </c>
      <c r="AQ65" s="7"/>
      <c r="AR65" s="7"/>
      <c r="AS65" s="7"/>
      <c r="AT65" s="268"/>
      <c r="AU65" s="7"/>
      <c r="AV65" s="32"/>
      <c r="AW65" s="638"/>
      <c r="AX65" s="7"/>
      <c r="AY65" s="161"/>
      <c r="AZ65" s="161"/>
      <c r="BA65" s="663"/>
      <c r="BB65" s="638"/>
      <c r="BC65" s="161"/>
    </row>
    <row r="66" spans="1:55" s="301" customFormat="1" ht="25.15" customHeight="1">
      <c r="A66" s="266"/>
      <c r="B66" s="266"/>
      <c r="C66" s="368" t="s">
        <v>803</v>
      </c>
      <c r="D66" s="305">
        <f>SUM(D65)</f>
        <v>2259000</v>
      </c>
      <c r="E66" s="305">
        <f t="shared" ref="E66:AA66" si="4">SUM(E65)</f>
        <v>2259000</v>
      </c>
      <c r="F66" s="305">
        <f t="shared" si="4"/>
        <v>0</v>
      </c>
      <c r="G66" s="305">
        <f t="shared" si="4"/>
        <v>1000000</v>
      </c>
      <c r="H66" s="305">
        <f t="shared" si="4"/>
        <v>252909</v>
      </c>
      <c r="I66" s="305">
        <f t="shared" si="4"/>
        <v>0</v>
      </c>
      <c r="J66" s="305">
        <f t="shared" si="4"/>
        <v>746171</v>
      </c>
      <c r="K66" s="305">
        <f t="shared" si="4"/>
        <v>746171</v>
      </c>
      <c r="L66" s="305">
        <f t="shared" si="4"/>
        <v>999080</v>
      </c>
      <c r="M66" s="305">
        <f t="shared" si="4"/>
        <v>920</v>
      </c>
      <c r="N66" s="305">
        <f t="shared" si="4"/>
        <v>1259000</v>
      </c>
      <c r="O66" s="305">
        <f t="shared" si="4"/>
        <v>0</v>
      </c>
      <c r="P66" s="305">
        <f t="shared" si="4"/>
        <v>920</v>
      </c>
      <c r="Q66" s="305">
        <f t="shared" si="4"/>
        <v>0</v>
      </c>
      <c r="R66" s="305">
        <f t="shared" si="4"/>
        <v>0</v>
      </c>
      <c r="S66" s="305">
        <f t="shared" si="4"/>
        <v>0</v>
      </c>
      <c r="T66" s="305">
        <f t="shared" si="4"/>
        <v>0</v>
      </c>
      <c r="U66" s="305">
        <f t="shared" si="4"/>
        <v>1259000</v>
      </c>
      <c r="V66" s="305">
        <f t="shared" si="4"/>
        <v>0</v>
      </c>
      <c r="W66" s="305">
        <f t="shared" si="4"/>
        <v>0</v>
      </c>
      <c r="X66" s="305">
        <f t="shared" si="4"/>
        <v>0</v>
      </c>
      <c r="Y66" s="305">
        <f t="shared" si="4"/>
        <v>0</v>
      </c>
      <c r="Z66" s="305">
        <f t="shared" si="4"/>
        <v>0</v>
      </c>
      <c r="AA66" s="305">
        <f t="shared" si="4"/>
        <v>1259000</v>
      </c>
      <c r="AB66" s="368"/>
      <c r="AC66" s="266"/>
      <c r="AD66" s="306"/>
      <c r="AE66" s="306"/>
      <c r="AF66" s="514"/>
      <c r="AG66" s="514"/>
      <c r="AH66" s="514"/>
      <c r="AI66" s="514"/>
      <c r="AJ66" s="514"/>
      <c r="AK66" s="266"/>
      <c r="AL66" s="266"/>
      <c r="AM66" s="266"/>
      <c r="AN66" s="515"/>
      <c r="AO66" s="266"/>
      <c r="AP66" s="306"/>
      <c r="AQ66" s="368"/>
      <c r="AR66" s="266"/>
      <c r="AS66" s="266"/>
      <c r="AT66" s="306"/>
      <c r="AU66" s="266"/>
      <c r="AV66" s="266"/>
      <c r="AW66" s="663"/>
      <c r="AX66" s="266"/>
      <c r="AY66" s="305"/>
      <c r="AZ66" s="305"/>
      <c r="BA66" s="663"/>
      <c r="BB66" s="663"/>
      <c r="BC66" s="305"/>
    </row>
    <row r="67" spans="1:55" ht="45">
      <c r="A67" s="160">
        <f>A63+1</f>
        <v>61</v>
      </c>
      <c r="B67" s="160">
        <f>'תקציב החברה לפיתוח 2022'!B7</f>
        <v>576</v>
      </c>
      <c r="C67" s="289" t="str">
        <f>'תקציב החברה לפיתוח 2022'!C7</f>
        <v>בית העלמין החדש</v>
      </c>
      <c r="D67" s="161">
        <f>'תקציב החברה לפיתוח 2022'!D7</f>
        <v>76913000</v>
      </c>
      <c r="E67" s="160">
        <f>'תקציב החברה לפיתוח 2022'!E7</f>
        <v>76913000</v>
      </c>
      <c r="F67" s="160">
        <f>'תקציב החברה לפיתוח 2022'!F7</f>
        <v>0</v>
      </c>
      <c r="G67" s="160">
        <f>'תקציב החברה לפיתוח 2022'!G7</f>
        <v>58113000</v>
      </c>
      <c r="H67" s="160">
        <f>'תקציב החברה לפיתוח 2022'!H7</f>
        <v>54700908</v>
      </c>
      <c r="I67" s="160">
        <f>'תקציב החברה לפיתוח 2022'!I7</f>
        <v>0</v>
      </c>
      <c r="J67" s="160">
        <f>'תקציב החברה לפיתוח 2022'!J7</f>
        <v>3004295</v>
      </c>
      <c r="K67" s="160">
        <f>'תקציב החברה לפיתוח 2022'!K7</f>
        <v>3004295</v>
      </c>
      <c r="L67" s="161">
        <f>'תקציב החברה לפיתוח 2022'!L7</f>
        <v>57705203</v>
      </c>
      <c r="M67" s="161">
        <f>'תקציב החברה לפיתוח 2022'!M7</f>
        <v>407797</v>
      </c>
      <c r="N67" s="161">
        <f>'תקציב החברה לפיתוח 2022'!N7</f>
        <v>0</v>
      </c>
      <c r="O67" s="161">
        <f>'תקציב החברה לפיתוח 2022'!O7</f>
        <v>18800000</v>
      </c>
      <c r="P67" s="161">
        <f>'תקציב החברה לפיתוח 2022'!P7</f>
        <v>407797</v>
      </c>
      <c r="Q67" s="161">
        <f>'תקציב החברה לפיתוח 2022'!Q7</f>
        <v>0</v>
      </c>
      <c r="R67" s="161">
        <f>'תקציב החברה לפיתוח 2022'!R7</f>
        <v>0</v>
      </c>
      <c r="S67" s="161">
        <f>'תקציב החברה לפיתוח 2022'!S7</f>
        <v>0</v>
      </c>
      <c r="T67" s="161">
        <f>'תקציב החברה לפיתוח 2022'!T7</f>
        <v>0</v>
      </c>
      <c r="U67" s="161">
        <f>'תקציב החברה לפיתוח 2022'!U7</f>
        <v>0</v>
      </c>
      <c r="V67" s="161">
        <f>'תקציב החברה לפיתוח 2022'!V7</f>
        <v>0</v>
      </c>
      <c r="W67" s="161">
        <f>'תקציב החברה לפיתוח 2022'!W7</f>
        <v>0</v>
      </c>
      <c r="X67" s="161">
        <f>'תקציב החברה לפיתוח 2022'!X7</f>
        <v>0</v>
      </c>
      <c r="Y67" s="161">
        <f>'תקציב החברה לפיתוח 2022'!Y7</f>
        <v>0</v>
      </c>
      <c r="Z67" s="161">
        <f>'תקציב החברה לפיתוח 2022'!Z7</f>
        <v>0</v>
      </c>
      <c r="AA67" s="161">
        <f>'תקציב החברה לפיתוח 2022'!AA7</f>
        <v>0</v>
      </c>
      <c r="AB67" s="289" t="str">
        <f>'תקציב החברה לפיתוח 2022'!AB7</f>
        <v xml:space="preserve">עבודות הרחבת והכשרת חלקות נוספות מס' 3 , 5, בבית העלמין החדש. </v>
      </c>
      <c r="AC67" s="160">
        <f>'תקציב החברה לפיתוח 2022'!AC7</f>
        <v>760000</v>
      </c>
      <c r="AD67" s="157"/>
      <c r="AE67" s="157"/>
      <c r="AF67" s="171"/>
      <c r="AG67" s="171"/>
      <c r="AH67" s="171"/>
      <c r="AI67" s="171"/>
      <c r="AJ67" s="171"/>
      <c r="AK67" s="166"/>
      <c r="AL67" s="166"/>
      <c r="AM67" s="266"/>
      <c r="AN67" s="277"/>
      <c r="AO67" s="160"/>
      <c r="AP67" s="166"/>
      <c r="AQ67" s="166"/>
      <c r="AR67" s="166"/>
      <c r="AS67" s="166"/>
      <c r="AT67" s="268"/>
      <c r="AU67" s="166"/>
      <c r="AV67" s="266"/>
      <c r="AW67" s="638"/>
      <c r="AX67" s="166"/>
      <c r="AY67" s="161"/>
      <c r="AZ67" s="161"/>
      <c r="BA67" s="663"/>
      <c r="BB67" s="638"/>
      <c r="BC67" s="161"/>
    </row>
    <row r="68" spans="1:55" s="301" customFormat="1" ht="25.15" customHeight="1">
      <c r="A68" s="266"/>
      <c r="B68" s="266"/>
      <c r="C68" s="368" t="s">
        <v>802</v>
      </c>
      <c r="D68" s="305">
        <f>SUM(D67)</f>
        <v>76913000</v>
      </c>
      <c r="E68" s="305">
        <f t="shared" ref="E68:AA68" si="5">SUM(E67)</f>
        <v>76913000</v>
      </c>
      <c r="F68" s="305">
        <f t="shared" si="5"/>
        <v>0</v>
      </c>
      <c r="G68" s="305">
        <f t="shared" si="5"/>
        <v>58113000</v>
      </c>
      <c r="H68" s="305">
        <f t="shared" si="5"/>
        <v>54700908</v>
      </c>
      <c r="I68" s="305">
        <f t="shared" si="5"/>
        <v>0</v>
      </c>
      <c r="J68" s="305">
        <f t="shared" si="5"/>
        <v>3004295</v>
      </c>
      <c r="K68" s="305">
        <f t="shared" si="5"/>
        <v>3004295</v>
      </c>
      <c r="L68" s="305">
        <f t="shared" si="5"/>
        <v>57705203</v>
      </c>
      <c r="M68" s="305">
        <f t="shared" si="5"/>
        <v>407797</v>
      </c>
      <c r="N68" s="305">
        <f t="shared" si="5"/>
        <v>0</v>
      </c>
      <c r="O68" s="305">
        <f t="shared" si="5"/>
        <v>18800000</v>
      </c>
      <c r="P68" s="305">
        <f t="shared" si="5"/>
        <v>407797</v>
      </c>
      <c r="Q68" s="305">
        <f t="shared" si="5"/>
        <v>0</v>
      </c>
      <c r="R68" s="305">
        <f t="shared" si="5"/>
        <v>0</v>
      </c>
      <c r="S68" s="305">
        <f t="shared" si="5"/>
        <v>0</v>
      </c>
      <c r="T68" s="305">
        <f t="shared" si="5"/>
        <v>0</v>
      </c>
      <c r="U68" s="305">
        <f t="shared" si="5"/>
        <v>0</v>
      </c>
      <c r="V68" s="305">
        <f t="shared" si="5"/>
        <v>0</v>
      </c>
      <c r="W68" s="305">
        <f t="shared" si="5"/>
        <v>0</v>
      </c>
      <c r="X68" s="305">
        <f t="shared" si="5"/>
        <v>0</v>
      </c>
      <c r="Y68" s="305">
        <f t="shared" si="5"/>
        <v>0</v>
      </c>
      <c r="Z68" s="305">
        <f t="shared" si="5"/>
        <v>0</v>
      </c>
      <c r="AA68" s="305">
        <f t="shared" si="5"/>
        <v>0</v>
      </c>
      <c r="AB68" s="368"/>
      <c r="AC68" s="266"/>
      <c r="AD68" s="306"/>
      <c r="AE68" s="306"/>
      <c r="AF68" s="514"/>
      <c r="AG68" s="514"/>
      <c r="AH68" s="514"/>
      <c r="AI68" s="514"/>
      <c r="AJ68" s="514"/>
      <c r="AK68" s="266"/>
      <c r="AL68" s="266"/>
      <c r="AM68" s="266"/>
      <c r="AN68" s="515"/>
      <c r="AO68" s="266"/>
      <c r="AP68" s="266"/>
      <c r="AQ68" s="266"/>
      <c r="AR68" s="266"/>
      <c r="AS68" s="266"/>
      <c r="AT68" s="306"/>
      <c r="AU68" s="266"/>
      <c r="AV68" s="266"/>
      <c r="AW68" s="663"/>
      <c r="AX68" s="266"/>
      <c r="AY68" s="305"/>
      <c r="AZ68" s="305"/>
      <c r="BA68" s="663"/>
      <c r="BB68" s="663"/>
      <c r="BC68" s="305"/>
    </row>
    <row r="69" spans="1:55" ht="51" customHeight="1">
      <c r="A69" s="160">
        <f>A67+1</f>
        <v>62</v>
      </c>
      <c r="B69" s="160">
        <f>'תקציב החברה לפיתוח 2022'!B40</f>
        <v>1957</v>
      </c>
      <c r="C69" s="289" t="str">
        <f>'תקציב החברה לפיתוח 2022'!C40</f>
        <v>מתחם קמפוס הרצליה (יד גיורא)</v>
      </c>
      <c r="D69" s="161">
        <f>'תקציב החברה לפיתוח 2022'!D40</f>
        <v>60000000</v>
      </c>
      <c r="E69" s="160">
        <f>'תקציב החברה לפיתוח 2022'!E40</f>
        <v>60000000</v>
      </c>
      <c r="F69" s="160">
        <f>'תקציב החברה לפיתוח 2022'!F40</f>
        <v>0</v>
      </c>
      <c r="G69" s="160">
        <f>'תקציב החברה לפיתוח 2022'!G40</f>
        <v>4420000</v>
      </c>
      <c r="H69" s="160">
        <f>'תקציב החברה לפיתוח 2022'!H40</f>
        <v>3654334</v>
      </c>
      <c r="I69" s="160">
        <f>'תקציב החברה לפיתוח 2022'!I40</f>
        <v>0</v>
      </c>
      <c r="J69" s="160">
        <f>'תקציב החברה לפיתוח 2022'!J40</f>
        <v>370583</v>
      </c>
      <c r="K69" s="160">
        <f>'תקציב החברה לפיתוח 2022'!K40</f>
        <v>370583</v>
      </c>
      <c r="L69" s="161">
        <f>'תקציב החברה לפיתוח 2022'!L40</f>
        <v>4024917</v>
      </c>
      <c r="M69" s="161">
        <f>'תקציב החברה לפיתוח 2022'!M40</f>
        <v>1395083</v>
      </c>
      <c r="N69" s="161">
        <f>'תקציב החברה לפיתוח 2022'!N40</f>
        <v>30000000</v>
      </c>
      <c r="O69" s="161">
        <f>'תקציב החברה לפיתוח 2022'!O40</f>
        <v>24580000</v>
      </c>
      <c r="P69" s="161">
        <f>'תקציב החברה לפיתוח 2022'!P40</f>
        <v>395083</v>
      </c>
      <c r="Q69" s="161">
        <f>'תקציב החברה לפיתוח 2022'!Q40</f>
        <v>1000000</v>
      </c>
      <c r="R69" s="161">
        <f>'תקציב החברה לפיתוח 2022'!R40</f>
        <v>0</v>
      </c>
      <c r="S69" s="161">
        <f>'תקציב החברה לפיתוח 2022'!S40</f>
        <v>1000000</v>
      </c>
      <c r="T69" s="161">
        <f>'תקציב החברה לפיתוח 2022'!T40</f>
        <v>0</v>
      </c>
      <c r="U69" s="161">
        <f>'תקציב החברה לפיתוח 2022'!U40</f>
        <v>30000000</v>
      </c>
      <c r="V69" s="161">
        <f>'תקציב החברה לפיתוח 2022'!V40</f>
        <v>0</v>
      </c>
      <c r="W69" s="161">
        <f>'תקציב החברה לפיתוח 2022'!W40</f>
        <v>0</v>
      </c>
      <c r="X69" s="161">
        <f>'תקציב החברה לפיתוח 2022'!X40</f>
        <v>0</v>
      </c>
      <c r="Y69" s="161">
        <f>'תקציב החברה לפיתוח 2022'!Y40</f>
        <v>0</v>
      </c>
      <c r="Z69" s="161">
        <f>'תקציב החברה לפיתוח 2022'!Z40</f>
        <v>0</v>
      </c>
      <c r="AA69" s="161">
        <f>'תקציב החברה לפיתוח 2022'!AA40</f>
        <v>30000000</v>
      </c>
      <c r="AB69" s="289" t="str">
        <f>'תקציב החברה לפיתוח 2022'!AB40</f>
        <v>הקמת קמפוס מדעים:בי"ס להנדסאים ותיכון חדש. מימון מ. החינוך.</v>
      </c>
      <c r="AC69" s="160">
        <f>'תקציב החברה לפיתוח 2022'!AC40</f>
        <v>810000</v>
      </c>
      <c r="AD69" s="157" t="s">
        <v>1539</v>
      </c>
      <c r="AE69" s="157" t="s">
        <v>1586</v>
      </c>
      <c r="AF69" s="171"/>
      <c r="AG69" s="171"/>
      <c r="AH69" s="171"/>
      <c r="AI69" s="171">
        <v>4</v>
      </c>
      <c r="AJ69" s="171"/>
      <c r="AK69" s="171"/>
      <c r="AL69" s="277" t="s">
        <v>1587</v>
      </c>
      <c r="AM69" s="266" t="s">
        <v>1588</v>
      </c>
      <c r="AN69" s="277"/>
      <c r="AO69" s="160"/>
      <c r="AP69" s="266" t="s">
        <v>1589</v>
      </c>
      <c r="AQ69" s="171"/>
      <c r="AR69" s="160" t="s">
        <v>1590</v>
      </c>
      <c r="AS69" s="160" t="s">
        <v>1591</v>
      </c>
      <c r="AT69" s="268"/>
      <c r="AU69" s="160" t="s">
        <v>1905</v>
      </c>
      <c r="AV69" s="272" t="s">
        <v>2167</v>
      </c>
      <c r="AW69" s="640"/>
      <c r="AX69" s="171"/>
      <c r="AY69" s="161"/>
      <c r="AZ69" s="161"/>
      <c r="BA69" s="638"/>
      <c r="BB69" s="638"/>
      <c r="BC69" s="161"/>
    </row>
    <row r="70" spans="1:55" s="6" customFormat="1" ht="90">
      <c r="A70" s="160">
        <f t="shared" ref="A70:A99" si="6">A69+1</f>
        <v>63</v>
      </c>
      <c r="B70" s="160">
        <f>'תקציב החברה לפיתוח 2022'!B49</f>
        <v>2015</v>
      </c>
      <c r="C70" s="289" t="str">
        <f>'תקציב החברה לפיתוח 2022'!C49</f>
        <v xml:space="preserve"> מרכז מדעים וקהילה </v>
      </c>
      <c r="D70" s="161">
        <f>'תקציב החברה לפיתוח 2022'!D49</f>
        <v>54000000</v>
      </c>
      <c r="E70" s="160">
        <f>'תקציב החברה לפיתוח 2022'!E49</f>
        <v>54000000</v>
      </c>
      <c r="F70" s="160">
        <f>'תקציב החברה לפיתוח 2022'!F49</f>
        <v>0</v>
      </c>
      <c r="G70" s="160">
        <f>'תקציב החברה לפיתוח 2022'!G49</f>
        <v>10500000</v>
      </c>
      <c r="H70" s="160">
        <f>'תקציב החברה לפיתוח 2022'!H49</f>
        <v>1365644</v>
      </c>
      <c r="I70" s="160">
        <f>'תקציב החברה לפיתוח 2022'!I49</f>
        <v>0</v>
      </c>
      <c r="J70" s="160">
        <f>'תקציב החברה לפיתוח 2022'!J49</f>
        <v>134447</v>
      </c>
      <c r="K70" s="160">
        <f>'תקציב החברה לפיתוח 2022'!K49</f>
        <v>134447</v>
      </c>
      <c r="L70" s="161">
        <f>'תקציב החברה לפיתוח 2022'!L49</f>
        <v>1500091</v>
      </c>
      <c r="M70" s="161">
        <f>'תקציב החברה לפיתוח 2022'!M49</f>
        <v>28999909</v>
      </c>
      <c r="N70" s="161">
        <f>'תקציב החברה לפיתוח 2022'!N49</f>
        <v>10000000</v>
      </c>
      <c r="O70" s="161">
        <f>'תקציב החברה לפיתוח 2022'!O49</f>
        <v>13500000</v>
      </c>
      <c r="P70" s="161">
        <f>'תקציב החברה לפיתוח 2022'!P49</f>
        <v>8999909</v>
      </c>
      <c r="Q70" s="161">
        <f>'תקציב החברה לפיתוח 2022'!Q49</f>
        <v>20000000</v>
      </c>
      <c r="R70" s="161">
        <f>'תקציב החברה לפיתוח 2022'!R49</f>
        <v>0</v>
      </c>
      <c r="S70" s="161">
        <f>'תקציב החברה לפיתוח 2022'!S49</f>
        <v>20000000</v>
      </c>
      <c r="T70" s="161">
        <f>'תקציב החברה לפיתוח 2022'!T49</f>
        <v>0</v>
      </c>
      <c r="U70" s="161">
        <f>'תקציב החברה לפיתוח 2022'!U49</f>
        <v>10000000</v>
      </c>
      <c r="V70" s="161">
        <f>'תקציב החברה לפיתוח 2022'!V49</f>
        <v>4234031</v>
      </c>
      <c r="W70" s="161">
        <f>'תקציב החברה לפיתוח 2022'!W49</f>
        <v>0</v>
      </c>
      <c r="X70" s="161">
        <f>'תקציב החברה לפיתוח 2022'!X49</f>
        <v>0</v>
      </c>
      <c r="Y70" s="161">
        <f>'תקציב החברה לפיתוח 2022'!Y49</f>
        <v>0</v>
      </c>
      <c r="Z70" s="161">
        <f>'תקציב החברה לפיתוח 2022'!Z49</f>
        <v>0</v>
      </c>
      <c r="AA70" s="161">
        <f>'תקציב החברה לפיתוח 2022'!AA49</f>
        <v>5765969</v>
      </c>
      <c r="AB70" s="289" t="str">
        <f>'תקציב החברה לפיתוח 2022'!AB49</f>
        <v>עבודות בניה ופיתוח מרכז מדעיים וקהילה באלתרמן. מבנה 5 קומות ופיתוח. מימון מ.החינוך.</v>
      </c>
      <c r="AC70" s="160">
        <f>'תקציב החברה לפיתוח 2022'!AC49</f>
        <v>810000</v>
      </c>
      <c r="AD70" s="157"/>
      <c r="AE70" s="157" t="s">
        <v>1617</v>
      </c>
      <c r="AF70" s="277"/>
      <c r="AG70" s="171"/>
      <c r="AH70" s="171"/>
      <c r="AI70" s="171">
        <v>4</v>
      </c>
      <c r="AJ70" s="171"/>
      <c r="AK70" s="171"/>
      <c r="AL70" s="277" t="s">
        <v>1618</v>
      </c>
      <c r="AM70" s="266" t="s">
        <v>1619</v>
      </c>
      <c r="AN70" s="277"/>
      <c r="AO70" s="160"/>
      <c r="AP70" s="266" t="s">
        <v>1589</v>
      </c>
      <c r="AQ70" s="277"/>
      <c r="AR70" s="160" t="s">
        <v>1590</v>
      </c>
      <c r="AS70" s="160" t="s">
        <v>1591</v>
      </c>
      <c r="AT70" s="268"/>
      <c r="AU70" s="160" t="s">
        <v>1620</v>
      </c>
      <c r="AV70" s="272"/>
      <c r="AW70" s="641"/>
      <c r="AX70" s="277"/>
      <c r="AY70" s="161"/>
      <c r="AZ70" s="161"/>
      <c r="BA70" s="638"/>
      <c r="BB70" s="638"/>
      <c r="BC70" s="161"/>
    </row>
    <row r="71" spans="1:55" s="5" customFormat="1" ht="120">
      <c r="A71" s="160">
        <f t="shared" si="6"/>
        <v>64</v>
      </c>
      <c r="B71" s="160">
        <f>'תקציב החברה לפיתוח 2022'!B54</f>
        <v>2023</v>
      </c>
      <c r="C71" s="289" t="str">
        <f>'תקציב החברה לפיתוח 2022'!C54</f>
        <v>גנ"י נווה עמל ציפורן מוריה (*) עדכון וחמניה</v>
      </c>
      <c r="D71" s="161">
        <f>'תקציב החברה לפיתוח 2022'!D54</f>
        <v>7340000</v>
      </c>
      <c r="E71" s="160">
        <f>'תקציב החברה לפיתוח 2022'!E54</f>
        <v>7340000</v>
      </c>
      <c r="F71" s="160">
        <f>'תקציב החברה לפיתוח 2022'!F54</f>
        <v>0</v>
      </c>
      <c r="G71" s="160">
        <f>'תקציב החברה לפיתוח 2022'!G54</f>
        <v>230000</v>
      </c>
      <c r="H71" s="160">
        <f>'תקציב החברה לפיתוח 2022'!H54</f>
        <v>227341</v>
      </c>
      <c r="I71" s="160">
        <f>'תקציב החברה לפיתוח 2022'!I54</f>
        <v>0</v>
      </c>
      <c r="J71" s="160">
        <f>'תקציב החברה לפיתוח 2022'!J54</f>
        <v>2657</v>
      </c>
      <c r="K71" s="160">
        <f>'תקציב החברה לפיתוח 2022'!K54</f>
        <v>2657</v>
      </c>
      <c r="L71" s="161">
        <f>'תקציב החברה לפיתוח 2022'!L54</f>
        <v>229998</v>
      </c>
      <c r="M71" s="161">
        <f>'תקציב החברה לפיתוח 2022'!M54</f>
        <v>2</v>
      </c>
      <c r="N71" s="161">
        <f>'תקציב החברה לפיתוח 2022'!N54</f>
        <v>0</v>
      </c>
      <c r="O71" s="161">
        <f>'תקציב החברה לפיתוח 2022'!O54</f>
        <v>7110000</v>
      </c>
      <c r="P71" s="161">
        <f>'תקציב החברה לפיתוח 2022'!P54</f>
        <v>2</v>
      </c>
      <c r="Q71" s="161">
        <f>'תקציב החברה לפיתוח 2022'!Q54</f>
        <v>0</v>
      </c>
      <c r="R71" s="161">
        <f>'תקציב החברה לפיתוח 2022'!R54</f>
        <v>0</v>
      </c>
      <c r="S71" s="161">
        <f>'תקציב החברה לפיתוח 2022'!S54</f>
        <v>0</v>
      </c>
      <c r="T71" s="161">
        <f>'תקציב החברה לפיתוח 2022'!T54</f>
        <v>0</v>
      </c>
      <c r="U71" s="161">
        <f>'תקציב החברה לפיתוח 2022'!U54</f>
        <v>0</v>
      </c>
      <c r="V71" s="161">
        <f>'תקציב החברה לפיתוח 2022'!V54</f>
        <v>0</v>
      </c>
      <c r="W71" s="161">
        <f>'תקציב החברה לפיתוח 2022'!W54</f>
        <v>0</v>
      </c>
      <c r="X71" s="161">
        <f>'תקציב החברה לפיתוח 2022'!X54</f>
        <v>0</v>
      </c>
      <c r="Y71" s="161">
        <f>'תקציב החברה לפיתוח 2022'!Y54</f>
        <v>0</v>
      </c>
      <c r="Z71" s="161">
        <f>'תקציב החברה לפיתוח 2022'!Z54</f>
        <v>0</v>
      </c>
      <c r="AA71" s="161">
        <f>'תקציב החברה לפיתוח 2022'!AA54</f>
        <v>0</v>
      </c>
      <c r="AB71" s="289" t="str">
        <f>'תקציב החברה לפיתוח 2022'!AB54</f>
        <v>בניית 3 גנ"י בנווה עמל. חלקות בבעלות רמ"י. נדחה עד הכרת מ. החינוך והסכם חכירה רמ"י.</v>
      </c>
      <c r="AC71" s="160">
        <f>'תקציב החברה לפיתוח 2022'!AC54</f>
        <v>810000</v>
      </c>
      <c r="AD71" s="520" t="s">
        <v>1539</v>
      </c>
      <c r="AE71" s="157" t="s">
        <v>1631</v>
      </c>
      <c r="AF71" s="160"/>
      <c r="AG71" s="171"/>
      <c r="AH71" s="171"/>
      <c r="AI71" s="171"/>
      <c r="AJ71" s="171">
        <v>5</v>
      </c>
      <c r="AK71" s="160"/>
      <c r="AL71" s="160"/>
      <c r="AM71" s="266"/>
      <c r="AN71" s="277"/>
      <c r="AO71" s="160"/>
      <c r="AP71" s="157" t="s">
        <v>1631</v>
      </c>
      <c r="AQ71" s="160" t="s">
        <v>1632</v>
      </c>
      <c r="AR71" s="160" t="s">
        <v>1633</v>
      </c>
      <c r="AS71" s="160" t="s">
        <v>1634</v>
      </c>
      <c r="AT71" s="519" t="s">
        <v>1635</v>
      </c>
      <c r="AU71" s="160" t="s">
        <v>1636</v>
      </c>
      <c r="AV71" s="272" t="s">
        <v>2186</v>
      </c>
      <c r="AW71" s="638">
        <v>7110000</v>
      </c>
      <c r="AX71" s="639">
        <f>U71-AW71</f>
        <v>-7110000</v>
      </c>
      <c r="AY71" s="161"/>
      <c r="AZ71" s="161"/>
      <c r="BA71" s="638"/>
      <c r="BB71" s="638"/>
      <c r="BC71" s="161"/>
    </row>
    <row r="72" spans="1:55" s="5" customFormat="1" ht="105">
      <c r="A72" s="160">
        <f t="shared" si="6"/>
        <v>65</v>
      </c>
      <c r="B72" s="160">
        <f>'תקציב החברה לפיתוח 2022'!B55</f>
        <v>2024</v>
      </c>
      <c r="C72" s="289" t="str">
        <f>'תקציב החברה לפיתוח 2022'!C55</f>
        <v>גנ"י מרכז ויצמן תמר תאנה</v>
      </c>
      <c r="D72" s="161">
        <f>'תקציב החברה לפיתוח 2022'!D55</f>
        <v>16300000</v>
      </c>
      <c r="E72" s="160">
        <f>'תקציב החברה לפיתוח 2022'!E55</f>
        <v>16300000</v>
      </c>
      <c r="F72" s="160">
        <f>'תקציב החברה לפיתוח 2022'!F55</f>
        <v>0</v>
      </c>
      <c r="G72" s="160">
        <f>'תקציב החברה לפיתוח 2022'!G55</f>
        <v>10040000</v>
      </c>
      <c r="H72" s="160">
        <f>'תקציב החברה לפיתוח 2022'!H55</f>
        <v>4362205</v>
      </c>
      <c r="I72" s="160">
        <f>'תקציב החברה לפיתוח 2022'!I55</f>
        <v>0</v>
      </c>
      <c r="J72" s="160">
        <f>'תקציב החברה לפיתוח 2022'!J55</f>
        <v>1773811</v>
      </c>
      <c r="K72" s="160">
        <f>'תקציב החברה לפיתוח 2022'!K55</f>
        <v>1773811</v>
      </c>
      <c r="L72" s="161">
        <f>'תקציב החברה לפיתוח 2022'!L55</f>
        <v>6136016</v>
      </c>
      <c r="M72" s="161">
        <f>'תקציב החברה לפיתוח 2022'!M55</f>
        <v>10163984</v>
      </c>
      <c r="N72" s="161">
        <f>'תקציב החברה לפיתוח 2022'!N55</f>
        <v>0</v>
      </c>
      <c r="O72" s="161">
        <f>'תקציב החברה לפיתוח 2022'!O55</f>
        <v>0</v>
      </c>
      <c r="P72" s="161">
        <f>'תקציב החברה לפיתוח 2022'!P55</f>
        <v>3903984</v>
      </c>
      <c r="Q72" s="161">
        <f>'תקציב החברה לפיתוח 2022'!Q55</f>
        <v>6260000</v>
      </c>
      <c r="R72" s="161">
        <f>'תקציב החברה לפיתוח 2022'!R55</f>
        <v>0</v>
      </c>
      <c r="S72" s="161">
        <f>'תקציב החברה לפיתוח 2022'!S55</f>
        <v>6260000</v>
      </c>
      <c r="T72" s="161">
        <f>'תקציב החברה לפיתוח 2022'!T55</f>
        <v>0</v>
      </c>
      <c r="U72" s="161">
        <f>'תקציב החברה לפיתוח 2022'!U55</f>
        <v>0</v>
      </c>
      <c r="V72" s="161">
        <f>'תקציב החברה לפיתוח 2022'!V55</f>
        <v>-2288415</v>
      </c>
      <c r="W72" s="161">
        <f>'תקציב החברה לפיתוח 2022'!W55</f>
        <v>0</v>
      </c>
      <c r="X72" s="161">
        <f>'תקציב החברה לפיתוח 2022'!X55</f>
        <v>0</v>
      </c>
      <c r="Y72" s="161">
        <f>'תקציב החברה לפיתוח 2022'!Y55</f>
        <v>0</v>
      </c>
      <c r="Z72" s="161">
        <f>'תקציב החברה לפיתוח 2022'!Z55</f>
        <v>0</v>
      </c>
      <c r="AA72" s="161">
        <f>'תקציב החברה לפיתוח 2022'!AA55</f>
        <v>2288415</v>
      </c>
      <c r="AB72" s="289" t="str">
        <f>'תקציב החברה לפיתוח 2022'!AB55</f>
        <v xml:space="preserve">בניית 6 כיתות גנ"י במתחם ויצמן.מימון מ. החינוך. </v>
      </c>
      <c r="AC72" s="160">
        <f>'תקציב החברה לפיתוח 2022'!AC55</f>
        <v>810000</v>
      </c>
      <c r="AD72" s="157"/>
      <c r="AE72" s="157" t="s">
        <v>1637</v>
      </c>
      <c r="AF72" s="171">
        <v>1</v>
      </c>
      <c r="AG72" s="171"/>
      <c r="AH72" s="171"/>
      <c r="AI72" s="171"/>
      <c r="AJ72" s="171"/>
      <c r="AK72" s="160"/>
      <c r="AL72" s="160" t="s">
        <v>1638</v>
      </c>
      <c r="AM72" s="266"/>
      <c r="AN72" s="277"/>
      <c r="AO72" s="160"/>
      <c r="AP72" s="157" t="s">
        <v>1639</v>
      </c>
      <c r="AQ72" s="160" t="s">
        <v>1640</v>
      </c>
      <c r="AR72" s="160" t="s">
        <v>1641</v>
      </c>
      <c r="AS72" s="160"/>
      <c r="AT72" s="160"/>
      <c r="AU72" s="160" t="s">
        <v>1642</v>
      </c>
      <c r="AV72" s="272"/>
      <c r="AW72" s="638"/>
      <c r="AX72" s="160"/>
      <c r="AY72" s="161"/>
      <c r="AZ72" s="161"/>
      <c r="BA72" s="638"/>
      <c r="BB72" s="638"/>
      <c r="BC72" s="161"/>
    </row>
    <row r="73" spans="1:55" s="5" customFormat="1" ht="90">
      <c r="A73" s="160">
        <f t="shared" si="6"/>
        <v>66</v>
      </c>
      <c r="B73" s="160">
        <f>'תקציב החברה לפיתוח 2022'!B61</f>
        <v>2097</v>
      </c>
      <c r="C73" s="289" t="str">
        <f>'תקציב החברה לפיתוח 2022'!C61</f>
        <v>בית ספר בן גוריון</v>
      </c>
      <c r="D73" s="161">
        <f>'תקציב החברה לפיתוח 2022'!D61</f>
        <v>79000000</v>
      </c>
      <c r="E73" s="160">
        <f>'תקציב החברה לפיתוח 2022'!E61</f>
        <v>79000000</v>
      </c>
      <c r="F73" s="160">
        <f>'תקציב החברה לפיתוח 2022'!F61</f>
        <v>0</v>
      </c>
      <c r="G73" s="160">
        <f>'תקציב החברה לפיתוח 2022'!G61</f>
        <v>6000000</v>
      </c>
      <c r="H73" s="160">
        <f>'תקציב החברה לפיתוח 2022'!H61</f>
        <v>2255166</v>
      </c>
      <c r="I73" s="160">
        <f>'תקציב החברה לפיתוח 2022'!I61</f>
        <v>0</v>
      </c>
      <c r="J73" s="160">
        <f>'תקציב החברה לפיתוח 2022'!J61</f>
        <v>2267861</v>
      </c>
      <c r="K73" s="160">
        <f>'תקציב החברה לפיתוח 2022'!K61</f>
        <v>2267861</v>
      </c>
      <c r="L73" s="161">
        <f>'תקציב החברה לפיתוח 2022'!L61</f>
        <v>4523027</v>
      </c>
      <c r="M73" s="161">
        <f>'תקציב החברה לפיתוח 2022'!M61</f>
        <v>1476973</v>
      </c>
      <c r="N73" s="161">
        <f>'תקציב החברה לפיתוח 2022'!N61</f>
        <v>0</v>
      </c>
      <c r="O73" s="161">
        <f>'תקציב החברה לפיתוח 2022'!O61</f>
        <v>73000000</v>
      </c>
      <c r="P73" s="161">
        <f>'תקציב החברה לפיתוח 2022'!P61</f>
        <v>1476973</v>
      </c>
      <c r="Q73" s="161">
        <f>'תקציב החברה לפיתוח 2022'!Q61</f>
        <v>0</v>
      </c>
      <c r="R73" s="161">
        <f>'תקציב החברה לפיתוח 2022'!R61</f>
        <v>0</v>
      </c>
      <c r="S73" s="161">
        <f>'תקציב החברה לפיתוח 2022'!S61</f>
        <v>0</v>
      </c>
      <c r="T73" s="161">
        <f>'תקציב החברה לפיתוח 2022'!T61</f>
        <v>0</v>
      </c>
      <c r="U73" s="161">
        <f>'תקציב החברה לפיתוח 2022'!U61</f>
        <v>0</v>
      </c>
      <c r="V73" s="161">
        <f>'תקציב החברה לפיתוח 2022'!V61</f>
        <v>0</v>
      </c>
      <c r="W73" s="161">
        <f>'תקציב החברה לפיתוח 2022'!W61</f>
        <v>0</v>
      </c>
      <c r="X73" s="161">
        <f>'תקציב החברה לפיתוח 2022'!X61</f>
        <v>0</v>
      </c>
      <c r="Y73" s="161">
        <f>'תקציב החברה לפיתוח 2022'!Y61</f>
        <v>0</v>
      </c>
      <c r="Z73" s="161">
        <f>'תקציב החברה לפיתוח 2022'!Z61</f>
        <v>0</v>
      </c>
      <c r="AA73" s="161">
        <f>'תקציב החברה לפיתוח 2022'!AA61</f>
        <v>0</v>
      </c>
      <c r="AB73" s="289" t="str">
        <f>'תקציב החברה לפיתוח 2022'!AB61</f>
        <v xml:space="preserve">תכנון שיפוץ/הריסה ובניה מחדש של בי"ס. הריסה של 18 כיתות, ובניה של 24 כיתות,6 כיתות  ח"מ. </v>
      </c>
      <c r="AC73" s="160">
        <f>'תקציב החברה לפיתוח 2022'!AC61</f>
        <v>810000</v>
      </c>
      <c r="AD73" s="157"/>
      <c r="AE73" s="157" t="s">
        <v>1657</v>
      </c>
      <c r="AF73" s="171"/>
      <c r="AG73" s="171"/>
      <c r="AH73" s="171"/>
      <c r="AI73" s="171">
        <v>4</v>
      </c>
      <c r="AJ73" s="171"/>
      <c r="AK73" s="277"/>
      <c r="AL73" s="277" t="s">
        <v>1658</v>
      </c>
      <c r="AM73" s="266"/>
      <c r="AN73" s="277"/>
      <c r="AO73" s="160"/>
      <c r="AP73" s="157" t="s">
        <v>1659</v>
      </c>
      <c r="AQ73" s="171"/>
      <c r="AR73" s="357" t="s">
        <v>1590</v>
      </c>
      <c r="AS73" s="160" t="s">
        <v>1591</v>
      </c>
      <c r="AT73" s="268"/>
      <c r="AU73" s="160" t="s">
        <v>1897</v>
      </c>
      <c r="AV73" s="357" t="s">
        <v>2172</v>
      </c>
      <c r="AW73" s="640"/>
      <c r="AX73" s="171"/>
      <c r="AY73" s="161">
        <v>-10000000</v>
      </c>
      <c r="AZ73" s="161">
        <v>-5000000</v>
      </c>
      <c r="BA73" s="664"/>
      <c r="BB73" s="638"/>
      <c r="BC73" s="161"/>
    </row>
    <row r="74" spans="1:55" s="6" customFormat="1" ht="48" customHeight="1">
      <c r="A74" s="160">
        <f t="shared" si="6"/>
        <v>67</v>
      </c>
      <c r="B74" s="160">
        <f>'תקציב החברה לפיתוח 2022'!B75</f>
        <v>2130</v>
      </c>
      <c r="C74" s="289" t="str">
        <f>'תקציב החברה לפיתוח 2022'!C75</f>
        <v>עיצוב חצר לימודית בי"ס גורדון</v>
      </c>
      <c r="D74" s="161">
        <f>'תקציב החברה לפיתוח 2022'!D75</f>
        <v>500000</v>
      </c>
      <c r="E74" s="160">
        <f>'תקציב החברה לפיתוח 2022'!E75</f>
        <v>500000</v>
      </c>
      <c r="F74" s="160">
        <f>'תקציב החברה לפיתוח 2022'!F75</f>
        <v>0</v>
      </c>
      <c r="G74" s="160">
        <f>'תקציב החברה לפיתוח 2022'!G75</f>
        <v>500000</v>
      </c>
      <c r="H74" s="160">
        <f>'תקציב החברה לפיתוח 2022'!H75</f>
        <v>7441</v>
      </c>
      <c r="I74" s="160">
        <f>'תקציב החברה לפיתוח 2022'!I75</f>
        <v>0</v>
      </c>
      <c r="J74" s="160">
        <f>'תקציב החברה לפיתוח 2022'!J75</f>
        <v>0</v>
      </c>
      <c r="K74" s="160">
        <f>'תקציב החברה לפיתוח 2022'!K75</f>
        <v>0</v>
      </c>
      <c r="L74" s="161">
        <f>'תקציב החברה לפיתוח 2022'!L75</f>
        <v>7441</v>
      </c>
      <c r="M74" s="161">
        <f>'תקציב החברה לפיתוח 2022'!M75</f>
        <v>492559</v>
      </c>
      <c r="N74" s="161">
        <f>'תקציב החברה לפיתוח 2022'!N75</f>
        <v>0</v>
      </c>
      <c r="O74" s="161">
        <f>'תקציב החברה לפיתוח 2022'!O75</f>
        <v>0</v>
      </c>
      <c r="P74" s="161">
        <f>'תקציב החברה לפיתוח 2022'!P75</f>
        <v>492559</v>
      </c>
      <c r="Q74" s="161">
        <f>'תקציב החברה לפיתוח 2022'!Q75</f>
        <v>0</v>
      </c>
      <c r="R74" s="161">
        <f>'תקציב החברה לפיתוח 2022'!R75</f>
        <v>0</v>
      </c>
      <c r="S74" s="161">
        <f>'תקציב החברה לפיתוח 2022'!S75</f>
        <v>0</v>
      </c>
      <c r="T74" s="161">
        <f>'תקציב החברה לפיתוח 2022'!T75</f>
        <v>0</v>
      </c>
      <c r="U74" s="161">
        <f>'תקציב החברה לפיתוח 2022'!U75</f>
        <v>0</v>
      </c>
      <c r="V74" s="161">
        <f>'תקציב החברה לפיתוח 2022'!V75</f>
        <v>0</v>
      </c>
      <c r="W74" s="161">
        <f>'תקציב החברה לפיתוח 2022'!W75</f>
        <v>0</v>
      </c>
      <c r="X74" s="161">
        <f>'תקציב החברה לפיתוח 2022'!X75</f>
        <v>0</v>
      </c>
      <c r="Y74" s="161">
        <f>'תקציב החברה לפיתוח 2022'!Y75</f>
        <v>0</v>
      </c>
      <c r="Z74" s="161">
        <f>'תקציב החברה לפיתוח 2022'!Z75</f>
        <v>0</v>
      </c>
      <c r="AA74" s="161">
        <f>'תקציב החברה לפיתוח 2022'!AA75</f>
        <v>0</v>
      </c>
      <c r="AB74" s="289" t="str">
        <f>'תקציב החברה לפיתוח 2022'!AB75</f>
        <v xml:space="preserve">עיצוב חצר לימודית בי"ס גורדון. מימון חלקי מ. החינוך. </v>
      </c>
      <c r="AC74" s="160">
        <f>'תקציב החברה לפיתוח 2022'!AC75</f>
        <v>810000</v>
      </c>
      <c r="AD74" s="157"/>
      <c r="AE74" s="157" t="s">
        <v>1688</v>
      </c>
      <c r="AF74" s="171"/>
      <c r="AG74" s="171"/>
      <c r="AH74" s="171"/>
      <c r="AI74" s="171"/>
      <c r="AJ74" s="171"/>
      <c r="AK74" s="7"/>
      <c r="AL74" s="7"/>
      <c r="AM74" s="266"/>
      <c r="AN74" s="277"/>
      <c r="AO74" s="160"/>
      <c r="AP74" s="266" t="s">
        <v>1689</v>
      </c>
      <c r="AQ74" s="7"/>
      <c r="AR74" s="272" t="s">
        <v>1689</v>
      </c>
      <c r="AS74" s="272"/>
      <c r="AT74" s="268"/>
      <c r="AU74" s="272" t="s">
        <v>1689</v>
      </c>
      <c r="AV74" s="272"/>
      <c r="AW74" s="638"/>
      <c r="AX74" s="7"/>
      <c r="AY74" s="161"/>
      <c r="AZ74" s="161"/>
      <c r="BA74" s="638"/>
      <c r="BB74" s="638"/>
      <c r="BC74" s="161"/>
    </row>
    <row r="75" spans="1:55" s="6" customFormat="1" ht="45">
      <c r="A75" s="160">
        <f t="shared" si="6"/>
        <v>68</v>
      </c>
      <c r="B75" s="160">
        <f>'תקציב החברה לפיתוח 2022'!B76</f>
        <v>2147</v>
      </c>
      <c r="C75" s="289" t="str">
        <f>'תקציב החברה לפיתוח 2022'!C76</f>
        <v>השלמת 6 כיתות בנבון</v>
      </c>
      <c r="D75" s="161">
        <f>'תקציב החברה לפיתוח 2022'!D76</f>
        <v>5500000</v>
      </c>
      <c r="E75" s="160">
        <f>'תקציב החברה לפיתוח 2022'!E76</f>
        <v>6500000</v>
      </c>
      <c r="F75" s="160">
        <f>'תקציב החברה לפיתוח 2022'!F76</f>
        <v>-1000000</v>
      </c>
      <c r="G75" s="160">
        <f>'תקציב החברה לפיתוח 2022'!G76</f>
        <v>6500000</v>
      </c>
      <c r="H75" s="160">
        <f>'תקציב החברה לפיתוח 2022'!H76</f>
        <v>4570582</v>
      </c>
      <c r="I75" s="160">
        <f>'תקציב החברה לפיתוח 2022'!I76</f>
        <v>0</v>
      </c>
      <c r="J75" s="160">
        <f>'תקציב החברה לפיתוח 2022'!J76</f>
        <v>383745</v>
      </c>
      <c r="K75" s="160">
        <f>'תקציב החברה לפיתוח 2022'!K76</f>
        <v>383745</v>
      </c>
      <c r="L75" s="161">
        <f>'תקציב החברה לפיתוח 2022'!L76</f>
        <v>4954327</v>
      </c>
      <c r="M75" s="161">
        <f>'תקציב החברה לפיתוח 2022'!M76</f>
        <v>545673</v>
      </c>
      <c r="N75" s="161">
        <f>'תקציב החברה לפיתוח 2022'!N76</f>
        <v>0</v>
      </c>
      <c r="O75" s="161">
        <f>'תקציב החברה לפיתוח 2022'!O76</f>
        <v>0</v>
      </c>
      <c r="P75" s="161">
        <f>'תקציב החברה לפיתוח 2022'!P76</f>
        <v>1545673</v>
      </c>
      <c r="Q75" s="161">
        <f>'תקציב החברה לפיתוח 2022'!Q76</f>
        <v>0</v>
      </c>
      <c r="R75" s="161">
        <f>'תקציב החברה לפיתוח 2022'!R76</f>
        <v>0</v>
      </c>
      <c r="S75" s="161">
        <f>'תקציב החברה לפיתוח 2022'!S76</f>
        <v>0</v>
      </c>
      <c r="T75" s="161">
        <f>'תקציב החברה לפיתוח 2022'!T76</f>
        <v>1000000</v>
      </c>
      <c r="U75" s="161">
        <f>'תקציב החברה לפיתוח 2022'!U76</f>
        <v>-1000000</v>
      </c>
      <c r="V75" s="161">
        <f>'תקציב החברה לפיתוח 2022'!V76</f>
        <v>-1000000</v>
      </c>
      <c r="W75" s="161">
        <f>'תקציב החברה לפיתוח 2022'!W76</f>
        <v>0</v>
      </c>
      <c r="X75" s="161">
        <f>'תקציב החברה לפיתוח 2022'!X76</f>
        <v>0</v>
      </c>
      <c r="Y75" s="161">
        <f>'תקציב החברה לפיתוח 2022'!Y76</f>
        <v>0</v>
      </c>
      <c r="Z75" s="161">
        <f>'תקציב החברה לפיתוח 2022'!Z76</f>
        <v>0</v>
      </c>
      <c r="AA75" s="161">
        <f>'תקציב החברה לפיתוח 2022'!AA76</f>
        <v>0</v>
      </c>
      <c r="AB75" s="289" t="str">
        <f>'תקציב החברה לפיתוח 2022'!AB76</f>
        <v>הוספת 6 כיתות כולל מיקלוט במתחם בי"ס נבון. ח-ן סופיים.</v>
      </c>
      <c r="AC75" s="160">
        <f>'תקציב החברה לפיתוח 2022'!AC76</f>
        <v>810000</v>
      </c>
      <c r="AD75" s="157" t="s">
        <v>1690</v>
      </c>
      <c r="AE75" s="157" t="s">
        <v>1643</v>
      </c>
      <c r="AF75" s="171"/>
      <c r="AG75" s="171"/>
      <c r="AH75" s="171"/>
      <c r="AI75" s="171"/>
      <c r="AJ75" s="171"/>
      <c r="AK75" s="3"/>
      <c r="AL75" s="3"/>
      <c r="AM75" s="266"/>
      <c r="AN75" s="277"/>
      <c r="AO75" s="160"/>
      <c r="AP75" s="157" t="s">
        <v>1691</v>
      </c>
      <c r="AQ75" s="3"/>
      <c r="AR75" s="160" t="s">
        <v>1524</v>
      </c>
      <c r="AS75" s="160"/>
      <c r="AT75" s="268"/>
      <c r="AU75" s="160" t="s">
        <v>1524</v>
      </c>
      <c r="AV75" s="272"/>
      <c r="AW75" s="638"/>
      <c r="AX75" s="3"/>
      <c r="AY75" s="161"/>
      <c r="AZ75" s="161"/>
      <c r="BA75" s="638"/>
      <c r="BB75" s="638"/>
      <c r="BC75" s="161"/>
    </row>
    <row r="76" spans="1:55" s="5" customFormat="1" ht="60">
      <c r="A76" s="160">
        <f t="shared" si="6"/>
        <v>69</v>
      </c>
      <c r="B76" s="160">
        <f>'תקציב החברה לפיתוח 2022'!B77</f>
        <v>2149</v>
      </c>
      <c r="C76" s="289" t="str">
        <f>'תקציב החברה לפיתוח 2022'!C77</f>
        <v>בחינת התכנות לגנ"י חדשים במתחמים שונים</v>
      </c>
      <c r="D76" s="161">
        <f>'תקציב החברה לפיתוח 2022'!D77</f>
        <v>2000000</v>
      </c>
      <c r="E76" s="160">
        <f>'תקציב החברה לפיתוח 2022'!E77</f>
        <v>2000000</v>
      </c>
      <c r="F76" s="160">
        <f>'תקציב החברה לפיתוח 2022'!F77</f>
        <v>0</v>
      </c>
      <c r="G76" s="160">
        <f>'תקציב החברה לפיתוח 2022'!G77</f>
        <v>2000000</v>
      </c>
      <c r="H76" s="160">
        <f>'תקציב החברה לפיתוח 2022'!H77</f>
        <v>348809</v>
      </c>
      <c r="I76" s="160">
        <f>'תקציב החברה לפיתוח 2022'!I77</f>
        <v>0</v>
      </c>
      <c r="J76" s="160">
        <f>'תקציב החברה לפיתוח 2022'!J77</f>
        <v>148526</v>
      </c>
      <c r="K76" s="160">
        <f>'תקציב החברה לפיתוח 2022'!K77</f>
        <v>148526</v>
      </c>
      <c r="L76" s="161">
        <f>'תקציב החברה לפיתוח 2022'!L77</f>
        <v>497335</v>
      </c>
      <c r="M76" s="161">
        <f>'תקציב החברה לפיתוח 2022'!M77</f>
        <v>1502665</v>
      </c>
      <c r="N76" s="161">
        <f>'תקציב החברה לפיתוח 2022'!N77</f>
        <v>0</v>
      </c>
      <c r="O76" s="161">
        <f>'תקציב החברה לפיתוח 2022'!O77</f>
        <v>0</v>
      </c>
      <c r="P76" s="161">
        <f>'תקציב החברה לפיתוח 2022'!P77</f>
        <v>1502665</v>
      </c>
      <c r="Q76" s="161">
        <f>'תקציב החברה לפיתוח 2022'!Q77</f>
        <v>0</v>
      </c>
      <c r="R76" s="161">
        <f>'תקציב החברה לפיתוח 2022'!R77</f>
        <v>0</v>
      </c>
      <c r="S76" s="161">
        <f>'תקציב החברה לפיתוח 2022'!S77</f>
        <v>0</v>
      </c>
      <c r="T76" s="161">
        <f>'תקציב החברה לפיתוח 2022'!T77</f>
        <v>0</v>
      </c>
      <c r="U76" s="161">
        <f>'תקציב החברה לפיתוח 2022'!U77</f>
        <v>0</v>
      </c>
      <c r="V76" s="161">
        <f>'תקציב החברה לפיתוח 2022'!V77</f>
        <v>0</v>
      </c>
      <c r="W76" s="161">
        <f>'תקציב החברה לפיתוח 2022'!W77</f>
        <v>0</v>
      </c>
      <c r="X76" s="161">
        <f>'תקציב החברה לפיתוח 2022'!X77</f>
        <v>0</v>
      </c>
      <c r="Y76" s="161">
        <f>'תקציב החברה לפיתוח 2022'!Y77</f>
        <v>0</v>
      </c>
      <c r="Z76" s="161">
        <f>'תקציב החברה לפיתוח 2022'!Z77</f>
        <v>0</v>
      </c>
      <c r="AA76" s="161">
        <f>'תקציב החברה לפיתוח 2022'!AA77</f>
        <v>0</v>
      </c>
      <c r="AB76" s="289" t="str">
        <f>'תקציב החברה לפיתוח 2022'!AB77</f>
        <v xml:space="preserve">בדיקת התכנות לבניית גנ"י במתחמים שונים ברחבי העיר בהתאם לצרכים העירוניים מעת לעת. </v>
      </c>
      <c r="AC76" s="160">
        <f>'תקציב החברה לפיתוח 2022'!AC77</f>
        <v>810000</v>
      </c>
      <c r="AD76" s="157"/>
      <c r="AE76" s="157" t="s">
        <v>1692</v>
      </c>
      <c r="AF76" s="171"/>
      <c r="AG76" s="171"/>
      <c r="AH76" s="171"/>
      <c r="AI76" s="171"/>
      <c r="AJ76" s="171"/>
      <c r="AK76" s="3"/>
      <c r="AL76" s="3"/>
      <c r="AM76" s="3"/>
      <c r="AN76" s="277"/>
      <c r="AO76" s="160"/>
      <c r="AP76" s="157" t="s">
        <v>1692</v>
      </c>
      <c r="AQ76" s="3"/>
      <c r="AR76" s="357" t="s">
        <v>1692</v>
      </c>
      <c r="AS76" s="357"/>
      <c r="AT76" s="268"/>
      <c r="AU76" s="357"/>
      <c r="AV76" s="357"/>
      <c r="AW76" s="638"/>
      <c r="AX76" s="3"/>
      <c r="AY76" s="161"/>
      <c r="AZ76" s="161"/>
      <c r="BA76" s="664"/>
      <c r="BB76" s="638"/>
      <c r="BC76" s="161"/>
    </row>
    <row r="77" spans="1:55" s="5" customFormat="1" ht="105">
      <c r="A77" s="160">
        <f t="shared" si="6"/>
        <v>70</v>
      </c>
      <c r="B77" s="160">
        <f>'תקציב החברה לפיתוח 2022'!B80</f>
        <v>2152</v>
      </c>
      <c r="C77" s="289" t="str">
        <f>'תקציב החברה לפיתוח 2022'!C80</f>
        <v>בית ספר בן צבי</v>
      </c>
      <c r="D77" s="161">
        <f>'תקציב החברה לפיתוח 2022'!D80</f>
        <v>16000000</v>
      </c>
      <c r="E77" s="160">
        <f>'תקציב החברה לפיתוח 2022'!E80</f>
        <v>16000000</v>
      </c>
      <c r="F77" s="160">
        <f>'תקציב החברה לפיתוח 2022'!F80</f>
        <v>0</v>
      </c>
      <c r="G77" s="160">
        <f>'תקציב החברה לפיתוח 2022'!G80</f>
        <v>1000000</v>
      </c>
      <c r="H77" s="160">
        <f>'תקציב החברה לפיתוח 2022'!H80</f>
        <v>252607</v>
      </c>
      <c r="I77" s="160">
        <f>'תקציב החברה לפיתוח 2022'!I80</f>
        <v>0</v>
      </c>
      <c r="J77" s="160">
        <f>'תקציב החברה לפיתוח 2022'!J80</f>
        <v>146060</v>
      </c>
      <c r="K77" s="160">
        <f>'תקציב החברה לפיתוח 2022'!K80</f>
        <v>146060</v>
      </c>
      <c r="L77" s="161">
        <f>'תקציב החברה לפיתוח 2022'!L80</f>
        <v>398667</v>
      </c>
      <c r="M77" s="161">
        <f>'תקציב החברה לפיתוח 2022'!M80</f>
        <v>651333</v>
      </c>
      <c r="N77" s="161">
        <f>'תקציב החברה לפיתוח 2022'!N80</f>
        <v>7000000</v>
      </c>
      <c r="O77" s="161">
        <f>'תקציב החברה לפיתוח 2022'!O80</f>
        <v>7950000</v>
      </c>
      <c r="P77" s="161">
        <f>'תקציב החברה לפיתוח 2022'!P80</f>
        <v>601333</v>
      </c>
      <c r="Q77" s="161">
        <f>'תקציב החברה לפיתוח 2022'!Q80</f>
        <v>50000</v>
      </c>
      <c r="R77" s="161">
        <f>'תקציב החברה לפיתוח 2022'!R80</f>
        <v>0</v>
      </c>
      <c r="S77" s="161">
        <f>'תקציב החברה לפיתוח 2022'!S80</f>
        <v>50000</v>
      </c>
      <c r="T77" s="161">
        <f>'תקציב החברה לפיתוח 2022'!T80</f>
        <v>0</v>
      </c>
      <c r="U77" s="161">
        <f>'תקציב החברה לפיתוח 2022'!U80</f>
        <v>7000000</v>
      </c>
      <c r="V77" s="161">
        <f>'תקציב החברה לפיתוח 2022'!V80</f>
        <v>3405695</v>
      </c>
      <c r="W77" s="161">
        <f>'תקציב החברה לפיתוח 2022'!W80</f>
        <v>0</v>
      </c>
      <c r="X77" s="161">
        <f>'תקציב החברה לפיתוח 2022'!X80</f>
        <v>0</v>
      </c>
      <c r="Y77" s="161">
        <f>'תקציב החברה לפיתוח 2022'!Y80</f>
        <v>0</v>
      </c>
      <c r="Z77" s="161">
        <f>'תקציב החברה לפיתוח 2022'!Z80</f>
        <v>0</v>
      </c>
      <c r="AA77" s="161">
        <f>'תקציב החברה לפיתוח 2022'!AA80</f>
        <v>3594305</v>
      </c>
      <c r="AB77" s="289" t="str">
        <f>'תקציב החברה לפיתוח 2022'!AB80</f>
        <v>הריסת מבני ספח והקמת מבנה חדש.תכנון ראשוני בי"ס בן צבי. תוספת 6 כיתות הרחבה ל - 24 כיתות.</v>
      </c>
      <c r="AC77" s="160">
        <f>'תקציב החברה לפיתוח 2022'!AC80</f>
        <v>810000</v>
      </c>
      <c r="AD77" s="157"/>
      <c r="AE77" s="157" t="s">
        <v>1697</v>
      </c>
      <c r="AF77" s="3"/>
      <c r="AG77" s="171"/>
      <c r="AH77" s="171"/>
      <c r="AI77" s="171">
        <v>4</v>
      </c>
      <c r="AJ77" s="171"/>
      <c r="AK77" s="3"/>
      <c r="AL77" s="3" t="s">
        <v>1698</v>
      </c>
      <c r="AM77" s="32" t="s">
        <v>1699</v>
      </c>
      <c r="AN77" s="277"/>
      <c r="AO77" s="160"/>
      <c r="AP77" s="157" t="s">
        <v>1698</v>
      </c>
      <c r="AQ77" s="3"/>
      <c r="AR77" s="357" t="s">
        <v>1700</v>
      </c>
      <c r="AS77" s="160" t="s">
        <v>1591</v>
      </c>
      <c r="AT77" s="268"/>
      <c r="AU77" s="160" t="s">
        <v>1592</v>
      </c>
      <c r="AV77" s="357" t="s">
        <v>2176</v>
      </c>
      <c r="AW77" s="638"/>
      <c r="AX77" s="3"/>
      <c r="AY77" s="161"/>
      <c r="AZ77" s="161"/>
      <c r="BA77" s="664"/>
      <c r="BB77" s="638"/>
      <c r="BC77" s="161"/>
    </row>
    <row r="78" spans="1:55" s="6" customFormat="1" ht="90">
      <c r="A78" s="160">
        <f t="shared" si="6"/>
        <v>71</v>
      </c>
      <c r="B78" s="160">
        <f>'תקציב החברה לפיתוח 2022'!B82</f>
        <v>2174</v>
      </c>
      <c r="C78" s="289" t="str">
        <f>'תקציב החברה לפיתוח 2022'!C82</f>
        <v>גנ"י מתחם זרובבל</v>
      </c>
      <c r="D78" s="161">
        <f>'תקציב החברה לפיתוח 2022'!D82</f>
        <v>9548992</v>
      </c>
      <c r="E78" s="160">
        <f>'תקציב החברה לפיתוח 2022'!E82</f>
        <v>12600000</v>
      </c>
      <c r="F78" s="160">
        <f>'תקציב החברה לפיתוח 2022'!F82</f>
        <v>-3051008</v>
      </c>
      <c r="G78" s="160">
        <f>'תקציב החברה לפיתוח 2022'!G82</f>
        <v>9548992</v>
      </c>
      <c r="H78" s="160">
        <f>'תקציב החברה לפיתוח 2022'!H82</f>
        <v>7323409</v>
      </c>
      <c r="I78" s="160">
        <f>'תקציב החברה לפיתוח 2022'!I82</f>
        <v>0</v>
      </c>
      <c r="J78" s="160">
        <f>'תקציב החברה לפיתוח 2022'!J82</f>
        <v>1809690</v>
      </c>
      <c r="K78" s="160">
        <f>'תקציב החברה לפיתוח 2022'!K82</f>
        <v>1809690</v>
      </c>
      <c r="L78" s="161">
        <f>'תקציב החברה לפיתוח 2022'!L82</f>
        <v>9133099</v>
      </c>
      <c r="M78" s="161">
        <f>'תקציב החברה לפיתוח 2022'!M82</f>
        <v>415893</v>
      </c>
      <c r="N78" s="161">
        <f>'תקציב החברה לפיתוח 2022'!N82</f>
        <v>0</v>
      </c>
      <c r="O78" s="161">
        <f>'תקציב החברה לפיתוח 2022'!O82</f>
        <v>0</v>
      </c>
      <c r="P78" s="161">
        <f>'תקציב החברה לפיתוח 2022'!P82</f>
        <v>415893</v>
      </c>
      <c r="Q78" s="161">
        <f>'תקציב החברה לפיתוח 2022'!Q82</f>
        <v>0</v>
      </c>
      <c r="R78" s="161">
        <f>'תקציב החברה לפיתוח 2022'!R82</f>
        <v>0</v>
      </c>
      <c r="S78" s="161">
        <f>'תקציב החברה לפיתוח 2022'!S82</f>
        <v>0</v>
      </c>
      <c r="T78" s="161">
        <f>'תקציב החברה לפיתוח 2022'!T82</f>
        <v>0</v>
      </c>
      <c r="U78" s="161">
        <f>'תקציב החברה לפיתוח 2022'!U82</f>
        <v>0</v>
      </c>
      <c r="V78" s="161">
        <f>'תקציב החברה לפיתוח 2022'!V82</f>
        <v>0</v>
      </c>
      <c r="W78" s="161">
        <f>'תקציב החברה לפיתוח 2022'!W82</f>
        <v>0</v>
      </c>
      <c r="X78" s="161">
        <f>'תקציב החברה לפיתוח 2022'!X82</f>
        <v>0</v>
      </c>
      <c r="Y78" s="161">
        <f>'תקציב החברה לפיתוח 2022'!Y82</f>
        <v>0</v>
      </c>
      <c r="Z78" s="161">
        <f>'תקציב החברה לפיתוח 2022'!Z82</f>
        <v>0</v>
      </c>
      <c r="AA78" s="161">
        <f>'תקציב החברה לפיתוח 2022'!AA82</f>
        <v>0</v>
      </c>
      <c r="AB78" s="289" t="str">
        <f>'תקציב החברה לפיתוח 2022'!AB82</f>
        <v>תכנון וביצוע הקמת 4 כיתות גן במתחם זרובבל. מימון מ. החינוך.</v>
      </c>
      <c r="AC78" s="160">
        <f>'תקציב החברה לפיתוח 2022'!AC82</f>
        <v>810000</v>
      </c>
      <c r="AD78" s="157"/>
      <c r="AE78" s="157" t="s">
        <v>1701</v>
      </c>
      <c r="AF78" s="171">
        <v>1</v>
      </c>
      <c r="AG78" s="171"/>
      <c r="AH78" s="171"/>
      <c r="AI78" s="171"/>
      <c r="AJ78" s="171"/>
      <c r="AK78" s="3"/>
      <c r="AL78" s="3"/>
      <c r="AM78" s="3"/>
      <c r="AN78" s="277"/>
      <c r="AO78" s="160"/>
      <c r="AP78" s="157" t="s">
        <v>1701</v>
      </c>
      <c r="AQ78" s="3"/>
      <c r="AR78" s="3" t="s">
        <v>1702</v>
      </c>
      <c r="AS78" s="3" t="s">
        <v>1703</v>
      </c>
      <c r="AT78" s="519" t="s">
        <v>1704</v>
      </c>
      <c r="AU78" s="3" t="s">
        <v>1705</v>
      </c>
      <c r="AV78" s="357"/>
      <c r="AW78" s="638"/>
      <c r="AX78" s="3"/>
      <c r="AY78" s="161"/>
      <c r="AZ78" s="161"/>
      <c r="BA78" s="664"/>
      <c r="BB78" s="638"/>
      <c r="BC78" s="161"/>
    </row>
    <row r="79" spans="1:55" s="6" customFormat="1" ht="70.900000000000006" customHeight="1">
      <c r="A79" s="160">
        <f t="shared" si="6"/>
        <v>72</v>
      </c>
      <c r="B79" s="160">
        <f>'תקציב החברה לפיתוח 2022'!B83</f>
        <v>2175</v>
      </c>
      <c r="C79" s="289" t="str">
        <f>'תקציב החברה לפיתוח 2022'!C83</f>
        <v>גנ"י דוד השמעוני</v>
      </c>
      <c r="D79" s="161">
        <f>'תקציב החברה לפיתוח 2022'!D83</f>
        <v>21000000</v>
      </c>
      <c r="E79" s="160">
        <f>'תקציב החברה לפיתוח 2022'!E83</f>
        <v>21000000</v>
      </c>
      <c r="F79" s="160">
        <f>'תקציב החברה לפיתוח 2022'!F83</f>
        <v>0</v>
      </c>
      <c r="G79" s="160">
        <f>'תקציב החברה לפיתוח 2022'!G83</f>
        <v>5665336</v>
      </c>
      <c r="H79" s="160">
        <f>'תקציב החברה לפיתוח 2022'!H83</f>
        <v>1000371</v>
      </c>
      <c r="I79" s="160">
        <f>'תקציב החברה לפיתוח 2022'!I83</f>
        <v>0</v>
      </c>
      <c r="J79" s="160">
        <f>'תקציב החברה לפיתוח 2022'!J83</f>
        <v>801916</v>
      </c>
      <c r="K79" s="160">
        <f>'תקציב החברה לפיתוח 2022'!K83</f>
        <v>801916</v>
      </c>
      <c r="L79" s="161">
        <f>'תקציב החברה לפיתוח 2022'!L83</f>
        <v>1802287</v>
      </c>
      <c r="M79" s="161">
        <f>'תקציב החברה לפיתוח 2022'!M83</f>
        <v>3863049</v>
      </c>
      <c r="N79" s="161">
        <f>'תקציב החברה לפיתוח 2022'!N83</f>
        <v>5000000</v>
      </c>
      <c r="O79" s="161">
        <f>'תקציב החברה לפיתוח 2022'!O83</f>
        <v>10334664</v>
      </c>
      <c r="P79" s="161">
        <f>'תקציב החברה לפיתוח 2022'!P83</f>
        <v>3863049</v>
      </c>
      <c r="Q79" s="161">
        <f>'תקציב החברה לפיתוח 2022'!Q83</f>
        <v>0</v>
      </c>
      <c r="R79" s="161">
        <f>'תקציב החברה לפיתוח 2022'!R83</f>
        <v>0</v>
      </c>
      <c r="S79" s="161">
        <f>'תקציב החברה לפיתוח 2022'!S83</f>
        <v>0</v>
      </c>
      <c r="T79" s="161">
        <f>'תקציב החברה לפיתוח 2022'!T83</f>
        <v>0</v>
      </c>
      <c r="U79" s="161">
        <f>'תקציב החברה לפיתוח 2022'!U83</f>
        <v>5000000</v>
      </c>
      <c r="V79" s="161">
        <f>'תקציב החברה לפיתוח 2022'!V83</f>
        <v>1516647</v>
      </c>
      <c r="W79" s="161">
        <f>'תקציב החברה לפיתוח 2022'!W83</f>
        <v>0</v>
      </c>
      <c r="X79" s="161">
        <f>'תקציב החברה לפיתוח 2022'!X83</f>
        <v>0</v>
      </c>
      <c r="Y79" s="161">
        <f>'תקציב החברה לפיתוח 2022'!Y83</f>
        <v>0</v>
      </c>
      <c r="Z79" s="161">
        <f>'תקציב החברה לפיתוח 2022'!Z83</f>
        <v>0</v>
      </c>
      <c r="AA79" s="161">
        <f>'תקציב החברה לפיתוח 2022'!AA83</f>
        <v>3483353</v>
      </c>
      <c r="AB79" s="289" t="str">
        <f>'תקציב החברה לפיתוח 2022'!AB83</f>
        <v xml:space="preserve">תכנון וביצוע הקמת 5 כיתות גן במתחם השמעוני. מימון מ. החינוך. </v>
      </c>
      <c r="AC79" s="160">
        <f>'תקציב החברה לפיתוח 2022'!AC83</f>
        <v>810000</v>
      </c>
      <c r="AD79" s="157"/>
      <c r="AE79" s="157" t="s">
        <v>1706</v>
      </c>
      <c r="AF79" s="3"/>
      <c r="AG79" s="171"/>
      <c r="AH79" s="171">
        <v>3</v>
      </c>
      <c r="AI79" s="171"/>
      <c r="AJ79" s="171"/>
      <c r="AK79" s="3"/>
      <c r="AL79" s="3" t="s">
        <v>1707</v>
      </c>
      <c r="AM79" s="3" t="s">
        <v>1708</v>
      </c>
      <c r="AN79" s="277"/>
      <c r="AO79" s="160"/>
      <c r="AP79" s="157" t="s">
        <v>1707</v>
      </c>
      <c r="AQ79" s="3" t="s">
        <v>1709</v>
      </c>
      <c r="AR79" s="357" t="s">
        <v>1710</v>
      </c>
      <c r="AS79" s="357" t="s">
        <v>1711</v>
      </c>
      <c r="AT79" s="268"/>
      <c r="AU79" s="3" t="s">
        <v>1896</v>
      </c>
      <c r="AV79" s="357" t="s">
        <v>2200</v>
      </c>
      <c r="AW79" s="638">
        <v>15334664</v>
      </c>
      <c r="AX79" s="639">
        <f>U79-AW79</f>
        <v>-10334664</v>
      </c>
      <c r="AY79" s="161"/>
      <c r="AZ79" s="161"/>
      <c r="BA79" s="664"/>
      <c r="BB79" s="638"/>
      <c r="BC79" s="161"/>
    </row>
    <row r="80" spans="1:55" s="5" customFormat="1" ht="105">
      <c r="A80" s="160">
        <f t="shared" si="6"/>
        <v>73</v>
      </c>
      <c r="B80" s="160">
        <f>'תקציב החברה לפיתוח 2022'!B85</f>
        <v>2182</v>
      </c>
      <c r="C80" s="289" t="str">
        <f>'תקציב החברה לפיתוח 2022'!C85</f>
        <v>תכנון שב"צ דן שומרון בי"ס על יסודי</v>
      </c>
      <c r="D80" s="161">
        <f>'תקציב החברה לפיתוח 2022'!D85</f>
        <v>2500000</v>
      </c>
      <c r="E80" s="160">
        <f>'תקציב החברה לפיתוח 2022'!E85</f>
        <v>2500000</v>
      </c>
      <c r="F80" s="160">
        <f>'תקציב החברה לפיתוח 2022'!F85</f>
        <v>0</v>
      </c>
      <c r="G80" s="160">
        <f>'תקציב החברה לפיתוח 2022'!G85</f>
        <v>300000</v>
      </c>
      <c r="H80" s="160">
        <f>'תקציב החברה לפיתוח 2022'!H85</f>
        <v>27661</v>
      </c>
      <c r="I80" s="160">
        <f>'תקציב החברה לפיתוח 2022'!I85</f>
        <v>0</v>
      </c>
      <c r="J80" s="160">
        <f>'תקציב החברה לפיתוח 2022'!J85</f>
        <v>188002</v>
      </c>
      <c r="K80" s="160">
        <f>'תקציב החברה לפיתוח 2022'!K85</f>
        <v>188002</v>
      </c>
      <c r="L80" s="161">
        <f>'תקציב החברה לפיתוח 2022'!L85</f>
        <v>215663</v>
      </c>
      <c r="M80" s="161">
        <f>'תקציב החברה לפיתוח 2022'!M85</f>
        <v>1784337</v>
      </c>
      <c r="N80" s="161">
        <f>'תקציב החברה לפיתוח 2022'!N85</f>
        <v>0</v>
      </c>
      <c r="O80" s="161">
        <f>'תקציב החברה לפיתוח 2022'!O85</f>
        <v>500000</v>
      </c>
      <c r="P80" s="161">
        <f>'תקציב החברה לפיתוח 2022'!P85</f>
        <v>84337</v>
      </c>
      <c r="Q80" s="161">
        <f>'תקציב החברה לפיתוח 2022'!Q85</f>
        <v>1700000</v>
      </c>
      <c r="R80" s="161">
        <f>'תקציב החברה לפיתוח 2022'!R85</f>
        <v>0</v>
      </c>
      <c r="S80" s="161">
        <f>'תקציב החברה לפיתוח 2022'!S85</f>
        <v>1700000</v>
      </c>
      <c r="T80" s="161">
        <f>'תקציב החברה לפיתוח 2022'!T85</f>
        <v>0</v>
      </c>
      <c r="U80" s="161">
        <f>'תקציב החברה לפיתוח 2022'!U85</f>
        <v>0</v>
      </c>
      <c r="V80" s="161">
        <f>'תקציב החברה לפיתוח 2022'!V85</f>
        <v>0</v>
      </c>
      <c r="W80" s="161">
        <f>'תקציב החברה לפיתוח 2022'!W85</f>
        <v>0</v>
      </c>
      <c r="X80" s="161">
        <f>'תקציב החברה לפיתוח 2022'!X85</f>
        <v>0</v>
      </c>
      <c r="Y80" s="161">
        <f>'תקציב החברה לפיתוח 2022'!Y85</f>
        <v>0</v>
      </c>
      <c r="Z80" s="161">
        <f>'תקציב החברה לפיתוח 2022'!Z85</f>
        <v>0</v>
      </c>
      <c r="AA80" s="161">
        <f>'תקציב החברה לפיתוח 2022'!AA85</f>
        <v>0</v>
      </c>
      <c r="AB80" s="289" t="str">
        <f>'תקציב החברה לפיתוח 2022'!AB85</f>
        <v xml:space="preserve">הקמת תיכון 30 כיתות בשב"צ דן שומרון גוש 656 חל' 991. </v>
      </c>
      <c r="AC80" s="160">
        <f>'תקציב החברה לפיתוח 2022'!AC85</f>
        <v>810000</v>
      </c>
      <c r="AD80" s="157"/>
      <c r="AE80" s="157" t="s">
        <v>1712</v>
      </c>
      <c r="AF80" s="3"/>
      <c r="AG80" s="171"/>
      <c r="AH80" s="171"/>
      <c r="AI80" s="171">
        <v>4</v>
      </c>
      <c r="AJ80" s="171"/>
      <c r="AK80" s="3"/>
      <c r="AL80" s="3"/>
      <c r="AM80" s="3"/>
      <c r="AN80" s="277"/>
      <c r="AO80" s="160"/>
      <c r="AP80" s="157" t="s">
        <v>1712</v>
      </c>
      <c r="AQ80" s="3"/>
      <c r="AR80" s="357" t="s">
        <v>1700</v>
      </c>
      <c r="AS80" s="357"/>
      <c r="AT80" s="268"/>
      <c r="AU80" s="357" t="s">
        <v>1713</v>
      </c>
      <c r="AV80" s="357"/>
      <c r="AW80" s="638"/>
      <c r="AX80" s="3"/>
      <c r="AY80" s="161"/>
      <c r="AZ80" s="161"/>
      <c r="BA80" s="664"/>
      <c r="BB80" s="638"/>
      <c r="BC80" s="161"/>
    </row>
    <row r="81" spans="1:55" s="5" customFormat="1" ht="55.9" customHeight="1">
      <c r="A81" s="160">
        <f t="shared" si="6"/>
        <v>74</v>
      </c>
      <c r="B81" s="160">
        <f>'תקציב החברה לפיתוח 2022'!B86</f>
        <v>2185</v>
      </c>
      <c r="C81" s="289" t="str">
        <f>'תקציב החברה לפיתוח 2022'!C86</f>
        <v>תוספת 6 כיתות לימוד בי"ס שז"ר</v>
      </c>
      <c r="D81" s="161">
        <f>'תקציב החברה לפיתוח 2022'!D86</f>
        <v>40000000</v>
      </c>
      <c r="E81" s="160">
        <f>'תקציב החברה לפיתוח 2022'!E86</f>
        <v>750000</v>
      </c>
      <c r="F81" s="160">
        <f>'תקציב החברה לפיתוח 2022'!F86</f>
        <v>39250000</v>
      </c>
      <c r="G81" s="160">
        <f>'תקציב החברה לפיתוח 2022'!G86</f>
        <v>500000</v>
      </c>
      <c r="H81" s="160">
        <f>'תקציב החברה לפיתוח 2022'!H86</f>
        <v>111410</v>
      </c>
      <c r="I81" s="160">
        <f>'תקציב החברה לפיתוח 2022'!I86</f>
        <v>0</v>
      </c>
      <c r="J81" s="160">
        <f>'תקציב החברה לפיתוח 2022'!J86</f>
        <v>112913</v>
      </c>
      <c r="K81" s="160">
        <f>'תקציב החברה לפיתוח 2022'!K86</f>
        <v>112913</v>
      </c>
      <c r="L81" s="161">
        <f>'תקציב החברה לפיתוח 2022'!L86</f>
        <v>224323</v>
      </c>
      <c r="M81" s="161">
        <f>'תקציב החברה לפיתוח 2022'!M86</f>
        <v>525677</v>
      </c>
      <c r="N81" s="161">
        <f>'תקציב החברה לפיתוח 2022'!N86</f>
        <v>8000000</v>
      </c>
      <c r="O81" s="161">
        <f>'תקציב החברה לפיתוח 2022'!O86</f>
        <v>31250000</v>
      </c>
      <c r="P81" s="161">
        <f>'תקציב החברה לפיתוח 2022'!P86</f>
        <v>275677</v>
      </c>
      <c r="Q81" s="161">
        <f>'תקציב החברה לפיתוח 2022'!Q86</f>
        <v>250000</v>
      </c>
      <c r="R81" s="161">
        <f>'תקציב החברה לפיתוח 2022'!R86</f>
        <v>0</v>
      </c>
      <c r="S81" s="161">
        <f>'תקציב החברה לפיתוח 2022'!S86</f>
        <v>250000</v>
      </c>
      <c r="T81" s="161">
        <f>'תקציב החברה לפיתוח 2022'!T86</f>
        <v>0</v>
      </c>
      <c r="U81" s="161">
        <f>'תקציב החברה לפיתוח 2022'!U86</f>
        <v>8000000</v>
      </c>
      <c r="V81" s="161">
        <f>'תקציב החברה לפיתוח 2022'!V86</f>
        <v>4405695</v>
      </c>
      <c r="W81" s="161">
        <f>'תקציב החברה לפיתוח 2022'!W86</f>
        <v>0</v>
      </c>
      <c r="X81" s="161">
        <f>'תקציב החברה לפיתוח 2022'!X86</f>
        <v>0</v>
      </c>
      <c r="Y81" s="161">
        <f>'תקציב החברה לפיתוח 2022'!Y86</f>
        <v>0</v>
      </c>
      <c r="Z81" s="161">
        <f>'תקציב החברה לפיתוח 2022'!Z86</f>
        <v>0</v>
      </c>
      <c r="AA81" s="161">
        <f>'תקציב החברה לפיתוח 2022'!AA86</f>
        <v>3594305</v>
      </c>
      <c r="AB81" s="289" t="str">
        <f>'תקציב החברה לפיתוח 2022'!AB86</f>
        <v>תכנון לתוספת 6 כיתות בי"ס שז"ר. מימון מ. החינוך.</v>
      </c>
      <c r="AC81" s="160">
        <f>'תקציב החברה לפיתוח 2022'!AC86</f>
        <v>810000</v>
      </c>
      <c r="AD81" s="157"/>
      <c r="AE81" s="157" t="s">
        <v>1714</v>
      </c>
      <c r="AF81" s="3"/>
      <c r="AG81" s="171"/>
      <c r="AH81" s="171"/>
      <c r="AI81" s="171">
        <v>4</v>
      </c>
      <c r="AJ81" s="171"/>
      <c r="AK81" s="3"/>
      <c r="AL81" s="3" t="s">
        <v>1698</v>
      </c>
      <c r="AM81" s="3"/>
      <c r="AN81" s="277"/>
      <c r="AO81" s="160"/>
      <c r="AP81" s="157" t="s">
        <v>1698</v>
      </c>
      <c r="AQ81" s="3"/>
      <c r="AR81" s="357" t="s">
        <v>1700</v>
      </c>
      <c r="AS81" s="160" t="s">
        <v>1591</v>
      </c>
      <c r="AT81" s="268"/>
      <c r="AU81" s="160" t="s">
        <v>1592</v>
      </c>
      <c r="AV81" s="357" t="s">
        <v>2176</v>
      </c>
      <c r="AW81" s="638"/>
      <c r="AX81" s="3"/>
      <c r="AY81" s="161">
        <v>-5000000</v>
      </c>
      <c r="AZ81" s="161">
        <v>-5000000</v>
      </c>
      <c r="BA81" s="664"/>
      <c r="BB81" s="638"/>
      <c r="BC81" s="161"/>
    </row>
    <row r="82" spans="1:55" s="5" customFormat="1" ht="105">
      <c r="A82" s="160">
        <f t="shared" si="6"/>
        <v>75</v>
      </c>
      <c r="B82" s="160">
        <f>'תקציב החברה לפיתוח 2022'!B92</f>
        <v>2201</v>
      </c>
      <c r="C82" s="289" t="str">
        <f>'תקציב החברה לפיתוח 2022'!C92</f>
        <v>מתחם בי"ס הנדיב</v>
      </c>
      <c r="D82" s="161">
        <f>'תקציב החברה לפיתוח 2022'!D92</f>
        <v>80000000</v>
      </c>
      <c r="E82" s="160">
        <f>'תקציב החברה לפיתוח 2022'!E92</f>
        <v>80000000</v>
      </c>
      <c r="F82" s="160">
        <f>'תקציב החברה לפיתוח 2022'!F92</f>
        <v>0</v>
      </c>
      <c r="G82" s="160">
        <f>'תקציב החברה לפיתוח 2022'!G92</f>
        <v>100000</v>
      </c>
      <c r="H82" s="160">
        <f>'תקציב החברה לפיתוח 2022'!H92</f>
        <v>0</v>
      </c>
      <c r="I82" s="160">
        <f>'תקציב החברה לפיתוח 2022'!I92</f>
        <v>0</v>
      </c>
      <c r="J82" s="160">
        <f>'תקציב החברה לפיתוח 2022'!J92</f>
        <v>52188</v>
      </c>
      <c r="K82" s="160">
        <f>'תקציב החברה לפיתוח 2022'!K92</f>
        <v>52188</v>
      </c>
      <c r="L82" s="161">
        <f>'תקציב החברה לפיתוח 2022'!L92</f>
        <v>52188</v>
      </c>
      <c r="M82" s="161">
        <f>'תקציב החברה לפיתוח 2022'!M92</f>
        <v>447812</v>
      </c>
      <c r="N82" s="161">
        <f>'תקציב החברה לפיתוח 2022'!N92</f>
        <v>1000000</v>
      </c>
      <c r="O82" s="161">
        <f>'תקציב החברה לפיתוח 2022'!O92</f>
        <v>78500000</v>
      </c>
      <c r="P82" s="161">
        <f>'תקציב החברה לפיתוח 2022'!P92</f>
        <v>47812</v>
      </c>
      <c r="Q82" s="161">
        <f>'תקציב החברה לפיתוח 2022'!Q92</f>
        <v>400000</v>
      </c>
      <c r="R82" s="161">
        <f>'תקציב החברה לפיתוח 2022'!R92</f>
        <v>0</v>
      </c>
      <c r="S82" s="161">
        <f>'תקציב החברה לפיתוח 2022'!S92</f>
        <v>400000</v>
      </c>
      <c r="T82" s="161">
        <f>'תקציב החברה לפיתוח 2022'!T92</f>
        <v>0</v>
      </c>
      <c r="U82" s="161">
        <f>'תקציב החברה לפיתוח 2022'!U92</f>
        <v>1000000</v>
      </c>
      <c r="V82" s="161">
        <f>'תקציב החברה לפיתוח 2022'!V92</f>
        <v>1000000</v>
      </c>
      <c r="W82" s="161">
        <f>'תקציב החברה לפיתוח 2022'!W92</f>
        <v>0</v>
      </c>
      <c r="X82" s="161">
        <f>'תקציב החברה לפיתוח 2022'!X92</f>
        <v>0</v>
      </c>
      <c r="Y82" s="161">
        <f>'תקציב החברה לפיתוח 2022'!Y92</f>
        <v>0</v>
      </c>
      <c r="Z82" s="161">
        <f>'תקציב החברה לפיתוח 2022'!Z92</f>
        <v>0</v>
      </c>
      <c r="AA82" s="161">
        <f>'תקציב החברה לפיתוח 2022'!AA92</f>
        <v>0</v>
      </c>
      <c r="AB82" s="289" t="str">
        <f>'תקציב החברה לפיתוח 2022'!AB92</f>
        <v xml:space="preserve">הריסת מבנים קיימים ובניה מתחם חדש:בי"ס יסודי 24 כיתות, 4 כיתות ח"מ, אולם ספורט, מגרש ספורט מוצלל, 4 כיתות גנ"י. </v>
      </c>
      <c r="AC82" s="160">
        <f>'תקציב החברה לפיתוח 2022'!AC92</f>
        <v>810000</v>
      </c>
      <c r="AD82" s="157"/>
      <c r="AE82" s="157" t="s">
        <v>1724</v>
      </c>
      <c r="AF82" s="3"/>
      <c r="AG82" s="171"/>
      <c r="AH82" s="171"/>
      <c r="AI82" s="171">
        <v>4</v>
      </c>
      <c r="AJ82" s="171"/>
      <c r="AK82" s="3"/>
      <c r="AL82" s="3"/>
      <c r="AM82" s="3"/>
      <c r="AN82" s="277"/>
      <c r="AO82" s="160"/>
      <c r="AP82" s="157" t="s">
        <v>1724</v>
      </c>
      <c r="AQ82" s="3"/>
      <c r="AR82" s="357" t="s">
        <v>1700</v>
      </c>
      <c r="AS82" s="357"/>
      <c r="AT82" s="268"/>
      <c r="AU82" s="357" t="s">
        <v>1725</v>
      </c>
      <c r="AV82" s="357"/>
      <c r="AW82" s="638"/>
      <c r="AX82" s="3"/>
      <c r="AY82" s="161"/>
      <c r="AZ82" s="161"/>
      <c r="BA82" s="664"/>
      <c r="BB82" s="638"/>
      <c r="BC82" s="161"/>
    </row>
    <row r="83" spans="1:55" s="5" customFormat="1" ht="60" customHeight="1">
      <c r="A83" s="160">
        <f t="shared" si="6"/>
        <v>76</v>
      </c>
      <c r="B83" s="160">
        <f>'תקציב החברה לפיתוח 2022'!B93</f>
        <v>2202</v>
      </c>
      <c r="C83" s="289" t="str">
        <f>'תקציב החברה לפיתוח 2022'!C93</f>
        <v>בי"ס דמוקרטי</v>
      </c>
      <c r="D83" s="161">
        <f>'תקציב החברה לפיתוח 2022'!D93</f>
        <v>1000000</v>
      </c>
      <c r="E83" s="160">
        <f>'תקציב החברה לפיתוח 2022'!E93</f>
        <v>1000000</v>
      </c>
      <c r="F83" s="160">
        <f>'תקציב החברה לפיתוח 2022'!F93</f>
        <v>0</v>
      </c>
      <c r="G83" s="160">
        <f>'תקציב החברה לפיתוח 2022'!G93</f>
        <v>100000</v>
      </c>
      <c r="H83" s="160">
        <f>'תקציב החברה לפיתוח 2022'!H93</f>
        <v>0</v>
      </c>
      <c r="I83" s="160">
        <f>'תקציב החברה לפיתוח 2022'!I93</f>
        <v>0</v>
      </c>
      <c r="J83" s="160">
        <f>'תקציב החברה לפיתוח 2022'!J93</f>
        <v>0</v>
      </c>
      <c r="K83" s="160">
        <f>'תקציב החברה לפיתוח 2022'!K93</f>
        <v>0</v>
      </c>
      <c r="L83" s="161">
        <f>'תקציב החברה לפיתוח 2022'!L93</f>
        <v>0</v>
      </c>
      <c r="M83" s="161">
        <f>'תקציב החברה לפיתוח 2022'!M93</f>
        <v>1000000</v>
      </c>
      <c r="N83" s="161">
        <f>'תקציב החברה לפיתוח 2022'!N93</f>
        <v>0</v>
      </c>
      <c r="O83" s="161">
        <f>'תקציב החברה לפיתוח 2022'!O93</f>
        <v>0</v>
      </c>
      <c r="P83" s="161">
        <f>'תקציב החברה לפיתוח 2022'!P93</f>
        <v>100000</v>
      </c>
      <c r="Q83" s="161">
        <f>'תקציב החברה לפיתוח 2022'!Q93</f>
        <v>900000</v>
      </c>
      <c r="R83" s="161">
        <f>'תקציב החברה לפיתוח 2022'!R93</f>
        <v>0</v>
      </c>
      <c r="S83" s="161">
        <f>'תקציב החברה לפיתוח 2022'!S93</f>
        <v>900000</v>
      </c>
      <c r="T83" s="161">
        <f>'תקציב החברה לפיתוח 2022'!T93</f>
        <v>0</v>
      </c>
      <c r="U83" s="161">
        <f>'תקציב החברה לפיתוח 2022'!U93</f>
        <v>0</v>
      </c>
      <c r="V83" s="161">
        <f>'תקציב החברה לפיתוח 2022'!V93</f>
        <v>0</v>
      </c>
      <c r="W83" s="161">
        <f>'תקציב החברה לפיתוח 2022'!W93</f>
        <v>0</v>
      </c>
      <c r="X83" s="161">
        <f>'תקציב החברה לפיתוח 2022'!X93</f>
        <v>0</v>
      </c>
      <c r="Y83" s="161">
        <f>'תקציב החברה לפיתוח 2022'!Y93</f>
        <v>0</v>
      </c>
      <c r="Z83" s="161">
        <f>'תקציב החברה לפיתוח 2022'!Z93</f>
        <v>0</v>
      </c>
      <c r="AA83" s="161">
        <f>'תקציב החברה לפיתוח 2022'!AA93</f>
        <v>0</v>
      </c>
      <c r="AB83" s="289" t="str">
        <f>'תקציב החברה לפיתוח 2022'!AB93</f>
        <v xml:space="preserve">בדיקת היתכנות להקמת בי"ס יסודי 18 כיתות. </v>
      </c>
      <c r="AC83" s="160">
        <f>'תקציב החברה לפיתוח 2022'!AC93</f>
        <v>810000</v>
      </c>
      <c r="AD83" s="157"/>
      <c r="AE83" s="157" t="s">
        <v>1727</v>
      </c>
      <c r="AF83" s="3"/>
      <c r="AG83" s="171"/>
      <c r="AH83" s="171"/>
      <c r="AI83" s="171"/>
      <c r="AJ83" s="171">
        <v>5</v>
      </c>
      <c r="AK83" s="3"/>
      <c r="AL83" s="3"/>
      <c r="AM83" s="3"/>
      <c r="AN83" s="277"/>
      <c r="AO83" s="160"/>
      <c r="AP83" s="157" t="s">
        <v>1727</v>
      </c>
      <c r="AQ83" s="3"/>
      <c r="AR83" s="357" t="s">
        <v>1728</v>
      </c>
      <c r="AS83" s="357"/>
      <c r="AT83" s="268"/>
      <c r="AU83" s="357" t="s">
        <v>1729</v>
      </c>
      <c r="AV83" s="357"/>
      <c r="AW83" s="638"/>
      <c r="AX83" s="3"/>
      <c r="AY83" s="161"/>
      <c r="AZ83" s="161"/>
      <c r="BA83" s="664"/>
      <c r="BB83" s="638"/>
      <c r="BC83" s="161"/>
    </row>
    <row r="84" spans="1:55" s="5" customFormat="1" ht="51" customHeight="1">
      <c r="A84" s="160">
        <f t="shared" si="6"/>
        <v>77</v>
      </c>
      <c r="B84" s="160">
        <f>'תקציב החברה לפיתוח 2022'!B95</f>
        <v>2204</v>
      </c>
      <c r="C84" s="289" t="str">
        <f>'תקציב החברה לפיתוח 2022'!C95</f>
        <v>בי"ס נוף ים-תוספת 6 כיתות ומקלט</v>
      </c>
      <c r="D84" s="161">
        <f>'תקציב החברה לפיתוח 2022'!D95</f>
        <v>800000</v>
      </c>
      <c r="E84" s="160">
        <f>'תקציב החברה לפיתוח 2022'!E95</f>
        <v>800000</v>
      </c>
      <c r="F84" s="160">
        <f>'תקציב החברה לפיתוח 2022'!F95</f>
        <v>0</v>
      </c>
      <c r="G84" s="160">
        <f>'תקציב החברה לפיתוח 2022'!G95</f>
        <v>100000</v>
      </c>
      <c r="H84" s="160">
        <f>'תקציב החברה לפיתוח 2022'!H95</f>
        <v>0</v>
      </c>
      <c r="I84" s="160">
        <f>'תקציב החברה לפיתוח 2022'!I95</f>
        <v>0</v>
      </c>
      <c r="J84" s="160">
        <f>'תקציב החברה לפיתוח 2022'!J95</f>
        <v>0</v>
      </c>
      <c r="K84" s="160">
        <f>'תקציב החברה לפיתוח 2022'!K95</f>
        <v>0</v>
      </c>
      <c r="L84" s="161">
        <f>'תקציב החברה לפיתוח 2022'!L95</f>
        <v>0</v>
      </c>
      <c r="M84" s="161">
        <f>'תקציב החברה לפיתוח 2022'!M95</f>
        <v>800000</v>
      </c>
      <c r="N84" s="161">
        <f>'תקציב החברה לפיתוח 2022'!N95</f>
        <v>0</v>
      </c>
      <c r="O84" s="161">
        <f>'תקציב החברה לפיתוח 2022'!O95</f>
        <v>0</v>
      </c>
      <c r="P84" s="161">
        <f>'תקציב החברה לפיתוח 2022'!P95</f>
        <v>100000</v>
      </c>
      <c r="Q84" s="161">
        <f>'תקציב החברה לפיתוח 2022'!Q95</f>
        <v>700000</v>
      </c>
      <c r="R84" s="161">
        <f>'תקציב החברה לפיתוח 2022'!R95</f>
        <v>0</v>
      </c>
      <c r="S84" s="161">
        <f>'תקציב החברה לפיתוח 2022'!S95</f>
        <v>700000</v>
      </c>
      <c r="T84" s="161">
        <f>'תקציב החברה לפיתוח 2022'!T95</f>
        <v>0</v>
      </c>
      <c r="U84" s="161">
        <f>'תקציב החברה לפיתוח 2022'!U95</f>
        <v>0</v>
      </c>
      <c r="V84" s="161">
        <f>'תקציב החברה לפיתוח 2022'!V95</f>
        <v>0</v>
      </c>
      <c r="W84" s="161">
        <f>'תקציב החברה לפיתוח 2022'!W95</f>
        <v>0</v>
      </c>
      <c r="X84" s="161">
        <f>'תקציב החברה לפיתוח 2022'!X95</f>
        <v>0</v>
      </c>
      <c r="Y84" s="161">
        <f>'תקציב החברה לפיתוח 2022'!Y95</f>
        <v>0</v>
      </c>
      <c r="Z84" s="161">
        <f>'תקציב החברה לפיתוח 2022'!Z95</f>
        <v>0</v>
      </c>
      <c r="AA84" s="161">
        <f>'תקציב החברה לפיתוח 2022'!AA95</f>
        <v>0</v>
      </c>
      <c r="AB84" s="289" t="str">
        <f>'תקציב החברה לפיתוח 2022'!AB95</f>
        <v xml:space="preserve">בדיקת היתכנות 6 כיתות  בי"ס יסודי . הרחבה ל - 18 כיתות.  </v>
      </c>
      <c r="AC84" s="160">
        <f>'תקציב החברה לפיתוח 2022'!AC95</f>
        <v>810000</v>
      </c>
      <c r="AD84" s="157"/>
      <c r="AE84" s="157" t="s">
        <v>1737</v>
      </c>
      <c r="AF84" s="3"/>
      <c r="AG84" s="171"/>
      <c r="AH84" s="171"/>
      <c r="AI84" s="171"/>
      <c r="AJ84" s="171">
        <v>5</v>
      </c>
      <c r="AK84" s="3"/>
      <c r="AL84" s="3"/>
      <c r="AM84" s="3"/>
      <c r="AN84" s="277"/>
      <c r="AO84" s="160"/>
      <c r="AP84" s="157" t="s">
        <v>1737</v>
      </c>
      <c r="AQ84" s="3"/>
      <c r="AR84" s="357" t="s">
        <v>1734</v>
      </c>
      <c r="AS84" s="357" t="s">
        <v>1738</v>
      </c>
      <c r="AT84" s="519" t="s">
        <v>1739</v>
      </c>
      <c r="AU84" s="357" t="s">
        <v>1740</v>
      </c>
      <c r="AV84" s="357"/>
      <c r="AW84" s="638"/>
      <c r="AX84" s="3"/>
      <c r="AY84" s="161"/>
      <c r="AZ84" s="161"/>
      <c r="BA84" s="664"/>
      <c r="BB84" s="638"/>
      <c r="BC84" s="161"/>
    </row>
    <row r="85" spans="1:55" s="5" customFormat="1" ht="30" customHeight="1">
      <c r="A85" s="160">
        <f t="shared" si="6"/>
        <v>78</v>
      </c>
      <c r="B85" s="160">
        <f>'תקציב החברה לפיתוח 2022'!B96</f>
        <v>2205</v>
      </c>
      <c r="C85" s="289" t="str">
        <f>'תקציב החברה לפיתוח 2022'!C96</f>
        <v xml:space="preserve">תיכון היובל </v>
      </c>
      <c r="D85" s="161">
        <f>'תקציב החברה לפיתוח 2022'!D96</f>
        <v>16000000</v>
      </c>
      <c r="E85" s="160">
        <f>'תקציב החברה לפיתוח 2022'!E96</f>
        <v>16000000</v>
      </c>
      <c r="F85" s="160">
        <f>'תקציב החברה לפיתוח 2022'!F96</f>
        <v>0</v>
      </c>
      <c r="G85" s="160">
        <f>'תקציב החברה לפיתוח 2022'!G96</f>
        <v>150000</v>
      </c>
      <c r="H85" s="160">
        <f>'תקציב החברה לפיתוח 2022'!H96</f>
        <v>1032</v>
      </c>
      <c r="I85" s="160">
        <f>'תקציב החברה לפיתוח 2022'!I96</f>
        <v>0</v>
      </c>
      <c r="J85" s="160">
        <f>'תקציב החברה לפיתוח 2022'!J96</f>
        <v>61020</v>
      </c>
      <c r="K85" s="160">
        <f>'תקציב החברה לפיתוח 2022'!K96</f>
        <v>61020</v>
      </c>
      <c r="L85" s="161">
        <f>'תקציב החברה לפיתוח 2022'!L96</f>
        <v>62052</v>
      </c>
      <c r="M85" s="161">
        <f>'תקציב החברה לפיתוח 2022'!M96</f>
        <v>387948</v>
      </c>
      <c r="N85" s="161">
        <f>'תקציב החברה לפיתוח 2022'!N96</f>
        <v>7000000</v>
      </c>
      <c r="O85" s="161">
        <f>'תקציב החברה לפיתוח 2022'!O96</f>
        <v>8550000</v>
      </c>
      <c r="P85" s="161">
        <f>'תקציב החברה לפיתוח 2022'!P96</f>
        <v>87948</v>
      </c>
      <c r="Q85" s="161">
        <f>'תקציב החברה לפיתוח 2022'!Q96</f>
        <v>300000</v>
      </c>
      <c r="R85" s="161">
        <f>'תקציב החברה לפיתוח 2022'!R96</f>
        <v>0</v>
      </c>
      <c r="S85" s="161">
        <f>'תקציב החברה לפיתוח 2022'!S96</f>
        <v>300000</v>
      </c>
      <c r="T85" s="161">
        <f>'תקציב החברה לפיתוח 2022'!T96</f>
        <v>0</v>
      </c>
      <c r="U85" s="161">
        <f>'תקציב החברה לפיתוח 2022'!U96</f>
        <v>7000000</v>
      </c>
      <c r="V85" s="161">
        <f>'תקציב החברה לפיתוח 2022'!V96</f>
        <v>7000000</v>
      </c>
      <c r="W85" s="161">
        <f>'תקציב החברה לפיתוח 2022'!W96</f>
        <v>0</v>
      </c>
      <c r="X85" s="161">
        <f>'תקציב החברה לפיתוח 2022'!X96</f>
        <v>0</v>
      </c>
      <c r="Y85" s="161">
        <f>'תקציב החברה לפיתוח 2022'!Y96</f>
        <v>0</v>
      </c>
      <c r="Z85" s="161">
        <f>'תקציב החברה לפיתוח 2022'!Z96</f>
        <v>0</v>
      </c>
      <c r="AA85" s="161">
        <f>'תקציב החברה לפיתוח 2022'!AA96</f>
        <v>0</v>
      </c>
      <c r="AB85" s="289" t="str">
        <f>'תקציב החברה לפיתוח 2022'!AB96</f>
        <v xml:space="preserve">תכנון וביצוע של תוספת 6 כיתות ומעבדות בתיכון היובל. </v>
      </c>
      <c r="AC85" s="160">
        <f>'תקציב החברה לפיתוח 2022'!AC96</f>
        <v>810000</v>
      </c>
      <c r="AD85" s="157"/>
      <c r="AE85" s="157" t="s">
        <v>1742</v>
      </c>
      <c r="AF85" s="3"/>
      <c r="AG85" s="171"/>
      <c r="AH85" s="171"/>
      <c r="AI85" s="171">
        <v>4</v>
      </c>
      <c r="AJ85" s="171"/>
      <c r="AK85" s="3"/>
      <c r="AL85" s="3" t="s">
        <v>1698</v>
      </c>
      <c r="AM85" s="3"/>
      <c r="AN85" s="277"/>
      <c r="AO85" s="160"/>
      <c r="AP85" s="157" t="s">
        <v>1743</v>
      </c>
      <c r="AQ85" s="3"/>
      <c r="AR85" s="357" t="s">
        <v>1700</v>
      </c>
      <c r="AS85" s="160" t="s">
        <v>1744</v>
      </c>
      <c r="AT85" s="268"/>
      <c r="AU85" s="160" t="s">
        <v>1745</v>
      </c>
      <c r="AV85" s="357"/>
      <c r="AW85" s="638"/>
      <c r="AX85" s="3"/>
      <c r="AY85" s="161">
        <v>-5000000</v>
      </c>
      <c r="AZ85" s="161">
        <v>-5000000</v>
      </c>
      <c r="BA85" s="664"/>
      <c r="BB85" s="638"/>
      <c r="BC85" s="161"/>
    </row>
    <row r="86" spans="1:55" s="5" customFormat="1" ht="52.9" customHeight="1">
      <c r="A86" s="160">
        <f t="shared" si="6"/>
        <v>79</v>
      </c>
      <c r="B86" s="160">
        <f>'תקציב החברה לפיתוח 2022'!B97</f>
        <v>2206</v>
      </c>
      <c r="C86" s="289" t="str">
        <f>'תקציב החברה לפיתוח 2022'!C97</f>
        <v>חט"ב באלתרמן</v>
      </c>
      <c r="D86" s="161">
        <f>'תקציב החברה לפיתוח 2022'!D97</f>
        <v>4000000</v>
      </c>
      <c r="E86" s="160">
        <f>'תקציב החברה לפיתוח 2022'!E97</f>
        <v>1000000</v>
      </c>
      <c r="F86" s="160">
        <f>'תקציב החברה לפיתוח 2022'!F97</f>
        <v>3000000</v>
      </c>
      <c r="G86" s="160">
        <f>'תקציב החברה לפיתוח 2022'!G97</f>
        <v>200000</v>
      </c>
      <c r="H86" s="160">
        <f>'תקציב החברה לפיתוח 2022'!H97</f>
        <v>6845</v>
      </c>
      <c r="I86" s="160">
        <f>'תקציב החברה לפיתוח 2022'!I97</f>
        <v>0</v>
      </c>
      <c r="J86" s="160">
        <f>'תקציב החברה לפיתוח 2022'!J97</f>
        <v>117175</v>
      </c>
      <c r="K86" s="160">
        <f>'תקציב החברה לפיתוח 2022'!K97</f>
        <v>117175</v>
      </c>
      <c r="L86" s="161">
        <f>'תקציב החברה לפיתוח 2022'!L97</f>
        <v>124020</v>
      </c>
      <c r="M86" s="161">
        <f>'תקציב החברה לפיתוח 2022'!M97</f>
        <v>875980</v>
      </c>
      <c r="N86" s="161">
        <f>'תקציב החברה לפיתוח 2022'!N97</f>
        <v>900000</v>
      </c>
      <c r="O86" s="161">
        <f>'תקציב החברה לפיתוח 2022'!O97</f>
        <v>2100000</v>
      </c>
      <c r="P86" s="161">
        <f>'תקציב החברה לפיתוח 2022'!P97</f>
        <v>75980</v>
      </c>
      <c r="Q86" s="161">
        <f>'תקציב החברה לפיתוח 2022'!Q97</f>
        <v>800000</v>
      </c>
      <c r="R86" s="161">
        <f>'תקציב החברה לפיתוח 2022'!R97</f>
        <v>0</v>
      </c>
      <c r="S86" s="161">
        <f>'תקציב החברה לפיתוח 2022'!S97</f>
        <v>800000</v>
      </c>
      <c r="T86" s="161">
        <f>'תקציב החברה לפיתוח 2022'!T97</f>
        <v>0</v>
      </c>
      <c r="U86" s="161">
        <f>'תקציב החברה לפיתוח 2022'!U97</f>
        <v>900000</v>
      </c>
      <c r="V86" s="161">
        <f>'תקציב החברה לפיתוח 2022'!V97</f>
        <v>900000</v>
      </c>
      <c r="W86" s="161">
        <f>'תקציב החברה לפיתוח 2022'!W97</f>
        <v>0</v>
      </c>
      <c r="X86" s="161">
        <f>'תקציב החברה לפיתוח 2022'!X97</f>
        <v>0</v>
      </c>
      <c r="Y86" s="161">
        <f>'תקציב החברה לפיתוח 2022'!Y97</f>
        <v>0</v>
      </c>
      <c r="Z86" s="161">
        <f>'תקציב החברה לפיתוח 2022'!Z97</f>
        <v>0</v>
      </c>
      <c r="AA86" s="161">
        <f>'תקציב החברה לפיתוח 2022'!AA97</f>
        <v>0</v>
      </c>
      <c r="AB86" s="289" t="str">
        <f>'תקציב החברה לפיתוח 2022'!AB97</f>
        <v xml:space="preserve">תכנון חט"ב חדשה 24 כיתות באלתרמן. </v>
      </c>
      <c r="AC86" s="160">
        <f>'תקציב החברה לפיתוח 2022'!AC97</f>
        <v>810000</v>
      </c>
      <c r="AD86" s="157"/>
      <c r="AE86" s="157" t="s">
        <v>1747</v>
      </c>
      <c r="AF86" s="3"/>
      <c r="AG86" s="171"/>
      <c r="AH86" s="171"/>
      <c r="AI86" s="171">
        <v>4</v>
      </c>
      <c r="AJ86" s="171"/>
      <c r="AK86" s="3"/>
      <c r="AL86" s="3"/>
      <c r="AM86" s="3"/>
      <c r="AN86" s="277"/>
      <c r="AO86" s="160"/>
      <c r="AP86" s="157" t="s">
        <v>1747</v>
      </c>
      <c r="AQ86" s="3"/>
      <c r="AR86" s="357" t="s">
        <v>1700</v>
      </c>
      <c r="AS86" s="357" t="s">
        <v>1748</v>
      </c>
      <c r="AT86" s="268"/>
      <c r="AU86" s="357" t="s">
        <v>1749</v>
      </c>
      <c r="AV86" s="357"/>
      <c r="AW86" s="638"/>
      <c r="AX86" s="3"/>
      <c r="AY86" s="264">
        <v>-1000000</v>
      </c>
      <c r="AZ86" s="161"/>
      <c r="BA86" s="664">
        <v>2000000</v>
      </c>
      <c r="BB86" s="638">
        <f>BA86-N86</f>
        <v>1100000</v>
      </c>
      <c r="BC86" s="161"/>
    </row>
    <row r="87" spans="1:55" s="5" customFormat="1" ht="61.15" customHeight="1">
      <c r="A87" s="160">
        <f t="shared" si="6"/>
        <v>80</v>
      </c>
      <c r="B87" s="160">
        <f>'תקציב החברה לפיתוח 2022'!B100</f>
        <v>2209</v>
      </c>
      <c r="C87" s="289" t="str">
        <f>'תקציב החברה לפיתוח 2022'!C100</f>
        <v>בית ספר ברנר (תוספת 6 כיתות)</v>
      </c>
      <c r="D87" s="161">
        <f>'תקציב החברה לפיתוח 2022'!D100</f>
        <v>46500000</v>
      </c>
      <c r="E87" s="160">
        <f>'תקציב החברה לפיתוח 2022'!E100</f>
        <v>500000</v>
      </c>
      <c r="F87" s="160">
        <f>'תקציב החברה לפיתוח 2022'!F100</f>
        <v>46000000</v>
      </c>
      <c r="G87" s="160">
        <f>'תקציב החברה לפיתוח 2022'!G100</f>
        <v>150000</v>
      </c>
      <c r="H87" s="160">
        <f>'תקציב החברה לפיתוח 2022'!H100</f>
        <v>25733</v>
      </c>
      <c r="I87" s="160">
        <f>'תקציב החברה לפיתוח 2022'!I100</f>
        <v>0</v>
      </c>
      <c r="J87" s="160">
        <f>'תקציב החברה לפיתוח 2022'!J100</f>
        <v>48679</v>
      </c>
      <c r="K87" s="160">
        <f>'תקציב החברה לפיתוח 2022'!K100</f>
        <v>48679</v>
      </c>
      <c r="L87" s="161">
        <f>'תקציב החברה לפיתוח 2022'!L100</f>
        <v>74412</v>
      </c>
      <c r="M87" s="161">
        <f>'תקציב החברה לפיתוח 2022'!M100</f>
        <v>425588</v>
      </c>
      <c r="N87" s="161">
        <f>'תקציב החברה לפיתוח 2022'!N100</f>
        <v>1000000</v>
      </c>
      <c r="O87" s="161">
        <f>'תקציב החברה לפיתוח 2022'!O100</f>
        <v>45000000</v>
      </c>
      <c r="P87" s="161">
        <f>'תקציב החברה לפיתוח 2022'!P100</f>
        <v>75588</v>
      </c>
      <c r="Q87" s="161">
        <f>'תקציב החברה לפיתוח 2022'!Q100</f>
        <v>350000</v>
      </c>
      <c r="R87" s="161">
        <f>'תקציב החברה לפיתוח 2022'!R100</f>
        <v>0</v>
      </c>
      <c r="S87" s="161">
        <f>'תקציב החברה לפיתוח 2022'!S100</f>
        <v>350000</v>
      </c>
      <c r="T87" s="161">
        <f>'תקציב החברה לפיתוח 2022'!T100</f>
        <v>0</v>
      </c>
      <c r="U87" s="161">
        <f>'תקציב החברה לפיתוח 2022'!U100</f>
        <v>1000000</v>
      </c>
      <c r="V87" s="161">
        <f>'תקציב החברה לפיתוח 2022'!V100</f>
        <v>1000000</v>
      </c>
      <c r="W87" s="161">
        <f>'תקציב החברה לפיתוח 2022'!W100</f>
        <v>0</v>
      </c>
      <c r="X87" s="161">
        <f>'תקציב החברה לפיתוח 2022'!X100</f>
        <v>0</v>
      </c>
      <c r="Y87" s="161">
        <f>'תקציב החברה לפיתוח 2022'!Y100</f>
        <v>0</v>
      </c>
      <c r="Z87" s="161">
        <f>'תקציב החברה לפיתוח 2022'!Z100</f>
        <v>0</v>
      </c>
      <c r="AA87" s="161">
        <f>'תקציב החברה לפיתוח 2022'!AA100</f>
        <v>0</v>
      </c>
      <c r="AB87" s="289" t="str">
        <f>'תקציב החברה לפיתוח 2022'!AB100</f>
        <v>תכנון וביצוע תוספת 8 כיתות בי"ס ברנר ובניית אולם ספורט. ב - 2022 : תכנוון .</v>
      </c>
      <c r="AC87" s="160">
        <f>'תקציב החברה לפיתוח 2022'!AC100</f>
        <v>810000</v>
      </c>
      <c r="AD87" s="157"/>
      <c r="AE87" s="157" t="s">
        <v>1752</v>
      </c>
      <c r="AF87" s="171"/>
      <c r="AG87" s="171"/>
      <c r="AH87" s="171"/>
      <c r="AI87" s="171">
        <v>4</v>
      </c>
      <c r="AJ87" s="171"/>
      <c r="AK87" s="3"/>
      <c r="AL87" s="3" t="s">
        <v>1698</v>
      </c>
      <c r="AM87" s="3"/>
      <c r="AN87" s="277"/>
      <c r="AO87" s="160"/>
      <c r="AP87" s="157" t="s">
        <v>1743</v>
      </c>
      <c r="AQ87" s="3"/>
      <c r="AR87" s="357" t="s">
        <v>1700</v>
      </c>
      <c r="AS87" s="160" t="s">
        <v>1753</v>
      </c>
      <c r="AT87" s="268"/>
      <c r="AU87" s="160" t="s">
        <v>1592</v>
      </c>
      <c r="AV87" s="357" t="s">
        <v>2189</v>
      </c>
      <c r="AW87" s="638">
        <v>30000000</v>
      </c>
      <c r="AX87" s="639">
        <f>U87-AW87</f>
        <v>-29000000</v>
      </c>
      <c r="AY87" s="161"/>
      <c r="AZ87" s="161"/>
      <c r="BA87" s="664"/>
      <c r="BB87" s="638"/>
      <c r="BC87" s="161"/>
    </row>
    <row r="88" spans="1:55" s="5" customFormat="1" ht="48.6" customHeight="1">
      <c r="A88" s="160">
        <f t="shared" si="6"/>
        <v>81</v>
      </c>
      <c r="B88" s="160">
        <f>'תקציב החברה לפיתוח 2022'!B103</f>
        <v>20010</v>
      </c>
      <c r="C88" s="289" t="str">
        <f>'תקציב החברה לפיתוח 2022'!C103</f>
        <v>גנ"י אחד העם</v>
      </c>
      <c r="D88" s="161">
        <f>'תקציב החברה לפיתוח 2022'!D103</f>
        <v>7000000</v>
      </c>
      <c r="E88" s="160">
        <f>'תקציב החברה לפיתוח 2022'!E103</f>
        <v>0</v>
      </c>
      <c r="F88" s="160">
        <f>'תקציב החברה לפיתוח 2022'!F103</f>
        <v>7000000</v>
      </c>
      <c r="G88" s="160">
        <f>'תקציב החברה לפיתוח 2022'!G103</f>
        <v>0</v>
      </c>
      <c r="H88" s="160">
        <f>'תקציב החברה לפיתוח 2022'!H103</f>
        <v>0</v>
      </c>
      <c r="I88" s="160">
        <f>'תקציב החברה לפיתוח 2022'!I103</f>
        <v>0</v>
      </c>
      <c r="J88" s="160">
        <f>'תקציב החברה לפיתוח 2022'!J103</f>
        <v>0</v>
      </c>
      <c r="K88" s="160">
        <f>'תקציב החברה לפיתוח 2022'!K103</f>
        <v>0</v>
      </c>
      <c r="L88" s="161">
        <f>'תקציב החברה לפיתוח 2022'!L103</f>
        <v>0</v>
      </c>
      <c r="M88" s="161">
        <f>'תקציב החברה לפיתוח 2022'!M103</f>
        <v>0</v>
      </c>
      <c r="N88" s="161">
        <f>'תקציב החברה לפיתוח 2022'!N103</f>
        <v>500000</v>
      </c>
      <c r="O88" s="161">
        <f>'תקציב החברה לפיתוח 2022'!O103</f>
        <v>6500000</v>
      </c>
      <c r="P88" s="161">
        <f>'תקציב החברה לפיתוח 2022'!P103</f>
        <v>0</v>
      </c>
      <c r="Q88" s="161">
        <f>'תקציב החברה לפיתוח 2022'!Q103</f>
        <v>0</v>
      </c>
      <c r="R88" s="161">
        <f>'תקציב החברה לפיתוח 2022'!R103</f>
        <v>0</v>
      </c>
      <c r="S88" s="161">
        <f>'תקציב החברה לפיתוח 2022'!S103</f>
        <v>0</v>
      </c>
      <c r="T88" s="161">
        <f>'תקציב החברה לפיתוח 2022'!T103</f>
        <v>0</v>
      </c>
      <c r="U88" s="161">
        <f>'תקציב החברה לפיתוח 2022'!U103</f>
        <v>500000</v>
      </c>
      <c r="V88" s="161">
        <f>'תקציב החברה לפיתוח 2022'!V103</f>
        <v>500000</v>
      </c>
      <c r="W88" s="161">
        <f>'תקציב החברה לפיתוח 2022'!W103</f>
        <v>0</v>
      </c>
      <c r="X88" s="161">
        <f>'תקציב החברה לפיתוח 2022'!X103</f>
        <v>0</v>
      </c>
      <c r="Y88" s="161">
        <f>'תקציב החברה לפיתוח 2022'!Y103</f>
        <v>0</v>
      </c>
      <c r="Z88" s="161">
        <f>'תקציב החברה לפיתוח 2022'!Z103</f>
        <v>0</v>
      </c>
      <c r="AA88" s="161">
        <f>'תקציב החברה לפיתוח 2022'!AA103</f>
        <v>0</v>
      </c>
      <c r="AB88" s="289" t="str">
        <f>'תקציב החברה לפיתוח 2022'!AB103</f>
        <v xml:space="preserve">תכנון וביצוע 2 גנ"י. </v>
      </c>
      <c r="AC88" s="160">
        <f>'תקציב החברה לפיתוח 2022'!AC103</f>
        <v>810000</v>
      </c>
      <c r="AD88" s="374"/>
      <c r="AE88" s="157" t="s">
        <v>1791</v>
      </c>
      <c r="AF88" s="3"/>
      <c r="AG88" s="3"/>
      <c r="AH88" s="374">
        <v>3</v>
      </c>
      <c r="AI88" s="3"/>
      <c r="AJ88" s="3"/>
      <c r="AK88" s="3"/>
      <c r="AL88" s="3" t="s">
        <v>1792</v>
      </c>
      <c r="AM88" s="3"/>
      <c r="AN88" s="3"/>
      <c r="AO88" s="3"/>
      <c r="AP88" s="3"/>
      <c r="AQ88" s="3"/>
      <c r="AR88" s="357" t="s">
        <v>1710</v>
      </c>
      <c r="AS88" s="357" t="s">
        <v>1793</v>
      </c>
      <c r="AT88" s="523" t="s">
        <v>1793</v>
      </c>
      <c r="AU88" s="306" t="s">
        <v>1794</v>
      </c>
      <c r="AV88" s="357" t="s">
        <v>2191</v>
      </c>
      <c r="AW88" s="638">
        <v>7000000</v>
      </c>
      <c r="AX88" s="446">
        <f>U88-AW88</f>
        <v>-6500000</v>
      </c>
      <c r="AY88" s="3"/>
      <c r="AZ88" s="3"/>
      <c r="BA88" s="664"/>
      <c r="BB88" s="638"/>
      <c r="BC88" s="161"/>
    </row>
    <row r="89" spans="1:55" s="5" customFormat="1" ht="39.6" customHeight="1">
      <c r="A89" s="160">
        <f t="shared" si="6"/>
        <v>82</v>
      </c>
      <c r="B89" s="160">
        <f>'תקציב החברה לפיתוח 2022'!B104</f>
        <v>20011</v>
      </c>
      <c r="C89" s="289" t="str">
        <f>'תקציב החברה לפיתוח 2022'!C104</f>
        <v>גנ"י חנה רובינא</v>
      </c>
      <c r="D89" s="161">
        <f>'תקציב החברה לפיתוח 2022'!D104</f>
        <v>18500000</v>
      </c>
      <c r="E89" s="160">
        <f>'תקציב החברה לפיתוח 2022'!E104</f>
        <v>0</v>
      </c>
      <c r="F89" s="160">
        <f>'תקציב החברה לפיתוח 2022'!F104</f>
        <v>18500000</v>
      </c>
      <c r="G89" s="160">
        <f>'תקציב החברה לפיתוח 2022'!G104</f>
        <v>0</v>
      </c>
      <c r="H89" s="160">
        <f>'תקציב החברה לפיתוח 2022'!H104</f>
        <v>0</v>
      </c>
      <c r="I89" s="160">
        <f>'תקציב החברה לפיתוח 2022'!I104</f>
        <v>0</v>
      </c>
      <c r="J89" s="160">
        <f>'תקציב החברה לפיתוח 2022'!J104</f>
        <v>0</v>
      </c>
      <c r="K89" s="160">
        <f>'תקציב החברה לפיתוח 2022'!K104</f>
        <v>0</v>
      </c>
      <c r="L89" s="161">
        <f>'תקציב החברה לפיתוח 2022'!L104</f>
        <v>0</v>
      </c>
      <c r="M89" s="161">
        <f>'תקציב החברה לפיתוח 2022'!M104</f>
        <v>0</v>
      </c>
      <c r="N89" s="161">
        <f>'תקציב החברה לפיתוח 2022'!N104</f>
        <v>500000</v>
      </c>
      <c r="O89" s="161">
        <f>'תקציב החברה לפיתוח 2022'!O104</f>
        <v>18000000</v>
      </c>
      <c r="P89" s="161">
        <f>'תקציב החברה לפיתוח 2022'!P104</f>
        <v>0</v>
      </c>
      <c r="Q89" s="161">
        <f>'תקציב החברה לפיתוח 2022'!Q104</f>
        <v>0</v>
      </c>
      <c r="R89" s="161">
        <f>'תקציב החברה לפיתוח 2022'!R104</f>
        <v>0</v>
      </c>
      <c r="S89" s="161">
        <f>'תקציב החברה לפיתוח 2022'!S104</f>
        <v>0</v>
      </c>
      <c r="T89" s="161">
        <f>'תקציב החברה לפיתוח 2022'!T104</f>
        <v>0</v>
      </c>
      <c r="U89" s="161">
        <f>'תקציב החברה לפיתוח 2022'!U104</f>
        <v>500000</v>
      </c>
      <c r="V89" s="161">
        <f>'תקציב החברה לפיתוח 2022'!V104</f>
        <v>500000</v>
      </c>
      <c r="W89" s="161">
        <f>'תקציב החברה לפיתוח 2022'!W104</f>
        <v>0</v>
      </c>
      <c r="X89" s="161">
        <f>'תקציב החברה לפיתוח 2022'!X104</f>
        <v>0</v>
      </c>
      <c r="Y89" s="161">
        <f>'תקציב החברה לפיתוח 2022'!Y104</f>
        <v>0</v>
      </c>
      <c r="Z89" s="161">
        <f>'תקציב החברה לפיתוח 2022'!Z104</f>
        <v>0</v>
      </c>
      <c r="AA89" s="161">
        <f>'תקציב החברה לפיתוח 2022'!AA104</f>
        <v>0</v>
      </c>
      <c r="AB89" s="289" t="str">
        <f>'תקציב החברה לפיתוח 2022'!AB104</f>
        <v>תכנון קמפוס גני ילדים בחנה רובינא.</v>
      </c>
      <c r="AC89" s="160">
        <f>'תקציב החברה לפיתוח 2022'!AC104</f>
        <v>810000</v>
      </c>
      <c r="AD89" s="278" t="s">
        <v>1796</v>
      </c>
      <c r="AE89" s="157" t="s">
        <v>1797</v>
      </c>
      <c r="AF89" s="3"/>
      <c r="AG89" s="3"/>
      <c r="AH89" s="3"/>
      <c r="AI89" s="3"/>
      <c r="AJ89" s="374">
        <v>5</v>
      </c>
      <c r="AK89" s="3"/>
      <c r="AL89" s="3"/>
      <c r="AM89" s="3"/>
      <c r="AN89" s="3"/>
      <c r="AO89" s="3"/>
      <c r="AP89" s="3"/>
      <c r="AQ89" s="3"/>
      <c r="AR89" s="357" t="s">
        <v>1734</v>
      </c>
      <c r="AS89" s="357" t="s">
        <v>1798</v>
      </c>
      <c r="AT89" s="523" t="s">
        <v>1793</v>
      </c>
      <c r="AU89" s="306" t="s">
        <v>1907</v>
      </c>
      <c r="AV89" s="357" t="s">
        <v>2193</v>
      </c>
      <c r="AW89" s="638">
        <v>8500000</v>
      </c>
      <c r="AX89" s="446">
        <f>U89-AW89</f>
        <v>-8000000</v>
      </c>
      <c r="AY89" s="3"/>
      <c r="AZ89" s="3"/>
      <c r="BA89" s="664"/>
      <c r="BB89" s="638"/>
      <c r="BC89" s="161"/>
    </row>
    <row r="90" spans="1:55" s="5" customFormat="1" ht="52.9" customHeight="1">
      <c r="A90" s="160">
        <f t="shared" si="6"/>
        <v>83</v>
      </c>
      <c r="B90" s="160">
        <f>'תקציב החברה לפיתוח 2022'!B105</f>
        <v>20012</v>
      </c>
      <c r="C90" s="289" t="str">
        <f>'תקציב החברה לפיתוח 2022'!C105</f>
        <v>גנ"י יהודה הנשיא</v>
      </c>
      <c r="D90" s="161">
        <f>'תקציב החברה לפיתוח 2022'!D105</f>
        <v>7000000</v>
      </c>
      <c r="E90" s="160">
        <f>'תקציב החברה לפיתוח 2022'!E105</f>
        <v>0</v>
      </c>
      <c r="F90" s="160">
        <f>'תקציב החברה לפיתוח 2022'!F105</f>
        <v>7000000</v>
      </c>
      <c r="G90" s="160">
        <f>'תקציב החברה לפיתוח 2022'!G105</f>
        <v>0</v>
      </c>
      <c r="H90" s="160">
        <f>'תקציב החברה לפיתוח 2022'!H105</f>
        <v>0</v>
      </c>
      <c r="I90" s="160">
        <f>'תקציב החברה לפיתוח 2022'!I105</f>
        <v>0</v>
      </c>
      <c r="J90" s="160">
        <f>'תקציב החברה לפיתוח 2022'!J105</f>
        <v>0</v>
      </c>
      <c r="K90" s="160">
        <f>'תקציב החברה לפיתוח 2022'!K105</f>
        <v>0</v>
      </c>
      <c r="L90" s="161">
        <f>'תקציב החברה לפיתוח 2022'!L105</f>
        <v>0</v>
      </c>
      <c r="M90" s="161">
        <f>'תקציב החברה לפיתוח 2022'!M105</f>
        <v>0</v>
      </c>
      <c r="N90" s="161">
        <f>'תקציב החברה לפיתוח 2022'!N105</f>
        <v>500000</v>
      </c>
      <c r="O90" s="161">
        <f>'תקציב החברה לפיתוח 2022'!O105</f>
        <v>6500000</v>
      </c>
      <c r="P90" s="161">
        <f>'תקציב החברה לפיתוח 2022'!P105</f>
        <v>0</v>
      </c>
      <c r="Q90" s="161">
        <f>'תקציב החברה לפיתוח 2022'!Q105</f>
        <v>0</v>
      </c>
      <c r="R90" s="161">
        <f>'תקציב החברה לפיתוח 2022'!R105</f>
        <v>0</v>
      </c>
      <c r="S90" s="161">
        <f>'תקציב החברה לפיתוח 2022'!S105</f>
        <v>0</v>
      </c>
      <c r="T90" s="161">
        <f>'תקציב החברה לפיתוח 2022'!T105</f>
        <v>0</v>
      </c>
      <c r="U90" s="161">
        <f>'תקציב החברה לפיתוח 2022'!U105</f>
        <v>500000</v>
      </c>
      <c r="V90" s="161">
        <f>'תקציב החברה לפיתוח 2022'!V105</f>
        <v>500000</v>
      </c>
      <c r="W90" s="161">
        <f>'תקציב החברה לפיתוח 2022'!W105</f>
        <v>0</v>
      </c>
      <c r="X90" s="161">
        <f>'תקציב החברה לפיתוח 2022'!X105</f>
        <v>0</v>
      </c>
      <c r="Y90" s="161">
        <f>'תקציב החברה לפיתוח 2022'!Y105</f>
        <v>0</v>
      </c>
      <c r="Z90" s="161">
        <f>'תקציב החברה לפיתוח 2022'!Z105</f>
        <v>0</v>
      </c>
      <c r="AA90" s="161">
        <f>'תקציב החברה לפיתוח 2022'!AA105</f>
        <v>0</v>
      </c>
      <c r="AB90" s="289" t="str">
        <f>'תקציב החברה לפיתוח 2022'!AB105</f>
        <v>תכנון 3 גנ"י ביהודה הנשיא.</v>
      </c>
      <c r="AC90" s="160">
        <f>'תקציב החברה לפיתוח 2022'!AC105</f>
        <v>810000</v>
      </c>
      <c r="AD90" s="278" t="s">
        <v>1796</v>
      </c>
      <c r="AE90" s="157" t="s">
        <v>1800</v>
      </c>
      <c r="AF90" s="374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 t="s">
        <v>1801</v>
      </c>
      <c r="AT90" s="524" t="s">
        <v>1802</v>
      </c>
      <c r="AU90" s="3" t="s">
        <v>1803</v>
      </c>
      <c r="AV90" s="3" t="s">
        <v>2195</v>
      </c>
      <c r="AW90" s="638">
        <v>7000000</v>
      </c>
      <c r="AX90" s="446">
        <f>U90-AW90</f>
        <v>-6500000</v>
      </c>
      <c r="AY90" s="3"/>
      <c r="AZ90" s="3"/>
      <c r="BA90" s="660"/>
      <c r="BB90" s="638"/>
      <c r="BC90" s="161"/>
    </row>
    <row r="91" spans="1:55" s="5" customFormat="1" ht="49.9" customHeight="1">
      <c r="A91" s="160">
        <f t="shared" si="6"/>
        <v>84</v>
      </c>
      <c r="B91" s="160">
        <f>'תקציב החברה לפיתוח 2022'!B106</f>
        <v>20013</v>
      </c>
      <c r="C91" s="289" t="str">
        <f>'תקציב החברה לפיתוח 2022'!C106</f>
        <v>גנ"י ומעונות יום רח הזמר העברי מתחם המסילה</v>
      </c>
      <c r="D91" s="161">
        <f>'תקציב החברה לפיתוח 2022'!D106</f>
        <v>500000</v>
      </c>
      <c r="E91" s="160">
        <f>'תקציב החברה לפיתוח 2022'!E106</f>
        <v>0</v>
      </c>
      <c r="F91" s="160">
        <f>'תקציב החברה לפיתוח 2022'!F106</f>
        <v>500000</v>
      </c>
      <c r="G91" s="160">
        <f>'תקציב החברה לפיתוח 2022'!G106</f>
        <v>0</v>
      </c>
      <c r="H91" s="160">
        <f>'תקציב החברה לפיתוח 2022'!H106</f>
        <v>0</v>
      </c>
      <c r="I91" s="160">
        <f>'תקציב החברה לפיתוח 2022'!I106</f>
        <v>0</v>
      </c>
      <c r="J91" s="160">
        <f>'תקציב החברה לפיתוח 2022'!J106</f>
        <v>0</v>
      </c>
      <c r="K91" s="160">
        <f>'תקציב החברה לפיתוח 2022'!K106</f>
        <v>0</v>
      </c>
      <c r="L91" s="161">
        <f>'תקציב החברה לפיתוח 2022'!L106</f>
        <v>0</v>
      </c>
      <c r="M91" s="161">
        <f>'תקציב החברה לפיתוח 2022'!M106</f>
        <v>0</v>
      </c>
      <c r="N91" s="161">
        <f>'תקציב החברה לפיתוח 2022'!N106</f>
        <v>500000</v>
      </c>
      <c r="O91" s="161">
        <f>'תקציב החברה לפיתוח 2022'!O106</f>
        <v>0</v>
      </c>
      <c r="P91" s="161">
        <f>'תקציב החברה לפיתוח 2022'!P106</f>
        <v>0</v>
      </c>
      <c r="Q91" s="161">
        <f>'תקציב החברה לפיתוח 2022'!Q106</f>
        <v>0</v>
      </c>
      <c r="R91" s="161">
        <f>'תקציב החברה לפיתוח 2022'!R106</f>
        <v>0</v>
      </c>
      <c r="S91" s="161">
        <f>'תקציב החברה לפיתוח 2022'!S106</f>
        <v>0</v>
      </c>
      <c r="T91" s="161">
        <f>'תקציב החברה לפיתוח 2022'!T106</f>
        <v>0</v>
      </c>
      <c r="U91" s="161">
        <f>'תקציב החברה לפיתוח 2022'!U106</f>
        <v>500000</v>
      </c>
      <c r="V91" s="161">
        <f>'תקציב החברה לפיתוח 2022'!V106</f>
        <v>500000</v>
      </c>
      <c r="W91" s="161">
        <f>'תקציב החברה לפיתוח 2022'!W106</f>
        <v>0</v>
      </c>
      <c r="X91" s="161">
        <f>'תקציב החברה לפיתוח 2022'!X106</f>
        <v>0</v>
      </c>
      <c r="Y91" s="161">
        <f>'תקציב החברה לפיתוח 2022'!Y106</f>
        <v>0</v>
      </c>
      <c r="Z91" s="161">
        <f>'תקציב החברה לפיתוח 2022'!Z106</f>
        <v>0</v>
      </c>
      <c r="AA91" s="161">
        <f>'תקציב החברה לפיתוח 2022'!AA106</f>
        <v>0</v>
      </c>
      <c r="AB91" s="289" t="str">
        <f>'תקציב החברה לפיתוח 2022'!AB106</f>
        <v>תכנון 4 גנ"י ומעונות יום במתחם המסילה.</v>
      </c>
      <c r="AC91" s="160">
        <f>'תקציב החברה לפיתוח 2022'!AC106</f>
        <v>810000</v>
      </c>
      <c r="AD91" s="278"/>
      <c r="AE91" s="157" t="s">
        <v>1805</v>
      </c>
      <c r="AF91" s="374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160" t="s">
        <v>1806</v>
      </c>
      <c r="AT91" s="3"/>
      <c r="AU91" s="160" t="s">
        <v>1807</v>
      </c>
      <c r="AV91" s="3" t="s">
        <v>2178</v>
      </c>
      <c r="AW91" s="638"/>
      <c r="AX91" s="3"/>
      <c r="AY91" s="3"/>
      <c r="AZ91" s="3"/>
      <c r="BA91" s="660"/>
      <c r="BB91" s="638"/>
      <c r="BC91" s="161"/>
    </row>
    <row r="92" spans="1:55" s="5" customFormat="1" ht="60">
      <c r="A92" s="160">
        <f t="shared" si="6"/>
        <v>85</v>
      </c>
      <c r="B92" s="160">
        <f>'תקציב החברה לפיתוח 2022'!B119</f>
        <v>1908</v>
      </c>
      <c r="C92" s="289" t="str">
        <f>'תקציב החברה לפיתוח 2022'!C119</f>
        <v>כיתות מעון וגן שטח 303 גליל ים א'</v>
      </c>
      <c r="D92" s="161">
        <f>'תקציב החברה לפיתוח 2022'!D119</f>
        <v>19054496</v>
      </c>
      <c r="E92" s="161">
        <f>'תקציב החברה לפיתוח 2022'!E119</f>
        <v>19080000</v>
      </c>
      <c r="F92" s="161">
        <f>'תקציב החברה לפיתוח 2022'!F119</f>
        <v>-25504</v>
      </c>
      <c r="G92" s="161">
        <f>'תקציב החברה לפיתוח 2022'!G119</f>
        <v>16080000</v>
      </c>
      <c r="H92" s="161">
        <f>'תקציב החברה לפיתוח 2022'!H119</f>
        <v>12703082</v>
      </c>
      <c r="I92" s="161">
        <f>'תקציב החברה לפיתוח 2022'!I119</f>
        <v>0</v>
      </c>
      <c r="J92" s="161">
        <f>'תקציב החברה לפיתוח 2022'!J119</f>
        <v>1979662</v>
      </c>
      <c r="K92" s="161">
        <f>'תקציב החברה לפיתוח 2022'!K119</f>
        <v>1979662</v>
      </c>
      <c r="L92" s="161">
        <f>'תקציב החברה לפיתוח 2022'!L119</f>
        <v>14682744</v>
      </c>
      <c r="M92" s="161">
        <f>'תקציב החברה לפיתוח 2022'!M119</f>
        <v>4371752</v>
      </c>
      <c r="N92" s="161">
        <f>'תקציב החברה לפיתוח 2022'!N119</f>
        <v>0</v>
      </c>
      <c r="O92" s="161">
        <f>'תקציב החברה לפיתוח 2022'!O119</f>
        <v>0</v>
      </c>
      <c r="P92" s="161">
        <f>'תקציב החברה לפיתוח 2022'!P119</f>
        <v>1397256</v>
      </c>
      <c r="Q92" s="161">
        <f>'תקציב החברה לפיתוח 2022'!Q119</f>
        <v>1474496</v>
      </c>
      <c r="R92" s="161">
        <f>'תקציב החברה לפיתוח 2022'!R119</f>
        <v>1500000</v>
      </c>
      <c r="S92" s="161">
        <f>'תקציב החברה לפיתוח 2022'!S119</f>
        <v>2974496</v>
      </c>
      <c r="T92" s="161">
        <f>'תקציב החברה לפיתוח 2022'!T119</f>
        <v>0</v>
      </c>
      <c r="U92" s="161">
        <f>'תקציב החברה לפיתוח 2022'!U119</f>
        <v>0</v>
      </c>
      <c r="V92" s="161">
        <f>'תקציב החברה לפיתוח 2022'!V119</f>
        <v>0</v>
      </c>
      <c r="W92" s="161">
        <f>'תקציב החברה לפיתוח 2022'!W119</f>
        <v>0</v>
      </c>
      <c r="X92" s="161">
        <f>'תקציב החברה לפיתוח 2022'!X119</f>
        <v>0</v>
      </c>
      <c r="Y92" s="161">
        <f>'תקציב החברה לפיתוח 2022'!Y119</f>
        <v>0</v>
      </c>
      <c r="Z92" s="161">
        <f>'תקציב החברה לפיתוח 2022'!Z119</f>
        <v>0</v>
      </c>
      <c r="AA92" s="161">
        <f>'תקציב החברה לפיתוח 2022'!AA119</f>
        <v>0</v>
      </c>
      <c r="AB92" s="289" t="str">
        <f>'תקציב החברה לפיתוח 2022'!AB119</f>
        <v xml:space="preserve"> כיתות גן (7) . </v>
      </c>
      <c r="AC92" s="160">
        <f>'תקציב החברה לפיתוח 2022'!AC119</f>
        <v>810000</v>
      </c>
      <c r="AD92" s="157"/>
      <c r="AE92" s="157" t="s">
        <v>1765</v>
      </c>
      <c r="AF92" s="171">
        <v>1</v>
      </c>
      <c r="AG92" s="171"/>
      <c r="AH92" s="171"/>
      <c r="AI92" s="171"/>
      <c r="AJ92" s="171"/>
      <c r="AK92" s="160"/>
      <c r="AL92" s="160"/>
      <c r="AM92" s="160"/>
      <c r="AN92" s="277"/>
      <c r="AO92" s="160" t="s">
        <v>1766</v>
      </c>
      <c r="AP92" s="160"/>
      <c r="AQ92" s="160"/>
      <c r="AR92" s="160" t="s">
        <v>1702</v>
      </c>
      <c r="AS92" s="3" t="s">
        <v>1703</v>
      </c>
      <c r="AT92" s="519" t="s">
        <v>1704</v>
      </c>
      <c r="AU92" s="3" t="s">
        <v>1703</v>
      </c>
      <c r="AV92" s="160"/>
      <c r="AW92" s="638"/>
      <c r="AX92" s="160"/>
      <c r="AY92" s="161"/>
      <c r="AZ92" s="161"/>
      <c r="BA92" s="660"/>
      <c r="BB92" s="638"/>
      <c r="BC92" s="161"/>
    </row>
    <row r="93" spans="1:55" s="5" customFormat="1" ht="90">
      <c r="A93" s="160">
        <f t="shared" si="6"/>
        <v>86</v>
      </c>
      <c r="B93" s="160">
        <f>'תקציב החברה לפיתוח 2022'!B120</f>
        <v>1909</v>
      </c>
      <c r="C93" s="289" t="str">
        <f>'תקציב החברה לפיתוח 2022'!C120</f>
        <v xml:space="preserve">שטח 408 גליל ים ב'-גנ"י, בי"ס, ספריה </v>
      </c>
      <c r="D93" s="161">
        <f>'תקציב החברה לפיתוח 2022'!D120</f>
        <v>184500000</v>
      </c>
      <c r="E93" s="161">
        <f>'תקציב החברה לפיתוח 2022'!E120</f>
        <v>184500000</v>
      </c>
      <c r="F93" s="161">
        <f>'תקציב החברה לפיתוח 2022'!F120</f>
        <v>0</v>
      </c>
      <c r="G93" s="161">
        <f>'תקציב החברה לפיתוח 2022'!G120</f>
        <v>45650000</v>
      </c>
      <c r="H93" s="161">
        <f>'תקציב החברה לפיתוח 2022'!H120</f>
        <v>43462587</v>
      </c>
      <c r="I93" s="161">
        <f>'תקציב החברה לפיתוח 2022'!I120</f>
        <v>0</v>
      </c>
      <c r="J93" s="161">
        <f>'תקציב החברה לפיתוח 2022'!J120</f>
        <v>1485767</v>
      </c>
      <c r="K93" s="161">
        <f>'תקציב החברה לפיתוח 2022'!K120</f>
        <v>1485767</v>
      </c>
      <c r="L93" s="161">
        <f>'תקציב החברה לפיתוח 2022'!L120</f>
        <v>44948354</v>
      </c>
      <c r="M93" s="161">
        <f>'תקציב החברה לפיתוח 2022'!M120</f>
        <v>17806856</v>
      </c>
      <c r="N93" s="161">
        <f>'תקציב החברה לפיתוח 2022'!N120</f>
        <v>82850000</v>
      </c>
      <c r="O93" s="161">
        <f>'תקציב החברה לפיתוח 2022'!O120</f>
        <v>38894790</v>
      </c>
      <c r="P93" s="161">
        <f>'תקציב החברה לפיתוח 2022'!P120</f>
        <v>701646</v>
      </c>
      <c r="Q93" s="161">
        <f>'תקציב החברה לפיתוח 2022'!Q120</f>
        <v>17105210</v>
      </c>
      <c r="R93" s="161">
        <f>'תקציב החברה לפיתוח 2022'!R120</f>
        <v>0</v>
      </c>
      <c r="S93" s="161">
        <f>'תקציב החברה לפיתוח 2022'!S120</f>
        <v>17105210</v>
      </c>
      <c r="T93" s="161">
        <f>'תקציב החברה לפיתוח 2022'!T120</f>
        <v>0</v>
      </c>
      <c r="U93" s="161">
        <f>'תקציב החברה לפיתוח 2022'!U120</f>
        <v>82850000</v>
      </c>
      <c r="V93" s="161">
        <f>'תקציב החברה לפיתוח 2022'!V120</f>
        <v>63646245</v>
      </c>
      <c r="W93" s="161">
        <f>'תקציב החברה לפיתוח 2022'!W120</f>
        <v>0</v>
      </c>
      <c r="X93" s="161">
        <f>'תקציב החברה לפיתוח 2022'!X120</f>
        <v>0</v>
      </c>
      <c r="Y93" s="161">
        <f>'תקציב החברה לפיתוח 2022'!Y120</f>
        <v>0</v>
      </c>
      <c r="Z93" s="161">
        <f>'תקציב החברה לפיתוח 2022'!Z120</f>
        <v>0</v>
      </c>
      <c r="AA93" s="161">
        <f>'תקציב החברה לפיתוח 2022'!AA120</f>
        <v>19203755</v>
      </c>
      <c r="AB93" s="289" t="str">
        <f>'תקציב החברה לפיתוח 2022'!AB120</f>
        <v>בניית בי"ס יסודי 18 כיתות , 5 כיתות גן , מועדון תנועת נוער, אולם ספורט בינוני , מגרש ספורט משולב, חניון תתקרקעי 2 מפלסים.  מימון מ. החינוך בי"ס,גנ"י.</v>
      </c>
      <c r="AC93" s="160">
        <f>'תקציב החברה לפיתוח 2022'!AC120</f>
        <v>810000</v>
      </c>
      <c r="AD93" s="157"/>
      <c r="AE93" s="157" t="s">
        <v>1767</v>
      </c>
      <c r="AF93" s="171">
        <v>1</v>
      </c>
      <c r="AG93" s="171">
        <v>2</v>
      </c>
      <c r="AH93" s="171"/>
      <c r="AI93" s="171"/>
      <c r="AJ93" s="171"/>
      <c r="AK93" s="171"/>
      <c r="AL93" s="171"/>
      <c r="AM93" s="171"/>
      <c r="AN93" s="277"/>
      <c r="AO93" s="160" t="s">
        <v>1768</v>
      </c>
      <c r="AP93" s="171"/>
      <c r="AQ93" s="171"/>
      <c r="AR93" s="160" t="s">
        <v>1769</v>
      </c>
      <c r="AS93" s="160"/>
      <c r="AT93" s="268"/>
      <c r="AU93" s="160" t="s">
        <v>1770</v>
      </c>
      <c r="AV93" s="160"/>
      <c r="AW93" s="640"/>
      <c r="AX93" s="171"/>
      <c r="AY93" s="161">
        <v>-20000000</v>
      </c>
      <c r="AZ93" s="683"/>
      <c r="BA93" s="660"/>
      <c r="BB93" s="638"/>
      <c r="BC93" s="161"/>
    </row>
    <row r="94" spans="1:55" s="5" customFormat="1" ht="75">
      <c r="A94" s="160">
        <f t="shared" si="6"/>
        <v>87</v>
      </c>
      <c r="B94" s="160">
        <f>'תקציב החברה לפיתוח 2022'!B121</f>
        <v>1911</v>
      </c>
      <c r="C94" s="289" t="str">
        <f>'תקציב החברה לפיתוח 2022'!C121</f>
        <v xml:space="preserve">כיתות מעון 5 יום 5 כיתות גן-. 404 גליל ים ב' </v>
      </c>
      <c r="D94" s="161">
        <f>'תקציב החברה לפיתוח 2022'!D121</f>
        <v>29050000</v>
      </c>
      <c r="E94" s="161">
        <f>'תקציב החברה לפיתוח 2022'!E121</f>
        <v>29050000</v>
      </c>
      <c r="F94" s="161">
        <f>'תקציב החברה לפיתוח 2022'!F121</f>
        <v>0</v>
      </c>
      <c r="G94" s="161">
        <f>'תקציב החברה לפיתוח 2022'!G121</f>
        <v>24050000</v>
      </c>
      <c r="H94" s="161">
        <f>'תקציב החברה לפיתוח 2022'!H121</f>
        <v>19323086</v>
      </c>
      <c r="I94" s="161">
        <f>'תקציב החברה לפיתוח 2022'!I121</f>
        <v>0</v>
      </c>
      <c r="J94" s="161">
        <f>'תקציב החברה לפיתוח 2022'!J121</f>
        <v>1960706</v>
      </c>
      <c r="K94" s="161">
        <f>'תקציב החברה לפיתוח 2022'!K121</f>
        <v>1960706</v>
      </c>
      <c r="L94" s="161">
        <f>'תקציב החברה לפיתוח 2022'!L121</f>
        <v>21283792</v>
      </c>
      <c r="M94" s="161">
        <f>'תקציב החברה לפיתוח 2022'!M121</f>
        <v>5952448</v>
      </c>
      <c r="N94" s="161">
        <f>'תקציב החברה לפיתוח 2022'!N121</f>
        <v>0</v>
      </c>
      <c r="O94" s="161">
        <f>'תקציב החברה לפיתוח 2022'!O121</f>
        <v>1813760</v>
      </c>
      <c r="P94" s="161">
        <f>'תקציב החברה לפיתוח 2022'!P121</f>
        <v>2766208</v>
      </c>
      <c r="Q94" s="161">
        <f>'תקציב החברה לפיתוח 2022'!Q121</f>
        <v>1186240</v>
      </c>
      <c r="R94" s="161">
        <f>'תקציב החברה לפיתוח 2022'!R121</f>
        <v>2000000</v>
      </c>
      <c r="S94" s="161">
        <f>'תקציב החברה לפיתוח 2022'!S121</f>
        <v>3186240</v>
      </c>
      <c r="T94" s="161">
        <f>'תקציב החברה לפיתוח 2022'!T121</f>
        <v>0</v>
      </c>
      <c r="U94" s="161">
        <f>'תקציב החברה לפיתוח 2022'!U121</f>
        <v>0</v>
      </c>
      <c r="V94" s="161">
        <f>'תקציב החברה לפיתוח 2022'!V121</f>
        <v>0</v>
      </c>
      <c r="W94" s="161">
        <f>'תקציב החברה לפיתוח 2022'!W121</f>
        <v>0</v>
      </c>
      <c r="X94" s="161">
        <f>'תקציב החברה לפיתוח 2022'!X121</f>
        <v>0</v>
      </c>
      <c r="Y94" s="161">
        <f>'תקציב החברה לפיתוח 2022'!Y121</f>
        <v>0</v>
      </c>
      <c r="Z94" s="161">
        <f>'תקציב החברה לפיתוח 2022'!Z121</f>
        <v>0</v>
      </c>
      <c r="AA94" s="161">
        <f>'תקציב החברה לפיתוח 2022'!AA121</f>
        <v>0</v>
      </c>
      <c r="AB94" s="289" t="str">
        <f>'תקציב החברה לפיתוח 2022'!AB121</f>
        <v xml:space="preserve">בניית 10 כיתות גן . </v>
      </c>
      <c r="AC94" s="160">
        <f>'תקציב החברה לפיתוח 2022'!AC121</f>
        <v>810000</v>
      </c>
      <c r="AD94" s="157"/>
      <c r="AE94" s="157" t="s">
        <v>1701</v>
      </c>
      <c r="AF94" s="171">
        <v>1</v>
      </c>
      <c r="AG94" s="171"/>
      <c r="AH94" s="171"/>
      <c r="AI94" s="171"/>
      <c r="AJ94" s="171"/>
      <c r="AK94" s="171"/>
      <c r="AL94" s="171"/>
      <c r="AM94" s="171"/>
      <c r="AN94" s="277"/>
      <c r="AO94" s="160" t="s">
        <v>1771</v>
      </c>
      <c r="AP94" s="171"/>
      <c r="AQ94" s="171"/>
      <c r="AR94" s="160" t="s">
        <v>1702</v>
      </c>
      <c r="AS94" s="3" t="s">
        <v>1703</v>
      </c>
      <c r="AT94" s="519" t="s">
        <v>1704</v>
      </c>
      <c r="AU94" s="3" t="s">
        <v>1703</v>
      </c>
      <c r="AV94" s="160"/>
      <c r="AW94" s="640"/>
      <c r="AX94" s="171"/>
      <c r="AY94" s="161"/>
      <c r="AZ94" s="161"/>
      <c r="BA94" s="660"/>
      <c r="BB94" s="638"/>
      <c r="BC94" s="161"/>
    </row>
    <row r="95" spans="1:55" s="5" customFormat="1" ht="75">
      <c r="A95" s="160">
        <f t="shared" si="6"/>
        <v>88</v>
      </c>
      <c r="B95" s="160">
        <f>'תקציב החברה לפיתוח 2022'!B122</f>
        <v>1912</v>
      </c>
      <c r="C95" s="289" t="str">
        <f>'תקציב החברה לפיתוח 2022'!C122</f>
        <v xml:space="preserve">קיריית החינוך ( מגרש 406)-ספריה, מרכז קהילתי </v>
      </c>
      <c r="D95" s="161">
        <f>'תקציב החברה לפיתוח 2022'!D122</f>
        <v>310000000</v>
      </c>
      <c r="E95" s="161">
        <f>'תקציב החברה לפיתוח 2022'!E122</f>
        <v>310000000</v>
      </c>
      <c r="F95" s="161">
        <f>'תקציב החברה לפיתוח 2022'!F122</f>
        <v>0</v>
      </c>
      <c r="G95" s="161">
        <f>'תקציב החברה לפיתוח 2022'!G122</f>
        <v>58500000</v>
      </c>
      <c r="H95" s="161">
        <f>'תקציב החברה לפיתוח 2022'!H122</f>
        <v>50080194</v>
      </c>
      <c r="I95" s="161">
        <f>'תקציב החברה לפיתוח 2022'!I122</f>
        <v>0</v>
      </c>
      <c r="J95" s="161">
        <f>'תקציב החברה לפיתוח 2022'!J122</f>
        <v>2502018</v>
      </c>
      <c r="K95" s="161">
        <f>'תקציב החברה לפיתוח 2022'!K122</f>
        <v>2502018</v>
      </c>
      <c r="L95" s="161">
        <f>'תקציב החברה לפיתוח 2022'!L122</f>
        <v>52582212</v>
      </c>
      <c r="M95" s="161">
        <f>'תקציב החברה לפיתוח 2022'!M122</f>
        <v>20710708</v>
      </c>
      <c r="N95" s="161">
        <f>'תקציב החברה לפיתוח 2022'!N122</f>
        <v>100000000</v>
      </c>
      <c r="O95" s="161">
        <f>'תקציב החברה לפיתוח 2022'!O122</f>
        <v>136707080</v>
      </c>
      <c r="P95" s="161">
        <f>'תקציב החברה לפיתוח 2022'!P122</f>
        <v>5917788</v>
      </c>
      <c r="Q95" s="161">
        <f>'תקציב החברה לפיתוח 2022'!Q122</f>
        <v>14792920</v>
      </c>
      <c r="R95" s="161">
        <f>'תקציב החברה לפיתוח 2022'!R122</f>
        <v>0</v>
      </c>
      <c r="S95" s="161">
        <f>'תקציב החברה לפיתוח 2022'!S122</f>
        <v>14792920</v>
      </c>
      <c r="T95" s="161">
        <f>'תקציב החברה לפיתוח 2022'!T122</f>
        <v>0</v>
      </c>
      <c r="U95" s="161">
        <f>'תקציב החברה לפיתוח 2022'!U122</f>
        <v>100000000</v>
      </c>
      <c r="V95" s="161">
        <f>'תקציב החברה לפיתוח 2022'!V122</f>
        <v>25371057</v>
      </c>
      <c r="W95" s="161">
        <f>'תקציב החברה לפיתוח 2022'!W122</f>
        <v>0</v>
      </c>
      <c r="X95" s="161">
        <f>'תקציב החברה לפיתוח 2022'!X122</f>
        <v>0</v>
      </c>
      <c r="Y95" s="161">
        <f>'תקציב החברה לפיתוח 2022'!Y122</f>
        <v>9000000</v>
      </c>
      <c r="Z95" s="161">
        <f>'תקציב החברה לפיתוח 2022'!Z122</f>
        <v>0</v>
      </c>
      <c r="AA95" s="161">
        <f>'תקציב החברה לפיתוח 2022'!AA122</f>
        <v>65628943</v>
      </c>
      <c r="AB95" s="289" t="str">
        <f>'תקציב החברה לפיתוח 2022'!AB122</f>
        <v>בניית בי"ס יסודי (18) , 24 כיתות חט"ב ותיכון , אולם ספורט בינוני , מגרש ספורט , חניון תתקרקעי 2 מפלסים. מימון מ. החינוך.</v>
      </c>
      <c r="AC95" s="160">
        <f>'תקציב החברה לפיתוח 2022'!AC122</f>
        <v>810000</v>
      </c>
      <c r="AD95" s="157"/>
      <c r="AE95" s="157" t="s">
        <v>1772</v>
      </c>
      <c r="AF95" s="171">
        <v>1</v>
      </c>
      <c r="AG95" s="171">
        <v>2</v>
      </c>
      <c r="AH95" s="171"/>
      <c r="AI95" s="171"/>
      <c r="AJ95" s="171"/>
      <c r="AK95" s="171"/>
      <c r="AL95" s="171"/>
      <c r="AM95" s="171"/>
      <c r="AN95" s="160" t="s">
        <v>1321</v>
      </c>
      <c r="AO95" s="160" t="s">
        <v>1773</v>
      </c>
      <c r="AP95" s="171"/>
      <c r="AQ95" s="171"/>
      <c r="AR95" s="160" t="s">
        <v>1769</v>
      </c>
      <c r="AS95" s="160"/>
      <c r="AT95" s="268"/>
      <c r="AU95" s="160" t="s">
        <v>1770</v>
      </c>
      <c r="AV95" s="160"/>
      <c r="AW95" s="640"/>
      <c r="AX95" s="171"/>
      <c r="AY95" s="161">
        <v>-50000000</v>
      </c>
      <c r="AZ95" s="683"/>
      <c r="BA95" s="660"/>
      <c r="BB95" s="638"/>
      <c r="BC95" s="161"/>
    </row>
    <row r="96" spans="1:55" s="5" customFormat="1" ht="61.15" customHeight="1">
      <c r="A96" s="160">
        <f t="shared" si="6"/>
        <v>89</v>
      </c>
      <c r="B96" s="160">
        <f>'תקציב החברה לפיתוח 2022'!B123</f>
        <v>1914</v>
      </c>
      <c r="C96" s="289" t="str">
        <f>'תקציב החברה לפיתוח 2022'!C123</f>
        <v>גן 3 כיתות 401 גליל ים ב'</v>
      </c>
      <c r="D96" s="161">
        <f>'תקציב החברה לפיתוח 2022'!D123</f>
        <v>8100000</v>
      </c>
      <c r="E96" s="161">
        <f>'תקציב החברה לפיתוח 2022'!E123</f>
        <v>8100000</v>
      </c>
      <c r="F96" s="161">
        <f>'תקציב החברה לפיתוח 2022'!F123</f>
        <v>0</v>
      </c>
      <c r="G96" s="161">
        <f>'תקציב החברה לפיתוח 2022'!G123</f>
        <v>8100000</v>
      </c>
      <c r="H96" s="161">
        <f>'תקציב החברה לפיתוח 2022'!H123</f>
        <v>7471625</v>
      </c>
      <c r="I96" s="161">
        <f>'תקציב החברה לפיתוח 2022'!I123</f>
        <v>0</v>
      </c>
      <c r="J96" s="161">
        <f>'תקציב החברה לפיתוח 2022'!J123</f>
        <v>113629</v>
      </c>
      <c r="K96" s="161">
        <f>'תקציב החברה לפיתוח 2022'!K123</f>
        <v>113629</v>
      </c>
      <c r="L96" s="161">
        <f>'תקציב החברה לפיתוח 2022'!L123</f>
        <v>7585254</v>
      </c>
      <c r="M96" s="161">
        <f>'תקציב החברה לפיתוח 2022'!M123</f>
        <v>514746</v>
      </c>
      <c r="N96" s="161">
        <f>'תקציב החברה לפיתוח 2022'!N123</f>
        <v>0</v>
      </c>
      <c r="O96" s="161">
        <f>'תקציב החברה לפיתוח 2022'!O123</f>
        <v>0</v>
      </c>
      <c r="P96" s="161">
        <f>'תקציב החברה לפיתוח 2022'!P123</f>
        <v>514746</v>
      </c>
      <c r="Q96" s="161">
        <f>'תקציב החברה לפיתוח 2022'!Q123</f>
        <v>0</v>
      </c>
      <c r="R96" s="161">
        <f>'תקציב החברה לפיתוח 2022'!R123</f>
        <v>0</v>
      </c>
      <c r="S96" s="161">
        <f>'תקציב החברה לפיתוח 2022'!S123</f>
        <v>0</v>
      </c>
      <c r="T96" s="161">
        <f>'תקציב החברה לפיתוח 2022'!T123</f>
        <v>0</v>
      </c>
      <c r="U96" s="161">
        <f>'תקציב החברה לפיתוח 2022'!U123</f>
        <v>0</v>
      </c>
      <c r="V96" s="161">
        <f>'תקציב החברה לפיתוח 2022'!V123</f>
        <v>0</v>
      </c>
      <c r="W96" s="161">
        <f>'תקציב החברה לפיתוח 2022'!W123</f>
        <v>0</v>
      </c>
      <c r="X96" s="161">
        <f>'תקציב החברה לפיתוח 2022'!X123</f>
        <v>0</v>
      </c>
      <c r="Y96" s="161">
        <f>'תקציב החברה לפיתוח 2022'!Y123</f>
        <v>0</v>
      </c>
      <c r="Z96" s="161">
        <f>'תקציב החברה לפיתוח 2022'!Z123</f>
        <v>0</v>
      </c>
      <c r="AA96" s="161">
        <f>'תקציב החברה לפיתוח 2022'!AA123</f>
        <v>0</v>
      </c>
      <c r="AB96" s="289" t="str">
        <f>'תקציב החברה לפיתוח 2022'!AB123</f>
        <v>במקביל,תבר הצטיידות בחינוך .</v>
      </c>
      <c r="AC96" s="160">
        <f>'תקציב החברה לפיתוח 2022'!AC123</f>
        <v>810000</v>
      </c>
      <c r="AD96" s="157"/>
      <c r="AE96" s="157" t="s">
        <v>1774</v>
      </c>
      <c r="AF96" s="171">
        <v>1</v>
      </c>
      <c r="AG96" s="171"/>
      <c r="AH96" s="171"/>
      <c r="AI96" s="171"/>
      <c r="AJ96" s="171"/>
      <c r="AK96" s="171"/>
      <c r="AL96" s="171"/>
      <c r="AM96" s="171"/>
      <c r="AN96" s="277"/>
      <c r="AO96" s="160"/>
      <c r="AP96" s="171"/>
      <c r="AQ96" s="171"/>
      <c r="AR96" s="160" t="s">
        <v>1775</v>
      </c>
      <c r="AS96" s="160"/>
      <c r="AT96" s="268"/>
      <c r="AU96" s="160"/>
      <c r="AV96" s="160"/>
      <c r="AW96" s="640"/>
      <c r="AX96" s="171"/>
      <c r="AY96" s="161"/>
      <c r="AZ96" s="161"/>
      <c r="BA96" s="660"/>
      <c r="BB96" s="638"/>
      <c r="BC96" s="161"/>
    </row>
    <row r="97" spans="1:55" s="5" customFormat="1" ht="90">
      <c r="A97" s="160">
        <f t="shared" si="6"/>
        <v>90</v>
      </c>
      <c r="B97" s="160">
        <f>'תקציב החברה לפיתוח 2022'!B125</f>
        <v>1960</v>
      </c>
      <c r="C97" s="289" t="str">
        <f>'תקציב החברה לפיתוח 2022'!C125</f>
        <v>גן 3 כיתות 402 גליל ים ב'(כולל חניון)</v>
      </c>
      <c r="D97" s="161">
        <f>'תקציב החברה לפיתוח 2022'!D125</f>
        <v>24710000</v>
      </c>
      <c r="E97" s="161">
        <f>'תקציב החברה לפיתוח 2022'!E125</f>
        <v>24710000</v>
      </c>
      <c r="F97" s="161">
        <f>'תקציב החברה לפיתוח 2022'!F125</f>
        <v>0</v>
      </c>
      <c r="G97" s="161">
        <f>'תקציב החברה לפיתוח 2022'!G125</f>
        <v>15710000</v>
      </c>
      <c r="H97" s="161">
        <f>'תקציב החברה לפיתוח 2022'!H125</f>
        <v>8681711</v>
      </c>
      <c r="I97" s="161">
        <f>'תקציב החברה לפיתוח 2022'!I125</f>
        <v>0</v>
      </c>
      <c r="J97" s="161">
        <f>'תקציב החברה לפיתוח 2022'!J125</f>
        <v>3583607</v>
      </c>
      <c r="K97" s="161">
        <f>'תקציב החברה לפיתוח 2022'!K125</f>
        <v>3583607</v>
      </c>
      <c r="L97" s="161">
        <f>'תקציב החברה לפיתוח 2022'!L125</f>
        <v>12265318</v>
      </c>
      <c r="M97" s="161">
        <f>'תקציב החברה לפיתוח 2022'!M125</f>
        <v>10156426</v>
      </c>
      <c r="N97" s="161">
        <f>'תקציב החברה לפיתוח 2022'!N125</f>
        <v>2288256</v>
      </c>
      <c r="O97" s="161">
        <f>'תקציב החברה לפיתוח 2022'!O125</f>
        <v>0</v>
      </c>
      <c r="P97" s="161">
        <f>'תקציב החברה לפיתוח 2022'!P125</f>
        <v>3444682</v>
      </c>
      <c r="Q97" s="161">
        <f>'תקציב החברה לפיתוח 2022'!Q125</f>
        <v>6711744</v>
      </c>
      <c r="R97" s="161">
        <f>'תקציב החברה לפיתוח 2022'!R125</f>
        <v>0</v>
      </c>
      <c r="S97" s="161">
        <f>'תקציב החברה לפיתוח 2022'!S125</f>
        <v>6711744</v>
      </c>
      <c r="T97" s="161">
        <f>'תקציב החברה לפיתוח 2022'!T125</f>
        <v>0</v>
      </c>
      <c r="U97" s="161">
        <f>'תקציב החברה לפיתוח 2022'!U125</f>
        <v>2288256</v>
      </c>
      <c r="V97" s="161">
        <f>'תקציב החברה לפיתוח 2022'!V125</f>
        <v>0</v>
      </c>
      <c r="W97" s="161">
        <f>'תקציב החברה לפיתוח 2022'!W125</f>
        <v>0</v>
      </c>
      <c r="X97" s="161">
        <f>'תקציב החברה לפיתוח 2022'!X125</f>
        <v>0</v>
      </c>
      <c r="Y97" s="161">
        <f>'תקציב החברה לפיתוח 2022'!Y125</f>
        <v>0</v>
      </c>
      <c r="Z97" s="161">
        <f>'תקציב החברה לפיתוח 2022'!Z125</f>
        <v>0</v>
      </c>
      <c r="AA97" s="161">
        <f>'תקציב החברה לפיתוח 2022'!AA125</f>
        <v>2288256</v>
      </c>
      <c r="AB97" s="289" t="str">
        <f>'תקציב החברה לפיתוח 2022'!AB125</f>
        <v xml:space="preserve">בניית 3 כיתות גן , בניית החניון במימון  חברת אפריקה ישראל. גנ"י:  מימון מ. החינוך. </v>
      </c>
      <c r="AC97" s="160">
        <f>'תקציב החברה לפיתוח 2022'!AC125</f>
        <v>810000</v>
      </c>
      <c r="AD97" s="157"/>
      <c r="AE97" s="157" t="s">
        <v>1778</v>
      </c>
      <c r="AF97" s="171"/>
      <c r="AG97" s="171">
        <v>2</v>
      </c>
      <c r="AH97" s="171"/>
      <c r="AI97" s="171"/>
      <c r="AJ97" s="171"/>
      <c r="AK97" s="171"/>
      <c r="AL97" s="171"/>
      <c r="AM97" s="157"/>
      <c r="AN97" s="277"/>
      <c r="AO97" s="160" t="s">
        <v>1779</v>
      </c>
      <c r="AP97" s="171"/>
      <c r="AQ97" s="171"/>
      <c r="AR97" s="160" t="s">
        <v>1780</v>
      </c>
      <c r="AS97" s="3" t="s">
        <v>1703</v>
      </c>
      <c r="AT97" s="519" t="s">
        <v>1704</v>
      </c>
      <c r="AU97" s="3" t="s">
        <v>1703</v>
      </c>
      <c r="AV97" s="160"/>
      <c r="AW97" s="640"/>
      <c r="AX97" s="171"/>
      <c r="AY97" s="161"/>
      <c r="AZ97" s="161"/>
      <c r="BA97" s="660"/>
      <c r="BB97" s="638"/>
      <c r="BC97" s="161"/>
    </row>
    <row r="98" spans="1:55" s="5" customFormat="1" ht="60">
      <c r="A98" s="160">
        <f t="shared" si="6"/>
        <v>91</v>
      </c>
      <c r="B98" s="160">
        <f>'תקציב החברה לפיתוח 2022'!B127</f>
        <v>1965</v>
      </c>
      <c r="C98" s="289" t="str">
        <f>'תקציב החברה לפיתוח 2022'!C127</f>
        <v>בית ספר יסודי 18 כיתות מגרש 304 גלילי ים א'</v>
      </c>
      <c r="D98" s="161">
        <f>'תקציב החברה לפיתוח 2022'!D127</f>
        <v>35000000</v>
      </c>
      <c r="E98" s="161">
        <f>'תקציב החברה לפיתוח 2022'!E127</f>
        <v>35000000</v>
      </c>
      <c r="F98" s="161">
        <f>'תקציב החברה לפיתוח 2022'!F127</f>
        <v>0</v>
      </c>
      <c r="G98" s="161">
        <f>'תקציב החברה לפיתוח 2022'!G127</f>
        <v>1100000</v>
      </c>
      <c r="H98" s="161">
        <f>'תקציב החברה לפיתוח 2022'!H127</f>
        <v>221274</v>
      </c>
      <c r="I98" s="161">
        <f>'תקציב החברה לפיתוח 2022'!I127</f>
        <v>0</v>
      </c>
      <c r="J98" s="161">
        <f>'תקציב החברה לפיתוח 2022'!J127</f>
        <v>834538</v>
      </c>
      <c r="K98" s="161">
        <f>'תקציב החברה לפיתוח 2022'!K127</f>
        <v>834538</v>
      </c>
      <c r="L98" s="161">
        <f>'תקציב החברה לפיתוח 2022'!L127</f>
        <v>1055812</v>
      </c>
      <c r="M98" s="161">
        <f>'תקציב החברה לפיתוח 2022'!M127</f>
        <v>1044188</v>
      </c>
      <c r="N98" s="161">
        <f>'תקציב החברה לפיתוח 2022'!N127</f>
        <v>0</v>
      </c>
      <c r="O98" s="161">
        <f>'תקציב החברה לפיתוח 2022'!O127</f>
        <v>32900000</v>
      </c>
      <c r="P98" s="161">
        <f>'תקציב החברה לפיתוח 2022'!P127</f>
        <v>44188</v>
      </c>
      <c r="Q98" s="161">
        <f>'תקציב החברה לפיתוח 2022'!Q127</f>
        <v>1000000</v>
      </c>
      <c r="R98" s="161">
        <f>'תקציב החברה לפיתוח 2022'!R127</f>
        <v>0</v>
      </c>
      <c r="S98" s="161">
        <f>'תקציב החברה לפיתוח 2022'!S127</f>
        <v>1000000</v>
      </c>
      <c r="T98" s="161">
        <f>'תקציב החברה לפיתוח 2022'!T127</f>
        <v>0</v>
      </c>
      <c r="U98" s="161">
        <f>'תקציב החברה לפיתוח 2022'!U127</f>
        <v>0</v>
      </c>
      <c r="V98" s="161">
        <f>'תקציב החברה לפיתוח 2022'!V127</f>
        <v>0</v>
      </c>
      <c r="W98" s="161">
        <f>'תקציב החברה לפיתוח 2022'!W127</f>
        <v>0</v>
      </c>
      <c r="X98" s="161">
        <f>'תקציב החברה לפיתוח 2022'!X127</f>
        <v>0</v>
      </c>
      <c r="Y98" s="161">
        <f>'תקציב החברה לפיתוח 2022'!Y127</f>
        <v>0</v>
      </c>
      <c r="Z98" s="161">
        <f>'תקציב החברה לפיתוח 2022'!Z127</f>
        <v>0</v>
      </c>
      <c r="AA98" s="161">
        <f>'תקציב החברה לפיתוח 2022'!AA127</f>
        <v>0</v>
      </c>
      <c r="AB98" s="289" t="str">
        <f>'תקציב החברה לפיתוח 2022'!AB127</f>
        <v xml:space="preserve">בי"ס יסודי בשטח 304.ב - 2021: תכנון. </v>
      </c>
      <c r="AC98" s="160">
        <f>'תקציב החברה לפיתוח 2022'!AC127</f>
        <v>810000</v>
      </c>
      <c r="AD98" s="157"/>
      <c r="AE98" s="157" t="s">
        <v>1785</v>
      </c>
      <c r="AF98" s="171"/>
      <c r="AG98" s="171"/>
      <c r="AH98" s="171"/>
      <c r="AI98" s="171"/>
      <c r="AJ98" s="171">
        <v>5</v>
      </c>
      <c r="AK98" s="171"/>
      <c r="AL98" s="277" t="s">
        <v>1786</v>
      </c>
      <c r="AM98" s="157"/>
      <c r="AN98" s="277"/>
      <c r="AO98" s="160"/>
      <c r="AP98" s="171"/>
      <c r="AQ98" s="171"/>
      <c r="AR98" s="357" t="s">
        <v>1734</v>
      </c>
      <c r="AS98" s="357" t="s">
        <v>1787</v>
      </c>
      <c r="AT98" s="268"/>
      <c r="AU98" s="3" t="s">
        <v>1788</v>
      </c>
      <c r="AV98" s="357"/>
      <c r="AW98" s="640"/>
      <c r="AX98" s="171"/>
      <c r="AY98" s="161"/>
      <c r="AZ98" s="161"/>
      <c r="BA98" s="664"/>
      <c r="BB98" s="638"/>
      <c r="BC98" s="161"/>
    </row>
    <row r="99" spans="1:55" s="5" customFormat="1" ht="60">
      <c r="A99" s="160">
        <f t="shared" si="6"/>
        <v>92</v>
      </c>
      <c r="B99" s="160">
        <f>'תקציב החברה לפיתוח 2022'!B128</f>
        <v>2186</v>
      </c>
      <c r="C99" s="289" t="str">
        <f>'תקציב החברה לפיתוח 2022'!C128</f>
        <v>כיתות גן 3 נוספות מגרש 302 גליל ים</v>
      </c>
      <c r="D99" s="161">
        <f>'תקציב החברה לפיתוח 2022'!D128</f>
        <v>8100000</v>
      </c>
      <c r="E99" s="161">
        <f>'תקציב החברה לפיתוח 2022'!E128</f>
        <v>8100000</v>
      </c>
      <c r="F99" s="161">
        <f>'תקציב החברה לפיתוח 2022'!F128</f>
        <v>0</v>
      </c>
      <c r="G99" s="161">
        <f>'תקציב החברה לפיתוח 2022'!G128</f>
        <v>5811744</v>
      </c>
      <c r="H99" s="161">
        <f>'תקציב החברה לפיתוח 2022'!H128</f>
        <v>5471192</v>
      </c>
      <c r="I99" s="161">
        <f>'תקציב החברה לפיתוח 2022'!I128</f>
        <v>0</v>
      </c>
      <c r="J99" s="161">
        <f>'תקציב החברה לפיתוח 2022'!J128</f>
        <v>146534</v>
      </c>
      <c r="K99" s="161">
        <f>'תקציב החברה לפיתוח 2022'!K128</f>
        <v>146534</v>
      </c>
      <c r="L99" s="161">
        <f>'תקציב החברה לפיתוח 2022'!L128</f>
        <v>5617726</v>
      </c>
      <c r="M99" s="161">
        <f>'תקציב החברה לפיתוח 2022'!M128</f>
        <v>1394018</v>
      </c>
      <c r="N99" s="161">
        <f>'תקציב החברה לפיתוח 2022'!N128</f>
        <v>0</v>
      </c>
      <c r="O99" s="161">
        <f>'תקציב החברה לפיתוח 2022'!O128</f>
        <v>1088256</v>
      </c>
      <c r="P99" s="161">
        <f>'תקציב החברה לפיתוח 2022'!P128</f>
        <v>194018</v>
      </c>
      <c r="Q99" s="161">
        <f>'תקציב החברה לפיתוח 2022'!Q128</f>
        <v>0</v>
      </c>
      <c r="R99" s="161">
        <f>'תקציב החברה לפיתוח 2022'!R128</f>
        <v>1200000</v>
      </c>
      <c r="S99" s="161">
        <f>'תקציב החברה לפיתוח 2022'!S128</f>
        <v>1200000</v>
      </c>
      <c r="T99" s="161">
        <f>'תקציב החברה לפיתוח 2022'!T128</f>
        <v>0</v>
      </c>
      <c r="U99" s="161">
        <f>'תקציב החברה לפיתוח 2022'!U128</f>
        <v>0</v>
      </c>
      <c r="V99" s="161">
        <f>'תקציב החברה לפיתוח 2022'!V128</f>
        <v>0</v>
      </c>
      <c r="W99" s="161">
        <f>'תקציב החברה לפיתוח 2022'!W128</f>
        <v>0</v>
      </c>
      <c r="X99" s="161">
        <f>'תקציב החברה לפיתוח 2022'!X128</f>
        <v>0</v>
      </c>
      <c r="Y99" s="161">
        <f>'תקציב החברה לפיתוח 2022'!Y128</f>
        <v>0</v>
      </c>
      <c r="Z99" s="161">
        <f>'תקציב החברה לפיתוח 2022'!Z128</f>
        <v>0</v>
      </c>
      <c r="AA99" s="161">
        <f>'תקציב החברה לפיתוח 2022'!AA128</f>
        <v>0</v>
      </c>
      <c r="AB99" s="289" t="str">
        <f>'תקציב החברה לפיתוח 2022'!AB128</f>
        <v>כיתות גן (3) נוספות מגרש 302 גליל ים. מימון מ. החינוך.</v>
      </c>
      <c r="AC99" s="160">
        <f>'תקציב החברה לפיתוח 2022'!AC128</f>
        <v>810000</v>
      </c>
      <c r="AD99" s="157"/>
      <c r="AE99" s="157" t="s">
        <v>1789</v>
      </c>
      <c r="AF99" s="171">
        <v>1</v>
      </c>
      <c r="AG99" s="171"/>
      <c r="AH99" s="171"/>
      <c r="AI99" s="171"/>
      <c r="AJ99" s="171"/>
      <c r="AK99" s="3"/>
      <c r="AL99" s="3"/>
      <c r="AM99" s="157"/>
      <c r="AN99" s="277"/>
      <c r="AO99" s="160" t="s">
        <v>1779</v>
      </c>
      <c r="AP99" s="3"/>
      <c r="AQ99" s="3"/>
      <c r="AR99" s="160" t="s">
        <v>1702</v>
      </c>
      <c r="AS99" s="3" t="s">
        <v>1703</v>
      </c>
      <c r="AT99" s="519" t="s">
        <v>1704</v>
      </c>
      <c r="AU99" s="3" t="s">
        <v>1703</v>
      </c>
      <c r="AV99" s="160"/>
      <c r="AW99" s="638"/>
      <c r="AX99" s="3"/>
      <c r="AY99" s="161"/>
      <c r="AZ99" s="161"/>
      <c r="BA99" s="660"/>
      <c r="BB99" s="638"/>
      <c r="BC99" s="161"/>
    </row>
    <row r="100" spans="1:55" s="62" customFormat="1" ht="25.15" customHeight="1">
      <c r="A100" s="266"/>
      <c r="B100" s="266"/>
      <c r="C100" s="368" t="s">
        <v>804</v>
      </c>
      <c r="D100" s="305">
        <f>SUM(D69:D99)</f>
        <v>1113503488</v>
      </c>
      <c r="E100" s="305">
        <f t="shared" ref="E100:AA100" si="7">SUM(E69:E99)</f>
        <v>996330000</v>
      </c>
      <c r="F100" s="305">
        <f t="shared" si="7"/>
        <v>117173488</v>
      </c>
      <c r="G100" s="305">
        <f t="shared" si="7"/>
        <v>233006072</v>
      </c>
      <c r="H100" s="305">
        <f t="shared" si="7"/>
        <v>172955341</v>
      </c>
      <c r="I100" s="305">
        <f t="shared" si="7"/>
        <v>0</v>
      </c>
      <c r="J100" s="305">
        <f t="shared" si="7"/>
        <v>21025734</v>
      </c>
      <c r="K100" s="305">
        <f t="shared" si="7"/>
        <v>21025734</v>
      </c>
      <c r="L100" s="305">
        <f t="shared" si="7"/>
        <v>193981075</v>
      </c>
      <c r="M100" s="305">
        <f t="shared" si="7"/>
        <v>117705607</v>
      </c>
      <c r="N100" s="305">
        <f t="shared" si="7"/>
        <v>257038256</v>
      </c>
      <c r="O100" s="305">
        <f t="shared" si="7"/>
        <v>544778550</v>
      </c>
      <c r="P100" s="305">
        <f t="shared" si="7"/>
        <v>39024997</v>
      </c>
      <c r="Q100" s="305">
        <f t="shared" si="7"/>
        <v>74980610</v>
      </c>
      <c r="R100" s="305">
        <f t="shared" si="7"/>
        <v>4700000</v>
      </c>
      <c r="S100" s="305">
        <f t="shared" si="7"/>
        <v>79680610</v>
      </c>
      <c r="T100" s="305">
        <f t="shared" si="7"/>
        <v>1000000</v>
      </c>
      <c r="U100" s="305">
        <f t="shared" si="7"/>
        <v>256038256</v>
      </c>
      <c r="V100" s="305">
        <f t="shared" si="7"/>
        <v>111190955</v>
      </c>
      <c r="W100" s="305">
        <f t="shared" si="7"/>
        <v>0</v>
      </c>
      <c r="X100" s="305">
        <f t="shared" si="7"/>
        <v>0</v>
      </c>
      <c r="Y100" s="305">
        <f t="shared" si="7"/>
        <v>9000000</v>
      </c>
      <c r="Z100" s="305">
        <f t="shared" si="7"/>
        <v>0</v>
      </c>
      <c r="AA100" s="305">
        <f t="shared" si="7"/>
        <v>135847301</v>
      </c>
      <c r="AB100" s="368"/>
      <c r="AC100" s="266"/>
      <c r="AD100" s="306"/>
      <c r="AE100" s="306"/>
      <c r="AF100" s="514"/>
      <c r="AG100" s="514"/>
      <c r="AH100" s="514"/>
      <c r="AI100" s="514"/>
      <c r="AJ100" s="514"/>
      <c r="AK100" s="32"/>
      <c r="AL100" s="32"/>
      <c r="AM100" s="306"/>
      <c r="AN100" s="515"/>
      <c r="AO100" s="266"/>
      <c r="AP100" s="32"/>
      <c r="AQ100" s="32"/>
      <c r="AR100" s="266"/>
      <c r="AS100" s="32"/>
      <c r="AT100" s="796"/>
      <c r="AU100" s="32"/>
      <c r="AV100" s="266"/>
      <c r="AW100" s="663"/>
      <c r="AX100" s="32"/>
      <c r="AY100" s="305"/>
      <c r="AZ100" s="305"/>
      <c r="BA100" s="663"/>
      <c r="BB100" s="663"/>
      <c r="BC100" s="305"/>
    </row>
    <row r="101" spans="1:55" s="5" customFormat="1" ht="66.599999999999994" customHeight="1">
      <c r="A101" s="160">
        <f>A99+1</f>
        <v>93</v>
      </c>
      <c r="B101" s="160">
        <f>'תקציב החברה לפיתוח 2022'!B64</f>
        <v>2102</v>
      </c>
      <c r="C101" s="289" t="str">
        <f>'תקציב החברה לפיתוח 2022'!C64</f>
        <v>מועדון טלוויזיה קהילתית בשכונת צמרות</v>
      </c>
      <c r="D101" s="161">
        <f>'תקציב החברה לפיתוח 2022'!D64</f>
        <v>1750000</v>
      </c>
      <c r="E101" s="160">
        <f>'תקציב החברה לפיתוח 2022'!E64</f>
        <v>1750000</v>
      </c>
      <c r="F101" s="160">
        <f>'תקציב החברה לפיתוח 2022'!F64</f>
        <v>0</v>
      </c>
      <c r="G101" s="160">
        <f>'תקציב החברה לפיתוח 2022'!G64</f>
        <v>150000</v>
      </c>
      <c r="H101" s="160">
        <f>'תקציב החברה לפיתוח 2022'!H64</f>
        <v>122473</v>
      </c>
      <c r="I101" s="160">
        <f>'תקציב החברה לפיתוח 2022'!I64</f>
        <v>0</v>
      </c>
      <c r="J101" s="160">
        <f>'תקציב החברה לפיתוח 2022'!J64</f>
        <v>0</v>
      </c>
      <c r="K101" s="160">
        <f>'תקציב החברה לפיתוח 2022'!K64</f>
        <v>0</v>
      </c>
      <c r="L101" s="161">
        <f>'תקציב החברה לפיתוח 2022'!L64</f>
        <v>122473</v>
      </c>
      <c r="M101" s="161">
        <f>'תקציב החברה לפיתוח 2022'!M64</f>
        <v>27527</v>
      </c>
      <c r="N101" s="161">
        <f>'תקציב החברה לפיתוח 2022'!N64</f>
        <v>0</v>
      </c>
      <c r="O101" s="161">
        <f>'תקציב החברה לפיתוח 2022'!O64</f>
        <v>1600000</v>
      </c>
      <c r="P101" s="161">
        <f>'תקציב החברה לפיתוח 2022'!P64</f>
        <v>27527</v>
      </c>
      <c r="Q101" s="161">
        <f>'תקציב החברה לפיתוח 2022'!Q64</f>
        <v>0</v>
      </c>
      <c r="R101" s="161">
        <f>'תקציב החברה לפיתוח 2022'!R64</f>
        <v>0</v>
      </c>
      <c r="S101" s="161">
        <f>'תקציב החברה לפיתוח 2022'!S64</f>
        <v>0</v>
      </c>
      <c r="T101" s="161">
        <f>'תקציב החברה לפיתוח 2022'!T64</f>
        <v>0</v>
      </c>
      <c r="U101" s="161">
        <f>'תקציב החברה לפיתוח 2022'!U64</f>
        <v>0</v>
      </c>
      <c r="V101" s="161">
        <f>'תקציב החברה לפיתוח 2022'!V64</f>
        <v>0</v>
      </c>
      <c r="W101" s="161">
        <f>'תקציב החברה לפיתוח 2022'!W64</f>
        <v>0</v>
      </c>
      <c r="X101" s="161">
        <f>'תקציב החברה לפיתוח 2022'!X64</f>
        <v>0</v>
      </c>
      <c r="Y101" s="161">
        <f>'תקציב החברה לפיתוח 2022'!Y64</f>
        <v>0</v>
      </c>
      <c r="Z101" s="161">
        <f>'תקציב החברה לפיתוח 2022'!Z64</f>
        <v>0</v>
      </c>
      <c r="AA101" s="161">
        <f>'תקציב החברה לפיתוח 2022'!AA64</f>
        <v>0</v>
      </c>
      <c r="AB101" s="289" t="str">
        <f>'תקציב החברה לפיתוח 2022'!AB64</f>
        <v xml:space="preserve">הקמת מועדון טלויזיה קהילתית במרכז יום לקשיש בצמרות. </v>
      </c>
      <c r="AC101" s="160">
        <f>'תקציב החברה לפיתוח 2022'!AC64</f>
        <v>820000</v>
      </c>
      <c r="AD101" s="157"/>
      <c r="AE101" s="157"/>
      <c r="AF101" s="171"/>
      <c r="AG101" s="171"/>
      <c r="AH101" s="171"/>
      <c r="AI101" s="171"/>
      <c r="AJ101" s="171"/>
      <c r="AK101" s="171"/>
      <c r="AL101" s="171"/>
      <c r="AM101" s="266"/>
      <c r="AN101" s="277"/>
      <c r="AO101" s="160"/>
      <c r="AP101" s="157"/>
      <c r="AQ101" s="171"/>
      <c r="AR101" s="171"/>
      <c r="AS101" s="160" t="s">
        <v>1664</v>
      </c>
      <c r="AT101" s="268"/>
      <c r="AU101" s="160"/>
      <c r="AV101" s="272"/>
      <c r="AW101" s="640"/>
      <c r="AX101" s="171"/>
      <c r="AY101" s="161"/>
      <c r="AZ101" s="161"/>
      <c r="BA101" s="638"/>
      <c r="BB101" s="638"/>
      <c r="BC101" s="161"/>
    </row>
    <row r="102" spans="1:55" s="5" customFormat="1" ht="73.150000000000006" customHeight="1">
      <c r="A102" s="160">
        <f t="shared" ref="A102:A116" si="8">A101+1</f>
        <v>94</v>
      </c>
      <c r="B102" s="160">
        <f>'תקציב החברה לפיתוח 2022'!B31</f>
        <v>1834</v>
      </c>
      <c r="C102" s="289" t="str">
        <f>'תקציב החברה לפיתוח 2022'!C31</f>
        <v>מתנ"ס נווה ישראל</v>
      </c>
      <c r="D102" s="161">
        <f>'תקציב החברה לפיתוח 2022'!D31</f>
        <v>60000000</v>
      </c>
      <c r="E102" s="160">
        <f>'תקציב החברה לפיתוח 2022'!E31</f>
        <v>60000000</v>
      </c>
      <c r="F102" s="160">
        <f>'תקציב החברה לפיתוח 2022'!F31</f>
        <v>0</v>
      </c>
      <c r="G102" s="160">
        <f>'תקציב החברה לפיתוח 2022'!G31</f>
        <v>19462673</v>
      </c>
      <c r="H102" s="160">
        <f>'תקציב החברה לפיתוח 2022'!H31</f>
        <v>12564840</v>
      </c>
      <c r="I102" s="160">
        <f>'תקציב החברה לפיתוח 2022'!I31</f>
        <v>0</v>
      </c>
      <c r="J102" s="160">
        <f>'תקציב החברה לפיתוח 2022'!J31</f>
        <v>2402402</v>
      </c>
      <c r="K102" s="160">
        <f>'תקציב החברה לפיתוח 2022'!K31</f>
        <v>2402402</v>
      </c>
      <c r="L102" s="161">
        <f>'תקציב החברה לפיתוח 2022'!L31</f>
        <v>14967242</v>
      </c>
      <c r="M102" s="161">
        <f>'תקציב החברה לפיתוח 2022'!M31</f>
        <v>29495431</v>
      </c>
      <c r="N102" s="161">
        <f>'תקציב החברה לפיתוח 2022'!N31</f>
        <v>13037327</v>
      </c>
      <c r="O102" s="161">
        <f>'תקציב החברה לפיתוח 2022'!O31</f>
        <v>2500000</v>
      </c>
      <c r="P102" s="161">
        <f>'תקציב החברה לפיתוח 2022'!P31</f>
        <v>4495431</v>
      </c>
      <c r="Q102" s="161">
        <f>'תקציב החברה לפיתוח 2022'!Q31</f>
        <v>25000000</v>
      </c>
      <c r="R102" s="161">
        <f>'תקציב החברה לפיתוח 2022'!R31</f>
        <v>0</v>
      </c>
      <c r="S102" s="161">
        <f>'תקציב החברה לפיתוח 2022'!S31</f>
        <v>25000000</v>
      </c>
      <c r="T102" s="161">
        <f>'תקציב החברה לפיתוח 2022'!T31</f>
        <v>0</v>
      </c>
      <c r="U102" s="161">
        <f>'תקציב החברה לפיתוח 2022'!U31</f>
        <v>13037327</v>
      </c>
      <c r="V102" s="161">
        <f>'תקציב החברה לפיתוח 2022'!V31</f>
        <v>13037327</v>
      </c>
      <c r="W102" s="161">
        <f>'תקציב החברה לפיתוח 2022'!W31</f>
        <v>0</v>
      </c>
      <c r="X102" s="161">
        <f>'תקציב החברה לפיתוח 2022'!X31</f>
        <v>0</v>
      </c>
      <c r="Y102" s="161">
        <f>'תקציב החברה לפיתוח 2022'!Y31</f>
        <v>0</v>
      </c>
      <c r="Z102" s="161">
        <f>'תקציב החברה לפיתוח 2022'!Z31</f>
        <v>0</v>
      </c>
      <c r="AA102" s="161">
        <f>'תקציב החברה לפיתוח 2022'!AA31</f>
        <v>0</v>
      </c>
      <c r="AB102" s="289" t="str">
        <f>'תקציב החברה לפיתוח 2022'!AB31</f>
        <v>מתנ"ס קהילתי  בשטח של כ-4000 מ"ר הכולל גלריה מקומית, ספרייה חדשה,  חדרי חוגים, מועדון לגמלאים ובית קפה.</v>
      </c>
      <c r="AC102" s="160">
        <f>'תקציב החברה לפיתוח 2022'!AC31</f>
        <v>824000</v>
      </c>
      <c r="AD102" s="157"/>
      <c r="AE102" s="157" t="s">
        <v>1564</v>
      </c>
      <c r="AF102" s="171"/>
      <c r="AG102" s="171"/>
      <c r="AH102" s="171"/>
      <c r="AI102" s="171"/>
      <c r="AJ102" s="171"/>
      <c r="AK102" s="160"/>
      <c r="AL102" s="160"/>
      <c r="AM102" s="160"/>
      <c r="AN102" s="277"/>
      <c r="AO102" s="160"/>
      <c r="AP102" s="160"/>
      <c r="AQ102" s="160"/>
      <c r="AR102" s="160"/>
      <c r="AS102" s="160" t="s">
        <v>1565</v>
      </c>
      <c r="AT102" s="268"/>
      <c r="AU102" s="160" t="s">
        <v>1566</v>
      </c>
      <c r="AV102" s="633"/>
      <c r="AW102" s="638"/>
      <c r="AX102" s="160"/>
      <c r="AY102" s="161"/>
      <c r="AZ102" s="161"/>
      <c r="BA102" s="640"/>
      <c r="BB102" s="638"/>
      <c r="BC102" s="161"/>
    </row>
    <row r="103" spans="1:55" s="5" customFormat="1" ht="90">
      <c r="A103" s="160">
        <f t="shared" si="8"/>
        <v>95</v>
      </c>
      <c r="B103" s="160">
        <f>'תקציב החברה לפיתוח 2022'!B32</f>
        <v>1835</v>
      </c>
      <c r="C103" s="289" t="str">
        <f>'תקציב החברה לפיתוח 2022'!C32</f>
        <v>פיתוח מתחם מתנ"ס נווה עמל ומגרשי טניס</v>
      </c>
      <c r="D103" s="161">
        <f>'תקציב החברה לפיתוח 2022'!D32</f>
        <v>51500000</v>
      </c>
      <c r="E103" s="160">
        <f>'תקציב החברה לפיתוח 2022'!E32</f>
        <v>70000000</v>
      </c>
      <c r="F103" s="160">
        <f>'תקציב החברה לפיתוח 2022'!F32</f>
        <v>-18500000</v>
      </c>
      <c r="G103" s="160">
        <f>'תקציב החברה לפיתוח 2022'!G32</f>
        <v>20900000</v>
      </c>
      <c r="H103" s="160">
        <f>'תקציב החברה לפיתוח 2022'!H32</f>
        <v>13162880</v>
      </c>
      <c r="I103" s="160">
        <f>'תקציב החברה לפיתוח 2022'!I32</f>
        <v>0</v>
      </c>
      <c r="J103" s="160">
        <f>'תקציב החברה לפיתוח 2022'!J32</f>
        <v>3301140</v>
      </c>
      <c r="K103" s="160">
        <f>'תקציב החברה לפיתוח 2022'!K32</f>
        <v>3301140</v>
      </c>
      <c r="L103" s="161">
        <f>'תקציב החברה לפיתוח 2022'!L32</f>
        <v>16464020</v>
      </c>
      <c r="M103" s="161">
        <f>'תקציב החברה לפיתוח 2022'!M32</f>
        <v>5435980</v>
      </c>
      <c r="N103" s="161">
        <f>'תקציב החברה לפיתוח 2022'!N32</f>
        <v>500000</v>
      </c>
      <c r="O103" s="161">
        <f>'תקציב החברה לפיתוח 2022'!O32</f>
        <v>29100000</v>
      </c>
      <c r="P103" s="161">
        <f>'תקציב החברה לפיתוח 2022'!P32</f>
        <v>4435980</v>
      </c>
      <c r="Q103" s="161">
        <f>'תקציב החברה לפיתוח 2022'!Q32</f>
        <v>1000000</v>
      </c>
      <c r="R103" s="161">
        <f>'תקציב החברה לפיתוח 2022'!R32</f>
        <v>0</v>
      </c>
      <c r="S103" s="161">
        <f>'תקציב החברה לפיתוח 2022'!S32</f>
        <v>1000000</v>
      </c>
      <c r="T103" s="161">
        <f>'תקציב החברה לפיתוח 2022'!T32</f>
        <v>0</v>
      </c>
      <c r="U103" s="161">
        <f>'תקציב החברה לפיתוח 2022'!U32</f>
        <v>500000</v>
      </c>
      <c r="V103" s="161">
        <f>'תקציב החברה לפיתוח 2022'!V32</f>
        <v>500000</v>
      </c>
      <c r="W103" s="161">
        <f>'תקציב החברה לפיתוח 2022'!W32</f>
        <v>0</v>
      </c>
      <c r="X103" s="161">
        <f>'תקציב החברה לפיתוח 2022'!X32</f>
        <v>0</v>
      </c>
      <c r="Y103" s="161">
        <f>'תקציב החברה לפיתוח 2022'!Y32</f>
        <v>0</v>
      </c>
      <c r="Z103" s="161">
        <f>'תקציב החברה לפיתוח 2022'!Z32</f>
        <v>0</v>
      </c>
      <c r="AA103" s="161">
        <f>'תקציב החברה לפיתוח 2022'!AA32</f>
        <v>0</v>
      </c>
      <c r="AB103" s="289" t="str">
        <f>'תקציב החברה לפיתוח 2022'!AB32</f>
        <v xml:space="preserve"> הקמת מבנה טניס חדש, שיפוץ מבני מתנ"ס קיים קירוי 2 מגרשי טניס ופיתוח סביבתי למתחם .</v>
      </c>
      <c r="AC103" s="160">
        <f>'תקציב החברה לפיתוח 2022'!AC32</f>
        <v>824000</v>
      </c>
      <c r="AD103" s="157"/>
      <c r="AE103" s="157" t="s">
        <v>1567</v>
      </c>
      <c r="AF103" s="171"/>
      <c r="AG103" s="171"/>
      <c r="AH103" s="171"/>
      <c r="AI103" s="171"/>
      <c r="AJ103" s="171"/>
      <c r="AK103" s="160"/>
      <c r="AL103" s="160"/>
      <c r="AM103" s="266" t="s">
        <v>1568</v>
      </c>
      <c r="AN103" s="277"/>
      <c r="AO103" s="160"/>
      <c r="AP103" s="3" t="s">
        <v>1569</v>
      </c>
      <c r="AQ103" s="160" t="s">
        <v>1570</v>
      </c>
      <c r="AR103" s="160"/>
      <c r="AS103" s="160" t="s">
        <v>1571</v>
      </c>
      <c r="AT103" s="268"/>
      <c r="AU103" s="160"/>
      <c r="AV103" s="272" t="s">
        <v>2183</v>
      </c>
      <c r="AW103" s="638">
        <v>14000000</v>
      </c>
      <c r="AX103" s="639">
        <f>U103-AW103</f>
        <v>-13500000</v>
      </c>
      <c r="AY103" s="161"/>
      <c r="AZ103" s="161"/>
      <c r="BA103" s="638">
        <v>500000</v>
      </c>
      <c r="BB103" s="638">
        <f>BA103-N103</f>
        <v>0</v>
      </c>
      <c r="BC103" s="161"/>
    </row>
    <row r="104" spans="1:55" s="5" customFormat="1" ht="30" customHeight="1">
      <c r="A104" s="160">
        <f t="shared" si="8"/>
        <v>96</v>
      </c>
      <c r="B104" s="160">
        <f>'תקציב החברה לפיתוח 2022'!B50</f>
        <v>2017</v>
      </c>
      <c r="C104" s="289" t="str">
        <f>'תקציב החברה לפיתוח 2022'!C50</f>
        <v xml:space="preserve">הקמת מתנ"ס רחוב המסילה </v>
      </c>
      <c r="D104" s="161">
        <f>'תקציב החברה לפיתוח 2022'!D50</f>
        <v>37100000</v>
      </c>
      <c r="E104" s="160">
        <f>'תקציב החברה לפיתוח 2022'!E50</f>
        <v>30000000</v>
      </c>
      <c r="F104" s="160">
        <f>'תקציב החברה לפיתוח 2022'!F50</f>
        <v>7100000</v>
      </c>
      <c r="G104" s="160">
        <f>'תקציב החברה לפיתוח 2022'!G50</f>
        <v>2250000</v>
      </c>
      <c r="H104" s="160">
        <f>'תקציב החברה לפיתוח 2022'!H50</f>
        <v>1850358</v>
      </c>
      <c r="I104" s="160">
        <f>'תקציב החברה לפיתוח 2022'!I50</f>
        <v>0</v>
      </c>
      <c r="J104" s="160">
        <f>'תקציב החברה לפיתוח 2022'!J50</f>
        <v>40333</v>
      </c>
      <c r="K104" s="160">
        <f>'תקציב החברה לפיתוח 2022'!K50</f>
        <v>40333</v>
      </c>
      <c r="L104" s="161">
        <f>'תקציב החברה לפיתוח 2022'!L50</f>
        <v>1890691</v>
      </c>
      <c r="M104" s="161">
        <f>'תקציב החברה לפיתוח 2022'!M50</f>
        <v>1109309</v>
      </c>
      <c r="N104" s="161">
        <f>'תקציב החברה לפיתוח 2022'!N50</f>
        <v>7000000</v>
      </c>
      <c r="O104" s="161">
        <f>'תקציב החברה לפיתוח 2022'!O50</f>
        <v>27100000</v>
      </c>
      <c r="P104" s="161">
        <f>'תקציב החברה לפיתוח 2022'!P50</f>
        <v>359309</v>
      </c>
      <c r="Q104" s="161">
        <f>'תקציב החברה לפיתוח 2022'!Q50</f>
        <v>750000</v>
      </c>
      <c r="R104" s="161">
        <f>'תקציב החברה לפיתוח 2022'!R50</f>
        <v>0</v>
      </c>
      <c r="S104" s="161">
        <f>'תקציב החברה לפיתוח 2022'!S50</f>
        <v>750000</v>
      </c>
      <c r="T104" s="161">
        <f>'תקציב החברה לפיתוח 2022'!T50</f>
        <v>0</v>
      </c>
      <c r="U104" s="161">
        <f>'תקציב החברה לפיתוח 2022'!U50</f>
        <v>7000000</v>
      </c>
      <c r="V104" s="161">
        <f>'תקציב החברה לפיתוח 2022'!V50</f>
        <v>7000000</v>
      </c>
      <c r="W104" s="161">
        <f>'תקציב החברה לפיתוח 2022'!W50</f>
        <v>0</v>
      </c>
      <c r="X104" s="161">
        <f>'תקציב החברה לפיתוח 2022'!X50</f>
        <v>0</v>
      </c>
      <c r="Y104" s="161">
        <f>'תקציב החברה לפיתוח 2022'!Y50</f>
        <v>0</v>
      </c>
      <c r="Z104" s="161">
        <f>'תקציב החברה לפיתוח 2022'!Z50</f>
        <v>0</v>
      </c>
      <c r="AA104" s="161">
        <f>'תקציב החברה לפיתוח 2022'!AA50</f>
        <v>0</v>
      </c>
      <c r="AB104" s="289" t="str">
        <f>'תקציב החברה לפיתוח 2022'!AB50</f>
        <v>הקמת מתנ"ס ברחוב המסילה.</v>
      </c>
      <c r="AC104" s="160">
        <f>'תקציב החברה לפיתוח 2022'!AC50</f>
        <v>824000</v>
      </c>
      <c r="AD104" s="157"/>
      <c r="AE104" s="157" t="s">
        <v>1537</v>
      </c>
      <c r="AF104" s="171"/>
      <c r="AG104" s="171"/>
      <c r="AH104" s="171"/>
      <c r="AI104" s="171"/>
      <c r="AJ104" s="171"/>
      <c r="AK104" s="171"/>
      <c r="AL104" s="171"/>
      <c r="AM104" s="266"/>
      <c r="AN104" s="277"/>
      <c r="AO104" s="160"/>
      <c r="AP104" s="266" t="s">
        <v>1621</v>
      </c>
      <c r="AQ104" s="277" t="s">
        <v>1622</v>
      </c>
      <c r="AR104" s="160" t="s">
        <v>1622</v>
      </c>
      <c r="AS104" s="160" t="s">
        <v>1623</v>
      </c>
      <c r="AT104" s="268"/>
      <c r="AU104" s="160" t="s">
        <v>1624</v>
      </c>
      <c r="AV104" s="272"/>
      <c r="AW104" s="640"/>
      <c r="AX104" s="171"/>
      <c r="AY104" s="264">
        <v>-10000000</v>
      </c>
      <c r="AZ104" s="161">
        <v>-6000000</v>
      </c>
      <c r="BA104" s="638">
        <v>16000000</v>
      </c>
      <c r="BB104" s="638">
        <f>BA104-N104</f>
        <v>9000000</v>
      </c>
      <c r="BC104" s="161">
        <v>-3000000</v>
      </c>
    </row>
    <row r="105" spans="1:55" s="5" customFormat="1" ht="76.900000000000006" customHeight="1">
      <c r="A105" s="160">
        <f t="shared" si="8"/>
        <v>97</v>
      </c>
      <c r="B105" s="160">
        <f>'תקציב החברה לפיתוח 2022'!B62</f>
        <v>2099</v>
      </c>
      <c r="C105" s="289" t="str">
        <f>'תקציב החברה לפיתוח 2022'!C62</f>
        <v>סינמטק בבנין עיריה חדש</v>
      </c>
      <c r="D105" s="161">
        <f>'תקציב החברה לפיתוח 2022'!D62</f>
        <v>12000000</v>
      </c>
      <c r="E105" s="160">
        <f>'תקציב החברה לפיתוח 2022'!E62</f>
        <v>12000000</v>
      </c>
      <c r="F105" s="160">
        <f>'תקציב החברה לפיתוח 2022'!F62</f>
        <v>0</v>
      </c>
      <c r="G105" s="160">
        <f>'תקציב החברה לפיתוח 2022'!G62</f>
        <v>750000</v>
      </c>
      <c r="H105" s="160">
        <f>'תקציב החברה לפיתוח 2022'!H62</f>
        <v>415222</v>
      </c>
      <c r="I105" s="160">
        <f>'תקציב החברה לפיתוח 2022'!I62</f>
        <v>0</v>
      </c>
      <c r="J105" s="160">
        <f>'תקציב החברה לפיתוח 2022'!J62</f>
        <v>228705</v>
      </c>
      <c r="K105" s="160">
        <f>'תקציב החברה לפיתוח 2022'!K62</f>
        <v>228705</v>
      </c>
      <c r="L105" s="161">
        <f>'תקציב החברה לפיתוח 2022'!L62</f>
        <v>643927</v>
      </c>
      <c r="M105" s="161">
        <f>'תקציב החברה לפיתוח 2022'!M62</f>
        <v>1106073</v>
      </c>
      <c r="N105" s="161">
        <f>'תקציב החברה לפיתוח 2022'!N62</f>
        <v>9250000</v>
      </c>
      <c r="O105" s="161">
        <f>'תקציב החברה לפיתוח 2022'!O62</f>
        <v>1000000</v>
      </c>
      <c r="P105" s="161">
        <f>'תקציב החברה לפיתוח 2022'!P62</f>
        <v>106073</v>
      </c>
      <c r="Q105" s="161">
        <f>'תקציב החברה לפיתוח 2022'!Q62</f>
        <v>1000000</v>
      </c>
      <c r="R105" s="161">
        <f>'תקציב החברה לפיתוח 2022'!R62</f>
        <v>0</v>
      </c>
      <c r="S105" s="161">
        <f>'תקציב החברה לפיתוח 2022'!S62</f>
        <v>1000000</v>
      </c>
      <c r="T105" s="161">
        <f>'תקציב החברה לפיתוח 2022'!T62</f>
        <v>0</v>
      </c>
      <c r="U105" s="161">
        <f>'תקציב החברה לפיתוח 2022'!U62</f>
        <v>9250000</v>
      </c>
      <c r="V105" s="161">
        <f>'תקציב החברה לפיתוח 2022'!V62</f>
        <v>7250000</v>
      </c>
      <c r="W105" s="161">
        <f>'תקציב החברה לפיתוח 2022'!W62</f>
        <v>0</v>
      </c>
      <c r="X105" s="161">
        <f>'תקציב החברה לפיתוח 2022'!X62</f>
        <v>0</v>
      </c>
      <c r="Y105" s="161">
        <f>'תקציב החברה לפיתוח 2022'!Y62</f>
        <v>0</v>
      </c>
      <c r="Z105" s="161">
        <f>'תקציב החברה לפיתוח 2022'!Z62</f>
        <v>0</v>
      </c>
      <c r="AA105" s="161">
        <f>'תקציב החברה לפיתוח 2022'!AA62</f>
        <v>2000000</v>
      </c>
      <c r="AB105" s="289" t="str">
        <f>'תקציב החברה לפיתוח 2022'!AB62</f>
        <v>הכשרת סינמטק בבניין העיריה החדש. מימון מ. הפיס.</v>
      </c>
      <c r="AC105" s="160">
        <f>'תקציב החברה לפיתוח 2022'!AC62</f>
        <v>826000</v>
      </c>
      <c r="AD105" s="157"/>
      <c r="AE105" s="157" t="s">
        <v>1660</v>
      </c>
      <c r="AF105" s="171"/>
      <c r="AG105" s="171"/>
      <c r="AH105" s="171"/>
      <c r="AI105" s="171"/>
      <c r="AJ105" s="171"/>
      <c r="AK105" s="171"/>
      <c r="AL105" s="171"/>
      <c r="AM105" s="266"/>
      <c r="AN105" s="277"/>
      <c r="AO105" s="160"/>
      <c r="AP105" s="157"/>
      <c r="AQ105" s="171"/>
      <c r="AR105" s="171"/>
      <c r="AS105" s="171"/>
      <c r="AT105" s="268"/>
      <c r="AU105" s="171"/>
      <c r="AV105" s="272"/>
      <c r="AW105" s="640"/>
      <c r="AX105" s="171"/>
      <c r="AY105" s="161"/>
      <c r="AZ105" s="161"/>
      <c r="BA105" s="638"/>
      <c r="BB105" s="638"/>
      <c r="BC105" s="161"/>
    </row>
    <row r="106" spans="1:55" s="498" customFormat="1" ht="66.599999999999994" customHeight="1">
      <c r="A106" s="160">
        <f t="shared" si="8"/>
        <v>98</v>
      </c>
      <c r="B106" s="160">
        <f>'תקציב החברה לפיתוח 2022'!B109</f>
        <v>20016</v>
      </c>
      <c r="C106" s="289" t="str">
        <f>'תקציב החברה לפיתוח 2022'!C109</f>
        <v>מרכז תרבות בנושא האקלים ברחוב בן גוריון</v>
      </c>
      <c r="D106" s="161">
        <f>'תקציב החברה לפיתוח 2022'!D109</f>
        <v>700000</v>
      </c>
      <c r="E106" s="160">
        <f>'תקציב החברה לפיתוח 2022'!E109</f>
        <v>0</v>
      </c>
      <c r="F106" s="160">
        <f>'תקציב החברה לפיתוח 2022'!F109</f>
        <v>700000</v>
      </c>
      <c r="G106" s="160">
        <f>'תקציב החברה לפיתוח 2022'!G109</f>
        <v>0</v>
      </c>
      <c r="H106" s="160">
        <f>'תקציב החברה לפיתוח 2022'!H109</f>
        <v>0</v>
      </c>
      <c r="I106" s="160">
        <f>'תקציב החברה לפיתוח 2022'!I109</f>
        <v>0</v>
      </c>
      <c r="J106" s="160">
        <f>'תקציב החברה לפיתוח 2022'!J109</f>
        <v>0</v>
      </c>
      <c r="K106" s="160">
        <f>'תקציב החברה לפיתוח 2022'!K109</f>
        <v>0</v>
      </c>
      <c r="L106" s="161">
        <f>'תקציב החברה לפיתוח 2022'!L109</f>
        <v>0</v>
      </c>
      <c r="M106" s="161">
        <f>'תקציב החברה לפיתוח 2022'!M109</f>
        <v>0</v>
      </c>
      <c r="N106" s="161">
        <f>'תקציב החברה לפיתוח 2022'!N109</f>
        <v>500000</v>
      </c>
      <c r="O106" s="161">
        <f>'תקציב החברה לפיתוח 2022'!O109</f>
        <v>200000</v>
      </c>
      <c r="P106" s="161">
        <f>'תקציב החברה לפיתוח 2022'!P109</f>
        <v>0</v>
      </c>
      <c r="Q106" s="161">
        <f>'תקציב החברה לפיתוח 2022'!Q109</f>
        <v>0</v>
      </c>
      <c r="R106" s="161">
        <f>'תקציב החברה לפיתוח 2022'!R109</f>
        <v>0</v>
      </c>
      <c r="S106" s="161">
        <f>'תקציב החברה לפיתוח 2022'!S109</f>
        <v>0</v>
      </c>
      <c r="T106" s="161">
        <f>'תקציב החברה לפיתוח 2022'!T109</f>
        <v>0</v>
      </c>
      <c r="U106" s="161">
        <f>'תקציב החברה לפיתוח 2022'!U109</f>
        <v>500000</v>
      </c>
      <c r="V106" s="161">
        <f>'תקציב החברה לפיתוח 2022'!V109</f>
        <v>500000</v>
      </c>
      <c r="W106" s="161">
        <f>'תקציב החברה לפיתוח 2022'!W109</f>
        <v>0</v>
      </c>
      <c r="X106" s="161">
        <f>'תקציב החברה לפיתוח 2022'!X109</f>
        <v>0</v>
      </c>
      <c r="Y106" s="161">
        <f>'תקציב החברה לפיתוח 2022'!Y109</f>
        <v>0</v>
      </c>
      <c r="Z106" s="161">
        <f>'תקציב החברה לפיתוח 2022'!Z109</f>
        <v>0</v>
      </c>
      <c r="AA106" s="161">
        <f>'תקציב החברה לפיתוח 2022'!AA109</f>
        <v>0</v>
      </c>
      <c r="AB106" s="289" t="str">
        <f>'תקציב החברה לפיתוח 2022'!AB109</f>
        <v xml:space="preserve">הקמת מרכז תרבות עם קונספט אקלימי חדשני בו יהיו גם פעילויות חינוכית, פיתוח עסקי, חברתי ותיירותי בתחום. </v>
      </c>
      <c r="AC106" s="160">
        <f>'תקציב החברה לפיתוח 2022'!AC109</f>
        <v>826000</v>
      </c>
      <c r="AD106" s="374"/>
      <c r="AE106" s="374"/>
      <c r="AF106" s="374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 t="s">
        <v>1816</v>
      </c>
      <c r="AT106" s="524" t="s">
        <v>1814</v>
      </c>
      <c r="AU106" s="32" t="s">
        <v>1815</v>
      </c>
      <c r="AV106" s="3" t="s">
        <v>2198</v>
      </c>
      <c r="AW106" s="638">
        <v>500000</v>
      </c>
      <c r="AX106" s="446">
        <f>U106-AW106</f>
        <v>0</v>
      </c>
      <c r="AY106" s="3"/>
      <c r="AZ106" s="3"/>
      <c r="BA106" s="660"/>
      <c r="BB106" s="638"/>
      <c r="BC106" s="161"/>
    </row>
    <row r="107" spans="1:55" s="5" customFormat="1" ht="75">
      <c r="A107" s="160">
        <f t="shared" si="8"/>
        <v>99</v>
      </c>
      <c r="B107" s="160">
        <f>'תקציב החברה לפיתוח 2022'!B111</f>
        <v>20018</v>
      </c>
      <c r="C107" s="289" t="str">
        <f>'תקציב החברה לפיתוח 2022'!C111</f>
        <v>מוזיאון הרצליה - הרחבה ושיפוץ</v>
      </c>
      <c r="D107" s="161">
        <f>'תקציב החברה לפיתוח 2022'!D111</f>
        <v>150000</v>
      </c>
      <c r="E107" s="160">
        <f>'תקציב החברה לפיתוח 2022'!E111</f>
        <v>0</v>
      </c>
      <c r="F107" s="160">
        <f>'תקציב החברה לפיתוח 2022'!F111</f>
        <v>150000</v>
      </c>
      <c r="G107" s="160">
        <f>'תקציב החברה לפיתוח 2022'!G111</f>
        <v>0</v>
      </c>
      <c r="H107" s="160">
        <f>'תקציב החברה לפיתוח 2022'!H111</f>
        <v>0</v>
      </c>
      <c r="I107" s="160">
        <f>'תקציב החברה לפיתוח 2022'!I111</f>
        <v>0</v>
      </c>
      <c r="J107" s="160">
        <f>'תקציב החברה לפיתוח 2022'!J111</f>
        <v>0</v>
      </c>
      <c r="K107" s="160">
        <f>'תקציב החברה לפיתוח 2022'!K111</f>
        <v>0</v>
      </c>
      <c r="L107" s="161">
        <f>'תקציב החברה לפיתוח 2022'!L111</f>
        <v>0</v>
      </c>
      <c r="M107" s="161">
        <f>'תקציב החברה לפיתוח 2022'!M111</f>
        <v>0</v>
      </c>
      <c r="N107" s="161">
        <f>'תקציב החברה לפיתוח 2022'!N111</f>
        <v>150000</v>
      </c>
      <c r="O107" s="161">
        <f>'תקציב החברה לפיתוח 2022'!O111</f>
        <v>0</v>
      </c>
      <c r="P107" s="161">
        <f>'תקציב החברה לפיתוח 2022'!P111</f>
        <v>0</v>
      </c>
      <c r="Q107" s="161">
        <f>'תקציב החברה לפיתוח 2022'!Q111</f>
        <v>0</v>
      </c>
      <c r="R107" s="161">
        <f>'תקציב החברה לפיתוח 2022'!R111</f>
        <v>0</v>
      </c>
      <c r="S107" s="161">
        <f>'תקציב החברה לפיתוח 2022'!S111</f>
        <v>0</v>
      </c>
      <c r="T107" s="161">
        <f>'תקציב החברה לפיתוח 2022'!T111</f>
        <v>0</v>
      </c>
      <c r="U107" s="161">
        <f>'תקציב החברה לפיתוח 2022'!U111</f>
        <v>150000</v>
      </c>
      <c r="V107" s="161">
        <f>'תקציב החברה לפיתוח 2022'!V111</f>
        <v>150000</v>
      </c>
      <c r="W107" s="161">
        <f>'תקציב החברה לפיתוח 2022'!W111</f>
        <v>0</v>
      </c>
      <c r="X107" s="161">
        <f>'תקציב החברה לפיתוח 2022'!X111</f>
        <v>0</v>
      </c>
      <c r="Y107" s="161">
        <f>'תקציב החברה לפיתוח 2022'!Y111</f>
        <v>0</v>
      </c>
      <c r="Z107" s="161">
        <f>'תקציב החברה לפיתוח 2022'!Z111</f>
        <v>0</v>
      </c>
      <c r="AA107" s="161">
        <f>'תקציב החברה לפיתוח 2022'!AA111</f>
        <v>0</v>
      </c>
      <c r="AB107" s="289" t="str">
        <f>'תקציב החברה לפיתוח 2022'!AB111</f>
        <v>תוספת קומה כ - 300 מ"ר , עבודות שיפוץ ופיתוח רחבת המוזיאון.</v>
      </c>
      <c r="AC107" s="160">
        <f>'תקציב החברה לפיתוח 2022'!AC111</f>
        <v>826000</v>
      </c>
      <c r="AD107" s="374"/>
      <c r="AE107" s="374"/>
      <c r="AF107" s="374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 t="s">
        <v>1816</v>
      </c>
      <c r="AT107" s="524" t="s">
        <v>1814</v>
      </c>
      <c r="AU107" s="32" t="s">
        <v>1815</v>
      </c>
      <c r="AV107" s="3" t="s">
        <v>2198</v>
      </c>
      <c r="AW107" s="638">
        <v>500000</v>
      </c>
      <c r="AX107" s="446">
        <f>U107-AW107</f>
        <v>-350000</v>
      </c>
      <c r="AY107" s="3"/>
      <c r="AZ107" s="3"/>
      <c r="BA107" s="660"/>
      <c r="BB107" s="638"/>
      <c r="BC107" s="161"/>
    </row>
    <row r="108" spans="1:55" s="5" customFormat="1" ht="30">
      <c r="A108" s="160">
        <f t="shared" si="8"/>
        <v>100</v>
      </c>
      <c r="B108" s="160">
        <f>'תקציב החברה לפיתוח 2022'!B16</f>
        <v>1357</v>
      </c>
      <c r="C108" s="289" t="str">
        <f>'תקציב החברה לפיתוח 2022'!C16</f>
        <v>ספורטק שלב ג'</v>
      </c>
      <c r="D108" s="161">
        <f>'תקציב החברה לפיתוח 2022'!D16</f>
        <v>25000000</v>
      </c>
      <c r="E108" s="160">
        <f>'תקציב החברה לפיתוח 2022'!E16</f>
        <v>25000000</v>
      </c>
      <c r="F108" s="160">
        <f>'תקציב החברה לפיתוח 2022'!F16</f>
        <v>0</v>
      </c>
      <c r="G108" s="160">
        <f>'תקציב החברה לפיתוח 2022'!G16</f>
        <v>18062000</v>
      </c>
      <c r="H108" s="160">
        <f>'תקציב החברה לפיתוח 2022'!H16</f>
        <v>16695866</v>
      </c>
      <c r="I108" s="160">
        <f>'תקציב החברה לפיתוח 2022'!I16</f>
        <v>0</v>
      </c>
      <c r="J108" s="160">
        <f>'תקציב החברה לפיתוח 2022'!J16</f>
        <v>1054598</v>
      </c>
      <c r="K108" s="160">
        <f>'תקציב החברה לפיתוח 2022'!K16</f>
        <v>1054598</v>
      </c>
      <c r="L108" s="161">
        <f>'תקציב החברה לפיתוח 2022'!L16</f>
        <v>17750464</v>
      </c>
      <c r="M108" s="161">
        <f>'תקציב החברה לפיתוח 2022'!M16</f>
        <v>361536</v>
      </c>
      <c r="N108" s="161">
        <f>'תקציב החברה לפיתוח 2022'!N16</f>
        <v>700000</v>
      </c>
      <c r="O108" s="161">
        <f>'תקציב החברה לפיתוח 2022'!O16</f>
        <v>6188000</v>
      </c>
      <c r="P108" s="161">
        <f>'תקציב החברה לפיתוח 2022'!P16</f>
        <v>311536</v>
      </c>
      <c r="Q108" s="161">
        <f>'תקציב החברה לפיתוח 2022'!Q16</f>
        <v>50000</v>
      </c>
      <c r="R108" s="161">
        <f>'תקציב החברה לפיתוח 2022'!R16</f>
        <v>0</v>
      </c>
      <c r="S108" s="161">
        <f>'תקציב החברה לפיתוח 2022'!S16</f>
        <v>50000</v>
      </c>
      <c r="T108" s="161">
        <f>'תקציב החברה לפיתוח 2022'!T16</f>
        <v>0</v>
      </c>
      <c r="U108" s="161">
        <f>'תקציב החברה לפיתוח 2022'!U16</f>
        <v>700000</v>
      </c>
      <c r="V108" s="161">
        <f>'תקציב החברה לפיתוח 2022'!V16</f>
        <v>700000</v>
      </c>
      <c r="W108" s="161">
        <f>'תקציב החברה לפיתוח 2022'!W16</f>
        <v>0</v>
      </c>
      <c r="X108" s="161">
        <f>'תקציב החברה לפיתוח 2022'!X16</f>
        <v>0</v>
      </c>
      <c r="Y108" s="161">
        <f>'תקציב החברה לפיתוח 2022'!Y16</f>
        <v>0</v>
      </c>
      <c r="Z108" s="161">
        <f>'תקציב החברה לפיתוח 2022'!Z16</f>
        <v>0</v>
      </c>
      <c r="AA108" s="161">
        <f>'תקציב החברה לפיתוח 2022'!AA16</f>
        <v>0</v>
      </c>
      <c r="AB108" s="289" t="str">
        <f>'תקציב החברה לפיתוח 2022'!AB16</f>
        <v>עבודות מבנה מועדון פטנג. בספורטק.</v>
      </c>
      <c r="AC108" s="160">
        <f>'תקציב החברה לפיתוח 2022'!AC16</f>
        <v>829000</v>
      </c>
      <c r="AD108" s="157" t="s">
        <v>1542</v>
      </c>
      <c r="AE108" s="157" t="s">
        <v>1543</v>
      </c>
      <c r="AF108" s="171"/>
      <c r="AG108" s="171"/>
      <c r="AH108" s="171"/>
      <c r="AI108" s="171"/>
      <c r="AJ108" s="171"/>
      <c r="AK108" s="3"/>
      <c r="AL108" s="3"/>
      <c r="AM108" s="266"/>
      <c r="AN108" s="277"/>
      <c r="AO108" s="394"/>
      <c r="AP108" s="157" t="s">
        <v>1543</v>
      </c>
      <c r="AQ108" s="3"/>
      <c r="AR108" s="272"/>
      <c r="AS108" s="272"/>
      <c r="AT108" s="268"/>
      <c r="AU108" s="272"/>
      <c r="AV108" s="272"/>
      <c r="AW108" s="638"/>
      <c r="AX108" s="3"/>
      <c r="AY108" s="161"/>
      <c r="AZ108" s="161"/>
      <c r="BA108" s="638"/>
      <c r="BB108" s="638"/>
      <c r="BC108" s="161"/>
    </row>
    <row r="109" spans="1:55" s="5" customFormat="1" ht="30">
      <c r="A109" s="160">
        <f t="shared" si="8"/>
        <v>101</v>
      </c>
      <c r="B109" s="160">
        <f>'תקציב החברה לפיתוח 2022'!B30</f>
        <v>1833</v>
      </c>
      <c r="C109" s="289" t="str">
        <f>'תקציב החברה לפיתוח 2022'!C30</f>
        <v>אולם ספורט חטיבת זאב</v>
      </c>
      <c r="D109" s="161">
        <f>'תקציב החברה לפיתוח 2022'!D30</f>
        <v>29000000</v>
      </c>
      <c r="E109" s="160">
        <f>'תקציב החברה לפיתוח 2022'!E30</f>
        <v>29000000</v>
      </c>
      <c r="F109" s="160">
        <f>'תקציב החברה לפיתוח 2022'!F30</f>
        <v>0</v>
      </c>
      <c r="G109" s="160">
        <f>'תקציב החברה לפיתוח 2022'!G30</f>
        <v>26500000</v>
      </c>
      <c r="H109" s="160">
        <f>'תקציב החברה לפיתוח 2022'!H30</f>
        <v>21214144</v>
      </c>
      <c r="I109" s="160">
        <f>'תקציב החברה לפיתוח 2022'!I30</f>
        <v>0</v>
      </c>
      <c r="J109" s="160">
        <f>'תקציב החברה לפיתוח 2022'!J30</f>
        <v>52508</v>
      </c>
      <c r="K109" s="160">
        <f>'תקציב החברה לפיתוח 2022'!K30</f>
        <v>52508</v>
      </c>
      <c r="L109" s="161">
        <f>'תקציב החברה לפיתוח 2022'!L30</f>
        <v>21266652</v>
      </c>
      <c r="M109" s="161">
        <f>'תקציב החברה לפיתוח 2022'!M30</f>
        <v>7733348</v>
      </c>
      <c r="N109" s="161">
        <f>'תקציב החברה לפיתוח 2022'!N30</f>
        <v>0</v>
      </c>
      <c r="O109" s="161">
        <f>'תקציב החברה לפיתוח 2022'!O30</f>
        <v>0</v>
      </c>
      <c r="P109" s="161">
        <f>'תקציב החברה לפיתוח 2022'!P30</f>
        <v>5233348</v>
      </c>
      <c r="Q109" s="161">
        <f>'תקציב החברה לפיתוח 2022'!Q30</f>
        <v>2500000</v>
      </c>
      <c r="R109" s="161">
        <f>'תקציב החברה לפיתוח 2022'!R30</f>
        <v>0</v>
      </c>
      <c r="S109" s="161">
        <f>'תקציב החברה לפיתוח 2022'!S30</f>
        <v>2500000</v>
      </c>
      <c r="T109" s="161">
        <f>'תקציב החברה לפיתוח 2022'!T30</f>
        <v>0</v>
      </c>
      <c r="U109" s="161">
        <f>'תקציב החברה לפיתוח 2022'!U30</f>
        <v>0</v>
      </c>
      <c r="V109" s="161">
        <f>'תקציב החברה לפיתוח 2022'!V30</f>
        <v>0</v>
      </c>
      <c r="W109" s="161">
        <f>'תקציב החברה לפיתוח 2022'!W30</f>
        <v>0</v>
      </c>
      <c r="X109" s="161">
        <f>'תקציב החברה לפיתוח 2022'!X30</f>
        <v>0</v>
      </c>
      <c r="Y109" s="161">
        <f>'תקציב החברה לפיתוח 2022'!Y30</f>
        <v>0</v>
      </c>
      <c r="Z109" s="161">
        <f>'תקציב החברה לפיתוח 2022'!Z30</f>
        <v>0</v>
      </c>
      <c r="AA109" s="161">
        <f>'תקציב החברה לפיתוח 2022'!AA30</f>
        <v>0</v>
      </c>
      <c r="AB109" s="289" t="str">
        <f>'תקציב החברה לפיתוח 2022'!AB30</f>
        <v xml:space="preserve">בניית אולם ספורט חדש בחטיבה. </v>
      </c>
      <c r="AC109" s="160">
        <f>'תקציב החברה לפיתוח 2022'!AC30</f>
        <v>829000</v>
      </c>
      <c r="AD109" s="157"/>
      <c r="AE109" s="157"/>
      <c r="AF109" s="171"/>
      <c r="AG109" s="171"/>
      <c r="AH109" s="171"/>
      <c r="AI109" s="171"/>
      <c r="AJ109" s="171"/>
      <c r="AK109" s="171"/>
      <c r="AL109" s="171"/>
      <c r="AM109" s="171"/>
      <c r="AN109" s="277"/>
      <c r="AO109" s="394"/>
      <c r="AP109" s="171"/>
      <c r="AQ109" s="171"/>
      <c r="AR109" s="171"/>
      <c r="AS109" s="171"/>
      <c r="AT109" s="268"/>
      <c r="AU109" s="171"/>
      <c r="AV109" s="633"/>
      <c r="AW109" s="640"/>
      <c r="AX109" s="171"/>
      <c r="AY109" s="161"/>
      <c r="AZ109" s="161"/>
      <c r="BA109" s="640"/>
      <c r="BB109" s="638"/>
      <c r="BC109" s="161"/>
    </row>
    <row r="110" spans="1:55" s="5" customFormat="1" ht="45">
      <c r="A110" s="160">
        <f t="shared" si="8"/>
        <v>102</v>
      </c>
      <c r="B110" s="160">
        <f>'תקציב החברה לפיתוח 2022'!B35</f>
        <v>1896</v>
      </c>
      <c r="C110" s="289" t="str">
        <f>'תקציב החברה לפיתוח 2022'!C35</f>
        <v>קירוי והצללה מגרשי ספורט עירוניים</v>
      </c>
      <c r="D110" s="161">
        <f>'תקציב החברה לפיתוח 2022'!D35</f>
        <v>7800000</v>
      </c>
      <c r="E110" s="160">
        <f>'תקציב החברה לפיתוח 2022'!E35</f>
        <v>18560000</v>
      </c>
      <c r="F110" s="160">
        <f>'תקציב החברה לפיתוח 2022'!F35</f>
        <v>-10760000</v>
      </c>
      <c r="G110" s="160">
        <f>'תקציב החברה לפיתוח 2022'!G35</f>
        <v>7800000</v>
      </c>
      <c r="H110" s="160">
        <f>'תקציב החברה לפיתוח 2022'!H35</f>
        <v>1264688</v>
      </c>
      <c r="I110" s="160">
        <f>'תקציב החברה לפיתוח 2022'!I35</f>
        <v>1828643</v>
      </c>
      <c r="J110" s="160">
        <f>'תקציב החברה לפיתוח 2022'!J35</f>
        <v>133740</v>
      </c>
      <c r="K110" s="160">
        <f>'תקציב החברה לפיתוח 2022'!K35</f>
        <v>1962383</v>
      </c>
      <c r="L110" s="161">
        <f>'תקציב החברה לפיתוח 2022'!L35</f>
        <v>3227071</v>
      </c>
      <c r="M110" s="161">
        <f>'תקציב החברה לפיתוח 2022'!M35</f>
        <v>4572929</v>
      </c>
      <c r="N110" s="161">
        <f>'תקציב החברה לפיתוח 2022'!N35</f>
        <v>0</v>
      </c>
      <c r="O110" s="161">
        <f>'תקציב החברה לפיתוח 2022'!O35</f>
        <v>0</v>
      </c>
      <c r="P110" s="161">
        <f>'תקציב החברה לפיתוח 2022'!P35</f>
        <v>4572929</v>
      </c>
      <c r="Q110" s="161">
        <f>'תקציב החברה לפיתוח 2022'!Q35</f>
        <v>0</v>
      </c>
      <c r="R110" s="161">
        <f>'תקציב החברה לפיתוח 2022'!R35</f>
        <v>0</v>
      </c>
      <c r="S110" s="161">
        <f>'תקציב החברה לפיתוח 2022'!S35</f>
        <v>0</v>
      </c>
      <c r="T110" s="161">
        <f>'תקציב החברה לפיתוח 2022'!T35</f>
        <v>0</v>
      </c>
      <c r="U110" s="161">
        <f>'תקציב החברה לפיתוח 2022'!U35</f>
        <v>0</v>
      </c>
      <c r="V110" s="161">
        <f>'תקציב החברה לפיתוח 2022'!V35</f>
        <v>0</v>
      </c>
      <c r="W110" s="161">
        <f>'תקציב החברה לפיתוח 2022'!W35</f>
        <v>0</v>
      </c>
      <c r="X110" s="161">
        <f>'תקציב החברה לפיתוח 2022'!X35</f>
        <v>0</v>
      </c>
      <c r="Y110" s="161">
        <f>'תקציב החברה לפיתוח 2022'!Y35</f>
        <v>0</v>
      </c>
      <c r="Z110" s="161">
        <f>'תקציב החברה לפיתוח 2022'!Z35</f>
        <v>0</v>
      </c>
      <c r="AA110" s="161">
        <f>'תקציב החברה לפיתוח 2022'!AA35</f>
        <v>0</v>
      </c>
      <c r="AB110" s="289" t="str">
        <f>'תקציב החברה לפיתוח 2022'!AB35</f>
        <v>התקנת קירוי קשיח במגרשי ספורט .</v>
      </c>
      <c r="AC110" s="160">
        <f>'תקציב החברה לפיתוח 2022'!AC35</f>
        <v>829000</v>
      </c>
      <c r="AD110" s="520" t="s">
        <v>1575</v>
      </c>
      <c r="AE110" s="157" t="s">
        <v>1576</v>
      </c>
      <c r="AF110" s="171"/>
      <c r="AG110" s="171"/>
      <c r="AH110" s="171"/>
      <c r="AI110" s="171"/>
      <c r="AJ110" s="171"/>
      <c r="AK110" s="171"/>
      <c r="AL110" s="171"/>
      <c r="AM110" s="266"/>
      <c r="AN110" s="160" t="s">
        <v>1577</v>
      </c>
      <c r="AO110" s="394"/>
      <c r="AP110" s="266" t="s">
        <v>1577</v>
      </c>
      <c r="AQ110" s="171"/>
      <c r="AR110" s="171"/>
      <c r="AS110" s="171"/>
      <c r="AT110" s="268"/>
      <c r="AU110" s="171"/>
      <c r="AV110" s="30"/>
      <c r="AW110" s="640"/>
      <c r="AX110" s="171"/>
      <c r="AY110" s="161"/>
      <c r="AZ110" s="161"/>
      <c r="BA110" s="638"/>
      <c r="BB110" s="638"/>
      <c r="BC110" s="161"/>
    </row>
    <row r="111" spans="1:55" s="5" customFormat="1" ht="45">
      <c r="A111" s="160">
        <f t="shared" si="8"/>
        <v>103</v>
      </c>
      <c r="B111" s="160">
        <f>'תקציב החברה לפיתוח 2022'!B37</f>
        <v>1921</v>
      </c>
      <c r="C111" s="289" t="str">
        <f>'תקציב החברה לפיתוח 2022'!C37</f>
        <v>עבודות הרחבה התאמה איצטדיון</v>
      </c>
      <c r="D111" s="161">
        <f>'תקציב החברה לפיתוח 2022'!D37</f>
        <v>9716000</v>
      </c>
      <c r="E111" s="160">
        <f>'תקציב החברה לפיתוח 2022'!E37</f>
        <v>9716000</v>
      </c>
      <c r="F111" s="160">
        <f>'תקציב החברה לפיתוח 2022'!F37</f>
        <v>0</v>
      </c>
      <c r="G111" s="160">
        <f>'תקציב החברה לפיתוח 2022'!G37</f>
        <v>9716000</v>
      </c>
      <c r="H111" s="160">
        <f>'תקציב החברה לפיתוח 2022'!H37</f>
        <v>8784692</v>
      </c>
      <c r="I111" s="160">
        <f>'תקציב החברה לפיתוח 2022'!I37</f>
        <v>0</v>
      </c>
      <c r="J111" s="160">
        <f>'תקציב החברה לפיתוח 2022'!J37</f>
        <v>530373</v>
      </c>
      <c r="K111" s="160">
        <f>'תקציב החברה לפיתוח 2022'!K37</f>
        <v>530373</v>
      </c>
      <c r="L111" s="161">
        <f>'תקציב החברה לפיתוח 2022'!L37</f>
        <v>9315065</v>
      </c>
      <c r="M111" s="161">
        <f>'תקציב החברה לפיתוח 2022'!M37</f>
        <v>400935</v>
      </c>
      <c r="N111" s="161">
        <f>'תקציב החברה לפיתוח 2022'!N37</f>
        <v>0</v>
      </c>
      <c r="O111" s="161">
        <f>'תקציב החברה לפיתוח 2022'!O37</f>
        <v>0</v>
      </c>
      <c r="P111" s="161">
        <f>'תקציב החברה לפיתוח 2022'!P37</f>
        <v>400935</v>
      </c>
      <c r="Q111" s="161">
        <f>'תקציב החברה לפיתוח 2022'!Q37</f>
        <v>0</v>
      </c>
      <c r="R111" s="161">
        <f>'תקציב החברה לפיתוח 2022'!R37</f>
        <v>0</v>
      </c>
      <c r="S111" s="161">
        <f>'תקציב החברה לפיתוח 2022'!S37</f>
        <v>0</v>
      </c>
      <c r="T111" s="161">
        <f>'תקציב החברה לפיתוח 2022'!T37</f>
        <v>0</v>
      </c>
      <c r="U111" s="161">
        <f>'תקציב החברה לפיתוח 2022'!U37</f>
        <v>0</v>
      </c>
      <c r="V111" s="161">
        <f>'תקציב החברה לפיתוח 2022'!V37</f>
        <v>0</v>
      </c>
      <c r="W111" s="161">
        <f>'תקציב החברה לפיתוח 2022'!W37</f>
        <v>0</v>
      </c>
      <c r="X111" s="161">
        <f>'תקציב החברה לפיתוח 2022'!X37</f>
        <v>0</v>
      </c>
      <c r="Y111" s="161">
        <f>'תקציב החברה לפיתוח 2022'!Y37</f>
        <v>0</v>
      </c>
      <c r="Z111" s="161">
        <f>'תקציב החברה לפיתוח 2022'!Z37</f>
        <v>0</v>
      </c>
      <c r="AA111" s="161">
        <f>'תקציב החברה לפיתוח 2022'!AA37</f>
        <v>0</v>
      </c>
      <c r="AB111" s="289" t="str">
        <f>'תקציב החברה לפיתוח 2022'!AB37</f>
        <v xml:space="preserve">העבודות:מבנים יבילים, טריבונות, ארונות שחקנים, עבודות בטיחות. </v>
      </c>
      <c r="AC111" s="160">
        <f>'תקציב החברה לפיתוח 2022'!AC37</f>
        <v>829000</v>
      </c>
      <c r="AD111" s="157"/>
      <c r="AE111" s="157"/>
      <c r="AF111" s="171"/>
      <c r="AG111" s="171"/>
      <c r="AH111" s="171"/>
      <c r="AI111" s="171"/>
      <c r="AJ111" s="171"/>
      <c r="AK111" s="171"/>
      <c r="AL111" s="171"/>
      <c r="AM111" s="266"/>
      <c r="AN111" s="277"/>
      <c r="AO111" s="394"/>
      <c r="AP111" s="171"/>
      <c r="AQ111" s="171"/>
      <c r="AR111" s="171"/>
      <c r="AS111" s="171"/>
      <c r="AT111" s="268"/>
      <c r="AU111" s="171"/>
      <c r="AV111" s="272"/>
      <c r="AW111" s="640"/>
      <c r="AX111" s="171"/>
      <c r="AY111" s="161"/>
      <c r="AZ111" s="161"/>
      <c r="BA111" s="638"/>
      <c r="BB111" s="638"/>
      <c r="BC111" s="161"/>
    </row>
    <row r="112" spans="1:55" s="5" customFormat="1" ht="61.15" customHeight="1">
      <c r="A112" s="160">
        <f t="shared" si="8"/>
        <v>104</v>
      </c>
      <c r="B112" s="160">
        <f>'תקציב החברה לפיתוח 2022'!B53</f>
        <v>2022</v>
      </c>
      <c r="C112" s="289" t="str">
        <f>'תקציב החברה לפיתוח 2022'!C53</f>
        <v xml:space="preserve">הקמת אולם ספורט הנגיד </v>
      </c>
      <c r="D112" s="161">
        <f>'תקציב החברה לפיתוח 2022'!D53</f>
        <v>14000000</v>
      </c>
      <c r="E112" s="160">
        <f>'תקציב החברה לפיתוח 2022'!E53</f>
        <v>14000000</v>
      </c>
      <c r="F112" s="160">
        <f>'תקציב החברה לפיתוח 2022'!F53</f>
        <v>0</v>
      </c>
      <c r="G112" s="160">
        <f>'תקציב החברה לפיתוח 2022'!G53</f>
        <v>12100000</v>
      </c>
      <c r="H112" s="160">
        <f>'תקציב החברה לפיתוח 2022'!H53</f>
        <v>4292387</v>
      </c>
      <c r="I112" s="160">
        <f>'תקציב החברה לפיתוח 2022'!I53</f>
        <v>0</v>
      </c>
      <c r="J112" s="160">
        <f>'תקציב החברה לפיתוח 2022'!J53</f>
        <v>730999</v>
      </c>
      <c r="K112" s="160">
        <f>'תקציב החברה לפיתוח 2022'!K53</f>
        <v>730999</v>
      </c>
      <c r="L112" s="161">
        <f>'תקציב החברה לפיתוח 2022'!L53</f>
        <v>5023386</v>
      </c>
      <c r="M112" s="161">
        <f>'תקציב החברה לפיתוח 2022'!M53</f>
        <v>8976614</v>
      </c>
      <c r="N112" s="161">
        <f>'תקציב החברה לפיתוח 2022'!N53</f>
        <v>0</v>
      </c>
      <c r="O112" s="161">
        <f>'תקציב החברה לפיתוח 2022'!O53</f>
        <v>0</v>
      </c>
      <c r="P112" s="161">
        <f>'תקציב החברה לפיתוח 2022'!P53</f>
        <v>7076614</v>
      </c>
      <c r="Q112" s="161">
        <f>'תקציב החברה לפיתוח 2022'!Q53</f>
        <v>1900000</v>
      </c>
      <c r="R112" s="161">
        <f>'תקציב החברה לפיתוח 2022'!R53</f>
        <v>0</v>
      </c>
      <c r="S112" s="161">
        <f>'תקציב החברה לפיתוח 2022'!S53</f>
        <v>1900000</v>
      </c>
      <c r="T112" s="161">
        <f>'תקציב החברה לפיתוח 2022'!T53</f>
        <v>0</v>
      </c>
      <c r="U112" s="161">
        <f>'תקציב החברה לפיתוח 2022'!U53</f>
        <v>0</v>
      </c>
      <c r="V112" s="161">
        <f>'תקציב החברה לפיתוח 2022'!V53</f>
        <v>0</v>
      </c>
      <c r="W112" s="161">
        <f>'תקציב החברה לפיתוח 2022'!W53</f>
        <v>0</v>
      </c>
      <c r="X112" s="161">
        <f>'תקציב החברה לפיתוח 2022'!X53</f>
        <v>0</v>
      </c>
      <c r="Y112" s="161">
        <f>'תקציב החברה לפיתוח 2022'!Y53</f>
        <v>0</v>
      </c>
      <c r="Z112" s="161">
        <f>'תקציב החברה לפיתוח 2022'!Z53</f>
        <v>0</v>
      </c>
      <c r="AA112" s="161">
        <f>'תקציב החברה לפיתוח 2022'!AA53</f>
        <v>0</v>
      </c>
      <c r="AB112" s="289" t="str">
        <f>'תקציב החברה לפיתוח 2022'!AB53</f>
        <v xml:space="preserve">עבודות הקמת אולם ספורט בנגיד  כולל הריסת אולמות ומקלט קיימים. </v>
      </c>
      <c r="AC112" s="160">
        <f>'תקציב החברה לפיתוח 2022'!AC53</f>
        <v>829000</v>
      </c>
      <c r="AD112" s="157"/>
      <c r="AE112" s="157"/>
      <c r="AF112" s="171"/>
      <c r="AG112" s="171"/>
      <c r="AH112" s="171"/>
      <c r="AI112" s="171"/>
      <c r="AJ112" s="171"/>
      <c r="AK112" s="160"/>
      <c r="AL112" s="160"/>
      <c r="AM112" s="266"/>
      <c r="AN112" s="277"/>
      <c r="AO112" s="394"/>
      <c r="AP112" s="266"/>
      <c r="AQ112" s="160"/>
      <c r="AR112" s="160"/>
      <c r="AS112" s="160" t="s">
        <v>1628</v>
      </c>
      <c r="AT112" s="268"/>
      <c r="AU112" s="160"/>
      <c r="AV112" s="272"/>
      <c r="AW112" s="638"/>
      <c r="AX112" s="160"/>
      <c r="AY112" s="161"/>
      <c r="AZ112" s="161"/>
      <c r="BA112" s="638"/>
      <c r="BB112" s="638"/>
      <c r="BC112" s="161"/>
    </row>
    <row r="113" spans="1:55" s="5" customFormat="1" ht="45.6" customHeight="1">
      <c r="A113" s="160">
        <f t="shared" si="8"/>
        <v>105</v>
      </c>
      <c r="B113" s="160">
        <f>'תקציב החברה לפיתוח 2022'!B56</f>
        <v>2064</v>
      </c>
      <c r="C113" s="289" t="str">
        <f>'תקציב החברה לפיתוח 2022'!C56</f>
        <v>שיפוץ אולם ספורט היובל</v>
      </c>
      <c r="D113" s="161">
        <f>'תקציב החברה לפיתוח 2022'!D56</f>
        <v>6281000</v>
      </c>
      <c r="E113" s="160">
        <f>'תקציב החברה לפיתוח 2022'!E56</f>
        <v>6281000</v>
      </c>
      <c r="F113" s="160">
        <f>'תקציב החברה לפיתוח 2022'!F56</f>
        <v>0</v>
      </c>
      <c r="G113" s="160">
        <f>'תקציב החברה לפיתוח 2022'!G56</f>
        <v>864000</v>
      </c>
      <c r="H113" s="160">
        <f>'תקציב החברה לפיתוח 2022'!H56</f>
        <v>833705</v>
      </c>
      <c r="I113" s="160">
        <f>'תקציב החברה לפיתוח 2022'!I56</f>
        <v>0</v>
      </c>
      <c r="J113" s="160">
        <f>'תקציב החברה לפיתוח 2022'!J56</f>
        <v>0</v>
      </c>
      <c r="K113" s="160">
        <f>'תקציב החברה לפיתוח 2022'!K56</f>
        <v>0</v>
      </c>
      <c r="L113" s="161">
        <f>'תקציב החברה לפיתוח 2022'!L56</f>
        <v>833705</v>
      </c>
      <c r="M113" s="161">
        <f>'תקציב החברה לפיתוח 2022'!M56</f>
        <v>30295</v>
      </c>
      <c r="N113" s="161">
        <f>'תקציב החברה לפיתוח 2022'!N56</f>
        <v>0</v>
      </c>
      <c r="O113" s="161">
        <f>'תקציב החברה לפיתוח 2022'!O56</f>
        <v>5417000</v>
      </c>
      <c r="P113" s="161">
        <f>'תקציב החברה לפיתוח 2022'!P56</f>
        <v>30295</v>
      </c>
      <c r="Q113" s="161">
        <f>'תקציב החברה לפיתוח 2022'!Q56</f>
        <v>0</v>
      </c>
      <c r="R113" s="161">
        <f>'תקציב החברה לפיתוח 2022'!R56</f>
        <v>0</v>
      </c>
      <c r="S113" s="161">
        <f>'תקציב החברה לפיתוח 2022'!S56</f>
        <v>0</v>
      </c>
      <c r="T113" s="161">
        <f>'תקציב החברה לפיתוח 2022'!T56</f>
        <v>0</v>
      </c>
      <c r="U113" s="161">
        <f>'תקציב החברה לפיתוח 2022'!U56</f>
        <v>0</v>
      </c>
      <c r="V113" s="161">
        <f>'תקציב החברה לפיתוח 2022'!V56</f>
        <v>0</v>
      </c>
      <c r="W113" s="161">
        <f>'תקציב החברה לפיתוח 2022'!W56</f>
        <v>0</v>
      </c>
      <c r="X113" s="161">
        <f>'תקציב החברה לפיתוח 2022'!X56</f>
        <v>0</v>
      </c>
      <c r="Y113" s="161">
        <f>'תקציב החברה לפיתוח 2022'!Y56</f>
        <v>0</v>
      </c>
      <c r="Z113" s="161">
        <f>'תקציב החברה לפיתוח 2022'!Z56</f>
        <v>0</v>
      </c>
      <c r="AA113" s="161">
        <f>'תקציב החברה לפיתוח 2022'!AA56</f>
        <v>0</v>
      </c>
      <c r="AB113" s="289" t="str">
        <f>'תקציב החברה לפיתוח 2022'!AB56</f>
        <v xml:space="preserve">שיפוץ אולם ספורט היובל כולל פיתוח המבואה והמתחם. </v>
      </c>
      <c r="AC113" s="160">
        <f>'תקציב החברה לפיתוח 2022'!AC56</f>
        <v>829000</v>
      </c>
      <c r="AD113" s="157"/>
      <c r="AE113" s="157" t="s">
        <v>1644</v>
      </c>
      <c r="AF113" s="171"/>
      <c r="AG113" s="171"/>
      <c r="AH113" s="171"/>
      <c r="AI113" s="171"/>
      <c r="AJ113" s="171"/>
      <c r="AK113" s="171"/>
      <c r="AL113" s="171"/>
      <c r="AM113" s="266"/>
      <c r="AN113" s="277"/>
      <c r="AO113" s="394"/>
      <c r="AP113" s="157" t="s">
        <v>1645</v>
      </c>
      <c r="AQ113" s="171" t="s">
        <v>1646</v>
      </c>
      <c r="AR113" s="160" t="s">
        <v>1647</v>
      </c>
      <c r="AS113" s="357" t="s">
        <v>1648</v>
      </c>
      <c r="AT113" s="519" t="s">
        <v>1321</v>
      </c>
      <c r="AU113" s="357" t="s">
        <v>1648</v>
      </c>
      <c r="AV113" s="357" t="s">
        <v>2171</v>
      </c>
      <c r="AW113" s="640"/>
      <c r="AX113" s="171"/>
      <c r="AY113" s="264">
        <v>-5000000</v>
      </c>
      <c r="AZ113" s="161"/>
      <c r="BA113" s="664">
        <v>0</v>
      </c>
      <c r="BB113" s="638">
        <f>BA113-N113</f>
        <v>0</v>
      </c>
      <c r="BC113" s="161"/>
    </row>
    <row r="114" spans="1:55" s="5" customFormat="1" ht="60">
      <c r="A114" s="160">
        <f t="shared" si="8"/>
        <v>106</v>
      </c>
      <c r="B114" s="160">
        <f>'תקציב החברה לפיתוח 2022'!B57</f>
        <v>2073</v>
      </c>
      <c r="C114" s="289" t="str">
        <f>'תקציב החברה לפיתוח 2022'!C57</f>
        <v xml:space="preserve">בי"ס ואולם ספורט ויצמן  </v>
      </c>
      <c r="D114" s="161">
        <f>'תקציב החברה לפיתוח 2022'!D57</f>
        <v>11350000</v>
      </c>
      <c r="E114" s="160">
        <f>'תקציב החברה לפיתוח 2022'!E57</f>
        <v>11350000</v>
      </c>
      <c r="F114" s="160">
        <f>'תקציב החברה לפיתוח 2022'!F57</f>
        <v>0</v>
      </c>
      <c r="G114" s="160">
        <f>'תקציב החברה לפיתוח 2022'!G57</f>
        <v>850000</v>
      </c>
      <c r="H114" s="160">
        <f>'תקציב החברה לפיתוח 2022'!H57</f>
        <v>31005</v>
      </c>
      <c r="I114" s="160">
        <f>'תקציב החברה לפיתוח 2022'!I57</f>
        <v>0</v>
      </c>
      <c r="J114" s="160">
        <f>'תקציב החברה לפיתוח 2022'!J57</f>
        <v>85995</v>
      </c>
      <c r="K114" s="160">
        <f>'תקציב החברה לפיתוח 2022'!K57</f>
        <v>85995</v>
      </c>
      <c r="L114" s="161">
        <f>'תקציב החברה לפיתוח 2022'!L57</f>
        <v>117000</v>
      </c>
      <c r="M114" s="161">
        <f>'תקציב החברה לפיתוח 2022'!M57</f>
        <v>1483000</v>
      </c>
      <c r="N114" s="161">
        <f>'תקציב החברה לפיתוח 2022'!N57</f>
        <v>0</v>
      </c>
      <c r="O114" s="161">
        <f>'תקציב החברה לפיתוח 2022'!O57</f>
        <v>9750000</v>
      </c>
      <c r="P114" s="161">
        <f>'תקציב החברה לפיתוח 2022'!P57</f>
        <v>733000</v>
      </c>
      <c r="Q114" s="161">
        <f>'תקציב החברה לפיתוח 2022'!Q57</f>
        <v>750000</v>
      </c>
      <c r="R114" s="161">
        <f>'תקציב החברה לפיתוח 2022'!R57</f>
        <v>0</v>
      </c>
      <c r="S114" s="161">
        <f>'תקציב החברה לפיתוח 2022'!S57</f>
        <v>750000</v>
      </c>
      <c r="T114" s="161">
        <f>'תקציב החברה לפיתוח 2022'!T57</f>
        <v>0</v>
      </c>
      <c r="U114" s="161">
        <f>'תקציב החברה לפיתוח 2022'!U57</f>
        <v>0</v>
      </c>
      <c r="V114" s="161">
        <f>'תקציב החברה לפיתוח 2022'!V57</f>
        <v>0</v>
      </c>
      <c r="W114" s="161">
        <f>'תקציב החברה לפיתוח 2022'!W57</f>
        <v>0</v>
      </c>
      <c r="X114" s="161">
        <f>'תקציב החברה לפיתוח 2022'!X57</f>
        <v>0</v>
      </c>
      <c r="Y114" s="161">
        <f>'תקציב החברה לפיתוח 2022'!Y57</f>
        <v>0</v>
      </c>
      <c r="Z114" s="161">
        <f>'תקציב החברה לפיתוח 2022'!Z57</f>
        <v>0</v>
      </c>
      <c r="AA114" s="161">
        <f>'תקציב החברה לפיתוח 2022'!AA57</f>
        <v>0</v>
      </c>
      <c r="AB114" s="289" t="str">
        <f>'תקציב החברה לפיתוח 2022'!AB57</f>
        <v xml:space="preserve">תוספת מבנה של 6 כיתות    ואולם ספורט חדש בבי"ס ויצמן. ב - 2022: תכנון. </v>
      </c>
      <c r="AC114" s="160">
        <f>'תקציב החברה לפיתוח 2022'!AC57</f>
        <v>829000</v>
      </c>
      <c r="AD114" s="157"/>
      <c r="AE114" s="157" t="s">
        <v>1650</v>
      </c>
      <c r="AF114" s="171"/>
      <c r="AG114" s="171"/>
      <c r="AH114" s="171"/>
      <c r="AI114" s="171"/>
      <c r="AJ114" s="171">
        <v>5</v>
      </c>
      <c r="AK114" s="171"/>
      <c r="AL114" s="171"/>
      <c r="AM114" s="266"/>
      <c r="AN114" s="277"/>
      <c r="AO114" s="394"/>
      <c r="AP114" s="157" t="s">
        <v>1650</v>
      </c>
      <c r="AQ114" s="171"/>
      <c r="AR114" s="160" t="s">
        <v>1633</v>
      </c>
      <c r="AS114" s="160"/>
      <c r="AT114" s="268"/>
      <c r="AU114" s="160" t="s">
        <v>1651</v>
      </c>
      <c r="AV114" s="272"/>
      <c r="AW114" s="640"/>
      <c r="AX114" s="171"/>
      <c r="AY114" s="161"/>
      <c r="AZ114" s="161"/>
      <c r="BA114" s="638"/>
      <c r="BB114" s="638"/>
      <c r="BC114" s="161"/>
    </row>
    <row r="115" spans="1:55" s="5" customFormat="1" ht="47.45" customHeight="1">
      <c r="A115" s="160">
        <f t="shared" si="8"/>
        <v>107</v>
      </c>
      <c r="B115" s="160">
        <f>'תקציב החברה לפיתוח 2022'!B81</f>
        <v>2153</v>
      </c>
      <c r="C115" s="289" t="str">
        <f>'תקציב החברה לפיתוח 2022'!C81</f>
        <v>הקמת ארנה</v>
      </c>
      <c r="D115" s="161">
        <f>'תקציב החברה לפיתוח 2022'!D81</f>
        <v>1000000</v>
      </c>
      <c r="E115" s="160">
        <f>'תקציב החברה לפיתוח 2022'!E81</f>
        <v>1000000</v>
      </c>
      <c r="F115" s="160">
        <f>'תקציב החברה לפיתוח 2022'!F81</f>
        <v>0</v>
      </c>
      <c r="G115" s="160">
        <f>'תקציב החברה לפיתוח 2022'!G81</f>
        <v>400000</v>
      </c>
      <c r="H115" s="160">
        <f>'תקציב החברה לפיתוח 2022'!H81</f>
        <v>223094</v>
      </c>
      <c r="I115" s="160">
        <f>'תקציב החברה לפיתוח 2022'!I81</f>
        <v>0</v>
      </c>
      <c r="J115" s="160">
        <f>'תקציב החברה לפיתוח 2022'!J81</f>
        <v>63498</v>
      </c>
      <c r="K115" s="160">
        <f>'תקציב החברה לפיתוח 2022'!K81</f>
        <v>63498</v>
      </c>
      <c r="L115" s="161">
        <f>'תקציב החברה לפיתוח 2022'!L81</f>
        <v>286592</v>
      </c>
      <c r="M115" s="161">
        <f>'תקציב החברה לפיתוח 2022'!M81</f>
        <v>713408</v>
      </c>
      <c r="N115" s="161">
        <f>'תקציב החברה לפיתוח 2022'!N81</f>
        <v>0</v>
      </c>
      <c r="O115" s="161">
        <f>'תקציב החברה לפיתוח 2022'!O81</f>
        <v>0</v>
      </c>
      <c r="P115" s="161">
        <f>'תקציב החברה לפיתוח 2022'!P81</f>
        <v>113408</v>
      </c>
      <c r="Q115" s="161">
        <f>'תקציב החברה לפיתוח 2022'!Q81</f>
        <v>600000</v>
      </c>
      <c r="R115" s="161">
        <f>'תקציב החברה לפיתוח 2022'!R81</f>
        <v>0</v>
      </c>
      <c r="S115" s="161">
        <f>'תקציב החברה לפיתוח 2022'!S81</f>
        <v>600000</v>
      </c>
      <c r="T115" s="161">
        <f>'תקציב החברה לפיתוח 2022'!T81</f>
        <v>0</v>
      </c>
      <c r="U115" s="161">
        <f>'תקציב החברה לפיתוח 2022'!U81</f>
        <v>0</v>
      </c>
      <c r="V115" s="161">
        <f>'תקציב החברה לפיתוח 2022'!V81</f>
        <v>0</v>
      </c>
      <c r="W115" s="161">
        <f>'תקציב החברה לפיתוח 2022'!W81</f>
        <v>0</v>
      </c>
      <c r="X115" s="161">
        <f>'תקציב החברה לפיתוח 2022'!X81</f>
        <v>0</v>
      </c>
      <c r="Y115" s="161">
        <f>'תקציב החברה לפיתוח 2022'!Y81</f>
        <v>0</v>
      </c>
      <c r="Z115" s="161">
        <f>'תקציב החברה לפיתוח 2022'!Z81</f>
        <v>0</v>
      </c>
      <c r="AA115" s="161">
        <f>'תקציב החברה לפיתוח 2022'!AA81</f>
        <v>0</v>
      </c>
      <c r="AB115" s="289" t="str">
        <f>'תקציב החברה לפיתוח 2022'!AB81</f>
        <v>המשך תכנון ראשוני הקמת ארנה באיזור האיצטדיון.</v>
      </c>
      <c r="AC115" s="160">
        <f>'תקציב החברה לפיתוח 2022'!AC81</f>
        <v>829000</v>
      </c>
      <c r="AD115" s="157"/>
      <c r="AE115" s="157"/>
      <c r="AF115" s="171"/>
      <c r="AG115" s="171"/>
      <c r="AH115" s="171"/>
      <c r="AI115" s="171"/>
      <c r="AJ115" s="171"/>
      <c r="AK115" s="3"/>
      <c r="AL115" s="3"/>
      <c r="AM115" s="3"/>
      <c r="AN115" s="277"/>
      <c r="AO115" s="394"/>
      <c r="AP115" s="157"/>
      <c r="AQ115" s="3"/>
      <c r="AR115" s="3"/>
      <c r="AS115" s="3"/>
      <c r="AT115" s="268"/>
      <c r="AU115" s="3"/>
      <c r="AV115" s="30"/>
      <c r="AW115" s="638"/>
      <c r="AX115" s="3"/>
      <c r="AY115" s="161"/>
      <c r="AZ115" s="161"/>
      <c r="BA115" s="638"/>
      <c r="BB115" s="638"/>
      <c r="BC115" s="161"/>
    </row>
    <row r="116" spans="1:55" s="5" customFormat="1" ht="75">
      <c r="A116" s="160">
        <f t="shared" si="8"/>
        <v>108</v>
      </c>
      <c r="B116" s="160">
        <f>'תקציב החברה לפיתוח 2022'!B94</f>
        <v>2203</v>
      </c>
      <c r="C116" s="289" t="str">
        <f>'תקציב החברה לפיתוח 2022'!C94</f>
        <v>אולם ספורט בי"ס יוחנני (*) עדכון ובניית כיתות וגנ"י</v>
      </c>
      <c r="D116" s="161">
        <f>'תקציב החברה לפיתוח 2022'!D94</f>
        <v>1000000</v>
      </c>
      <c r="E116" s="160">
        <f>'תקציב החברה לפיתוח 2022'!E94</f>
        <v>1000000</v>
      </c>
      <c r="F116" s="160">
        <f>'תקציב החברה לפיתוח 2022'!F94</f>
        <v>0</v>
      </c>
      <c r="G116" s="160">
        <f>'תקציב החברה לפיתוח 2022'!G94</f>
        <v>100000</v>
      </c>
      <c r="H116" s="160">
        <f>'תקציב החברה לפיתוח 2022'!H94</f>
        <v>0</v>
      </c>
      <c r="I116" s="160">
        <f>'תקציב החברה לפיתוח 2022'!I94</f>
        <v>0</v>
      </c>
      <c r="J116" s="160">
        <f>'תקציב החברה לפיתוח 2022'!J94</f>
        <v>0</v>
      </c>
      <c r="K116" s="160">
        <f>'תקציב החברה לפיתוח 2022'!K94</f>
        <v>0</v>
      </c>
      <c r="L116" s="161">
        <f>'תקציב החברה לפיתוח 2022'!L94</f>
        <v>0</v>
      </c>
      <c r="M116" s="161">
        <f>'תקציב החברה לפיתוח 2022'!M94</f>
        <v>1000000</v>
      </c>
      <c r="N116" s="161">
        <f>'תקציב החברה לפיתוח 2022'!N94</f>
        <v>0</v>
      </c>
      <c r="O116" s="161">
        <f>'תקציב החברה לפיתוח 2022'!O94</f>
        <v>0</v>
      </c>
      <c r="P116" s="161">
        <f>'תקציב החברה לפיתוח 2022'!P94</f>
        <v>100000</v>
      </c>
      <c r="Q116" s="161">
        <f>'תקציב החברה לפיתוח 2022'!Q94</f>
        <v>900000</v>
      </c>
      <c r="R116" s="161">
        <f>'תקציב החברה לפיתוח 2022'!R94</f>
        <v>0</v>
      </c>
      <c r="S116" s="161">
        <f>'תקציב החברה לפיתוח 2022'!S94</f>
        <v>900000</v>
      </c>
      <c r="T116" s="161">
        <f>'תקציב החברה לפיתוח 2022'!T94</f>
        <v>0</v>
      </c>
      <c r="U116" s="161">
        <f>'תקציב החברה לפיתוח 2022'!U94</f>
        <v>0</v>
      </c>
      <c r="V116" s="161">
        <f>'תקציב החברה לפיתוח 2022'!V94</f>
        <v>0</v>
      </c>
      <c r="W116" s="161">
        <f>'תקציב החברה לפיתוח 2022'!W94</f>
        <v>0</v>
      </c>
      <c r="X116" s="161">
        <f>'תקציב החברה לפיתוח 2022'!X94</f>
        <v>0</v>
      </c>
      <c r="Y116" s="161">
        <f>'תקציב החברה לפיתוח 2022'!Y94</f>
        <v>0</v>
      </c>
      <c r="Z116" s="161">
        <f>'תקציב החברה לפיתוח 2022'!Z94</f>
        <v>0</v>
      </c>
      <c r="AA116" s="161">
        <f>'תקציב החברה לפיתוח 2022'!AA94</f>
        <v>0</v>
      </c>
      <c r="AB116" s="289" t="str">
        <f>'תקציב החברה לפיתוח 2022'!AB94</f>
        <v xml:space="preserve">הריסת א. ספורט קיים, בנית חדש ובניית 6  כיתות לימוד ובניית 3 גנ"י במקום גן קיים אלה. </v>
      </c>
      <c r="AC116" s="160">
        <f>'תקציב החברה לפיתוח 2022'!AC94</f>
        <v>829000</v>
      </c>
      <c r="AD116" s="157"/>
      <c r="AE116" s="157" t="s">
        <v>1732</v>
      </c>
      <c r="AF116" s="3"/>
      <c r="AG116" s="171"/>
      <c r="AH116" s="171"/>
      <c r="AI116" s="171"/>
      <c r="AJ116" s="171">
        <v>5</v>
      </c>
      <c r="AK116" s="3"/>
      <c r="AL116" s="3"/>
      <c r="AM116" s="3"/>
      <c r="AN116" s="277"/>
      <c r="AO116" s="394"/>
      <c r="AP116" s="157" t="s">
        <v>1733</v>
      </c>
      <c r="AQ116" s="3"/>
      <c r="AR116" s="357" t="s">
        <v>1734</v>
      </c>
      <c r="AS116" s="357"/>
      <c r="AT116" s="268"/>
      <c r="AU116" s="357" t="s">
        <v>1735</v>
      </c>
      <c r="AV116" s="357"/>
      <c r="AW116" s="638"/>
      <c r="AX116" s="3"/>
      <c r="AY116" s="161"/>
      <c r="AZ116" s="161"/>
      <c r="BA116" s="664"/>
      <c r="BB116" s="638"/>
      <c r="BC116" s="161"/>
    </row>
    <row r="117" spans="1:55" s="271" customFormat="1" ht="75">
      <c r="A117" s="160">
        <f>A116+1</f>
        <v>109</v>
      </c>
      <c r="B117" s="160">
        <f>'תקציב החברה לפיתוח 2022'!B107</f>
        <v>20014</v>
      </c>
      <c r="C117" s="289" t="str">
        <f>'תקציב החברה לפיתוח 2022'!C107</f>
        <v>מתחם ספורט משותף במתחם אלתרמן</v>
      </c>
      <c r="D117" s="161">
        <f>'תקציב החברה לפיתוח 2022'!D107</f>
        <v>200000</v>
      </c>
      <c r="E117" s="160">
        <f>'תקציב החברה לפיתוח 2022'!E107</f>
        <v>0</v>
      </c>
      <c r="F117" s="160">
        <f>'תקציב החברה לפיתוח 2022'!F107</f>
        <v>200000</v>
      </c>
      <c r="G117" s="160">
        <f>'תקציב החברה לפיתוח 2022'!G107</f>
        <v>0</v>
      </c>
      <c r="H117" s="160">
        <f>'תקציב החברה לפיתוח 2022'!H107</f>
        <v>0</v>
      </c>
      <c r="I117" s="160">
        <f>'תקציב החברה לפיתוח 2022'!I107</f>
        <v>0</v>
      </c>
      <c r="J117" s="160">
        <f>'תקציב החברה לפיתוח 2022'!J107</f>
        <v>0</v>
      </c>
      <c r="K117" s="160">
        <f>'תקציב החברה לפיתוח 2022'!K107</f>
        <v>0</v>
      </c>
      <c r="L117" s="161">
        <f>'תקציב החברה לפיתוח 2022'!L107</f>
        <v>0</v>
      </c>
      <c r="M117" s="161">
        <f>'תקציב החברה לפיתוח 2022'!M107</f>
        <v>0</v>
      </c>
      <c r="N117" s="161">
        <f>'תקציב החברה לפיתוח 2022'!N107</f>
        <v>200000</v>
      </c>
      <c r="O117" s="161">
        <f>'תקציב החברה לפיתוח 2022'!O107</f>
        <v>0</v>
      </c>
      <c r="P117" s="161">
        <f>'תקציב החברה לפיתוח 2022'!P107</f>
        <v>0</v>
      </c>
      <c r="Q117" s="161">
        <f>'תקציב החברה לפיתוח 2022'!Q107</f>
        <v>0</v>
      </c>
      <c r="R117" s="161">
        <f>'תקציב החברה לפיתוח 2022'!R107</f>
        <v>0</v>
      </c>
      <c r="S117" s="161">
        <f>'תקציב החברה לפיתוח 2022'!S107</f>
        <v>0</v>
      </c>
      <c r="T117" s="161">
        <f>'תקציב החברה לפיתוח 2022'!T107</f>
        <v>0</v>
      </c>
      <c r="U117" s="161">
        <f>'תקציב החברה לפיתוח 2022'!U107</f>
        <v>200000</v>
      </c>
      <c r="V117" s="161">
        <f>'תקציב החברה לפיתוח 2022'!V107</f>
        <v>200000</v>
      </c>
      <c r="W117" s="161">
        <f>'תקציב החברה לפיתוח 2022'!W107</f>
        <v>0</v>
      </c>
      <c r="X117" s="161">
        <f>'תקציב החברה לפיתוח 2022'!X107</f>
        <v>0</v>
      </c>
      <c r="Y117" s="161">
        <f>'תקציב החברה לפיתוח 2022'!Y107</f>
        <v>0</v>
      </c>
      <c r="Z117" s="161">
        <f>'תקציב החברה לפיתוח 2022'!Z107</f>
        <v>0</v>
      </c>
      <c r="AA117" s="161">
        <f>'תקציב החברה לפיתוח 2022'!AA107</f>
        <v>0</v>
      </c>
      <c r="AB117" s="289" t="str">
        <f>'תקציב החברה לפיתוח 2022'!AB107</f>
        <v>מתחם ספורט משותף: אולם ומגרש ספורט לתיכון היובל, אולם ספורט לבי״ס נבון ואולם התעמלות מכשירים. ב - 2022: תכנון.</v>
      </c>
      <c r="AC117" s="160">
        <f>'תקציב החברה לפיתוח 2022'!AC107</f>
        <v>829000</v>
      </c>
      <c r="AD117" s="278"/>
      <c r="AE117" s="157" t="s">
        <v>1809</v>
      </c>
      <c r="AF117" s="374"/>
      <c r="AG117" s="3"/>
      <c r="AH117" s="3"/>
      <c r="AI117" s="3"/>
      <c r="AJ117" s="3"/>
      <c r="AK117" s="3"/>
      <c r="AL117" s="3"/>
      <c r="AM117" s="32" t="s">
        <v>1810</v>
      </c>
      <c r="AN117" s="3"/>
      <c r="AO117" s="3"/>
      <c r="AP117" s="3"/>
      <c r="AQ117" s="3"/>
      <c r="AR117" s="3"/>
      <c r="AS117" s="160" t="s">
        <v>1811</v>
      </c>
      <c r="AT117" s="3"/>
      <c r="AU117" s="160"/>
      <c r="AV117" s="3" t="s">
        <v>2178</v>
      </c>
      <c r="AW117" s="638"/>
      <c r="AX117" s="3"/>
      <c r="AY117" s="3"/>
      <c r="AZ117" s="3"/>
      <c r="BA117" s="660"/>
      <c r="BB117" s="638"/>
      <c r="BC117" s="161"/>
    </row>
    <row r="118" spans="1:55" s="271" customFormat="1" ht="30" customHeight="1">
      <c r="A118" s="160">
        <f>A117+1</f>
        <v>110</v>
      </c>
      <c r="B118" s="160">
        <f>'תקציב החברה לפיתוח 2022'!B108</f>
        <v>20015</v>
      </c>
      <c r="C118" s="289" t="str">
        <f>'תקציב החברה לפיתוח 2022'!C108</f>
        <v>מועדון קרמבו ים</v>
      </c>
      <c r="D118" s="161">
        <f>'תקציב החברה לפיתוח 2022'!D108</f>
        <v>2000000</v>
      </c>
      <c r="E118" s="160">
        <f>'תקציב החברה לפיתוח 2022'!E108</f>
        <v>0</v>
      </c>
      <c r="F118" s="160">
        <f>'תקציב החברה לפיתוח 2022'!F108</f>
        <v>2000000</v>
      </c>
      <c r="G118" s="160">
        <f>'תקציב החברה לפיתוח 2022'!G108</f>
        <v>0</v>
      </c>
      <c r="H118" s="160">
        <f>'תקציב החברה לפיתוח 2022'!H108</f>
        <v>0</v>
      </c>
      <c r="I118" s="160">
        <f>'תקציב החברה לפיתוח 2022'!I108</f>
        <v>0</v>
      </c>
      <c r="J118" s="160">
        <f>'תקציב החברה לפיתוח 2022'!J108</f>
        <v>0</v>
      </c>
      <c r="K118" s="160">
        <f>'תקציב החברה לפיתוח 2022'!K108</f>
        <v>0</v>
      </c>
      <c r="L118" s="161">
        <f>'תקציב החברה לפיתוח 2022'!L108</f>
        <v>0</v>
      </c>
      <c r="M118" s="161">
        <f>'תקציב החברה לפיתוח 2022'!M108</f>
        <v>0</v>
      </c>
      <c r="N118" s="161">
        <f>'תקציב החברה לפיתוח 2022'!N108</f>
        <v>1500000</v>
      </c>
      <c r="O118" s="161">
        <f>'תקציב החברה לפיתוח 2022'!O108</f>
        <v>500000</v>
      </c>
      <c r="P118" s="161">
        <f>'תקציב החברה לפיתוח 2022'!P108</f>
        <v>0</v>
      </c>
      <c r="Q118" s="161">
        <f>'תקציב החברה לפיתוח 2022'!Q108</f>
        <v>0</v>
      </c>
      <c r="R118" s="161">
        <f>'תקציב החברה לפיתוח 2022'!R108</f>
        <v>0</v>
      </c>
      <c r="S118" s="161">
        <f>'תקציב החברה לפיתוח 2022'!S108</f>
        <v>0</v>
      </c>
      <c r="T118" s="161">
        <f>'תקציב החברה לפיתוח 2022'!T108</f>
        <v>0</v>
      </c>
      <c r="U118" s="161">
        <f>'תקציב החברה לפיתוח 2022'!U108</f>
        <v>1500000</v>
      </c>
      <c r="V118" s="161">
        <f>'תקציב החברה לפיתוח 2022'!V108</f>
        <v>1500000</v>
      </c>
      <c r="W118" s="161">
        <f>'תקציב החברה לפיתוח 2022'!W108</f>
        <v>0</v>
      </c>
      <c r="X118" s="161">
        <f>'תקציב החברה לפיתוח 2022'!X108</f>
        <v>0</v>
      </c>
      <c r="Y118" s="161">
        <f>'תקציב החברה לפיתוח 2022'!Y108</f>
        <v>0</v>
      </c>
      <c r="Z118" s="161">
        <f>'תקציב החברה לפיתוח 2022'!Z108</f>
        <v>0</v>
      </c>
      <c r="AA118" s="161">
        <f>'תקציב החברה לפיתוח 2022'!AA108</f>
        <v>0</v>
      </c>
      <c r="AB118" s="289" t="str">
        <f>'תקציב החברה לפיתוח 2022'!AB108</f>
        <v>הריסה ובניה  חדשה של מועדון צופי ים.</v>
      </c>
      <c r="AC118" s="160">
        <f>'תקציב החברה לפיתוח 2022'!AC108</f>
        <v>829000</v>
      </c>
      <c r="AD118" s="374"/>
      <c r="AE118" s="374"/>
      <c r="AF118" s="374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 t="s">
        <v>1813</v>
      </c>
      <c r="AT118" s="524" t="s">
        <v>1814</v>
      </c>
      <c r="AU118" s="32" t="s">
        <v>1815</v>
      </c>
      <c r="AV118" s="30" t="s">
        <v>1815</v>
      </c>
      <c r="AW118" s="638"/>
      <c r="AX118" s="3"/>
      <c r="AY118" s="3"/>
      <c r="AZ118" s="3"/>
      <c r="BA118" s="638"/>
      <c r="BB118" s="638"/>
      <c r="BC118" s="161"/>
    </row>
    <row r="119" spans="1:55" s="301" customFormat="1" ht="25.15" customHeight="1">
      <c r="A119" s="266"/>
      <c r="B119" s="266"/>
      <c r="C119" s="368" t="s">
        <v>805</v>
      </c>
      <c r="D119" s="305">
        <f t="shared" ref="D119:AA119" si="9">SUM(D101:D118)</f>
        <v>270547000</v>
      </c>
      <c r="E119" s="305">
        <f t="shared" si="9"/>
        <v>289657000</v>
      </c>
      <c r="F119" s="305">
        <f t="shared" si="9"/>
        <v>-19110000</v>
      </c>
      <c r="G119" s="305">
        <f t="shared" si="9"/>
        <v>119904673</v>
      </c>
      <c r="H119" s="305">
        <f t="shared" si="9"/>
        <v>81455354</v>
      </c>
      <c r="I119" s="305">
        <f t="shared" si="9"/>
        <v>1828643</v>
      </c>
      <c r="J119" s="305">
        <f t="shared" si="9"/>
        <v>8624291</v>
      </c>
      <c r="K119" s="305">
        <f t="shared" si="9"/>
        <v>10452934</v>
      </c>
      <c r="L119" s="305">
        <f t="shared" si="9"/>
        <v>91908288</v>
      </c>
      <c r="M119" s="305">
        <f t="shared" si="9"/>
        <v>62446385</v>
      </c>
      <c r="N119" s="305">
        <f t="shared" si="9"/>
        <v>32837327</v>
      </c>
      <c r="O119" s="305">
        <f t="shared" si="9"/>
        <v>83355000</v>
      </c>
      <c r="P119" s="305">
        <f t="shared" si="9"/>
        <v>27996385</v>
      </c>
      <c r="Q119" s="305">
        <f t="shared" si="9"/>
        <v>34450000</v>
      </c>
      <c r="R119" s="305">
        <f t="shared" si="9"/>
        <v>0</v>
      </c>
      <c r="S119" s="305">
        <f t="shared" si="9"/>
        <v>34450000</v>
      </c>
      <c r="T119" s="305">
        <f t="shared" si="9"/>
        <v>0</v>
      </c>
      <c r="U119" s="305">
        <f t="shared" si="9"/>
        <v>32837327</v>
      </c>
      <c r="V119" s="305">
        <f t="shared" si="9"/>
        <v>30837327</v>
      </c>
      <c r="W119" s="305">
        <f t="shared" si="9"/>
        <v>0</v>
      </c>
      <c r="X119" s="305">
        <f t="shared" si="9"/>
        <v>0</v>
      </c>
      <c r="Y119" s="305">
        <f t="shared" si="9"/>
        <v>0</v>
      </c>
      <c r="Z119" s="305">
        <f t="shared" si="9"/>
        <v>0</v>
      </c>
      <c r="AA119" s="305">
        <f t="shared" si="9"/>
        <v>2000000</v>
      </c>
      <c r="AB119" s="368"/>
      <c r="AC119" s="266"/>
      <c r="AD119" s="797"/>
      <c r="AE119" s="797"/>
      <c r="AF119" s="797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798"/>
      <c r="AU119" s="32"/>
      <c r="AV119" s="32"/>
      <c r="AW119" s="663"/>
      <c r="AX119" s="32"/>
      <c r="AY119" s="32"/>
      <c r="AZ119" s="32"/>
      <c r="BA119" s="663"/>
      <c r="BB119" s="663"/>
      <c r="BC119" s="305"/>
    </row>
    <row r="120" spans="1:55" s="271" customFormat="1" ht="45">
      <c r="A120" s="160">
        <f>A118+1</f>
        <v>111</v>
      </c>
      <c r="B120" s="160">
        <f>'תקציב החברה לפיתוח 2022'!B60</f>
        <v>2079</v>
      </c>
      <c r="C120" s="289" t="str">
        <f>'תקציב החברה לפיתוח 2022'!C60</f>
        <v>שיפוץ בית הורים</v>
      </c>
      <c r="D120" s="161">
        <f>'תקציב החברה לפיתוח 2022'!D60</f>
        <v>3100000</v>
      </c>
      <c r="E120" s="160">
        <f>'תקציב החברה לפיתוח 2022'!E60</f>
        <v>3100000</v>
      </c>
      <c r="F120" s="160">
        <f>'תקציב החברה לפיתוח 2022'!F60</f>
        <v>0</v>
      </c>
      <c r="G120" s="160">
        <f>'תקציב החברה לפיתוח 2022'!G60</f>
        <v>1700000</v>
      </c>
      <c r="H120" s="160">
        <f>'תקציב החברה לפיתוח 2022'!H60</f>
        <v>762647</v>
      </c>
      <c r="I120" s="160">
        <f>'תקציב החברה לפיתוח 2022'!I60</f>
        <v>0</v>
      </c>
      <c r="J120" s="160">
        <f>'תקציב החברה לפיתוח 2022'!J60</f>
        <v>64605</v>
      </c>
      <c r="K120" s="160">
        <f>'תקציב החברה לפיתוח 2022'!K60</f>
        <v>64605</v>
      </c>
      <c r="L120" s="161">
        <f>'תקציב החברה לפיתוח 2022'!L60</f>
        <v>827252</v>
      </c>
      <c r="M120" s="161">
        <f>'תקציב החברה לפיתוח 2022'!M60</f>
        <v>2272748</v>
      </c>
      <c r="N120" s="161">
        <f>'תקציב החברה לפיתוח 2022'!N60</f>
        <v>0</v>
      </c>
      <c r="O120" s="161">
        <f>'תקציב החברה לפיתוח 2022'!O60</f>
        <v>0</v>
      </c>
      <c r="P120" s="161">
        <f>'תקציב החברה לפיתוח 2022'!P60</f>
        <v>872748</v>
      </c>
      <c r="Q120" s="161">
        <f>'תקציב החברה לפיתוח 2022'!Q60</f>
        <v>1400000</v>
      </c>
      <c r="R120" s="161">
        <f>'תקציב החברה לפיתוח 2022'!R60</f>
        <v>0</v>
      </c>
      <c r="S120" s="161">
        <f>'תקציב החברה לפיתוח 2022'!S60</f>
        <v>1400000</v>
      </c>
      <c r="T120" s="161">
        <f>'תקציב החברה לפיתוח 2022'!T60</f>
        <v>0</v>
      </c>
      <c r="U120" s="161">
        <f>'תקציב החברה לפיתוח 2022'!U60</f>
        <v>0</v>
      </c>
      <c r="V120" s="161">
        <f>'תקציב החברה לפיתוח 2022'!V60</f>
        <v>0</v>
      </c>
      <c r="W120" s="161">
        <f>'תקציב החברה לפיתוח 2022'!W60</f>
        <v>0</v>
      </c>
      <c r="X120" s="161">
        <f>'תקציב החברה לפיתוח 2022'!X60</f>
        <v>0</v>
      </c>
      <c r="Y120" s="161">
        <f>'תקציב החברה לפיתוח 2022'!Y60</f>
        <v>0</v>
      </c>
      <c r="Z120" s="161">
        <f>'תקציב החברה לפיתוח 2022'!Z60</f>
        <v>0</v>
      </c>
      <c r="AA120" s="161">
        <f>'תקציב החברה לפיתוח 2022'!AA60</f>
        <v>0</v>
      </c>
      <c r="AB120" s="289" t="str">
        <f>'תקציב החברה לפיתוח 2022'!AB60</f>
        <v xml:space="preserve">עבודות שיפוץ בית ההורים ברחוב אנה פרנק. עבודות שדרוג ושיפוץ כללי. </v>
      </c>
      <c r="AC120" s="160">
        <f>'תקציב החברה לפיתוח 2022'!AC60</f>
        <v>840000</v>
      </c>
      <c r="AD120" s="157"/>
      <c r="AE120" s="157"/>
      <c r="AF120" s="171"/>
      <c r="AG120" s="171"/>
      <c r="AH120" s="171"/>
      <c r="AI120" s="171"/>
      <c r="AJ120" s="171"/>
      <c r="AK120" s="171"/>
      <c r="AL120" s="171"/>
      <c r="AM120" s="266"/>
      <c r="AN120" s="277"/>
      <c r="AO120" s="160"/>
      <c r="AP120" s="157"/>
      <c r="AQ120" s="171"/>
      <c r="AR120" s="171"/>
      <c r="AS120" s="171"/>
      <c r="AT120" s="268"/>
      <c r="AU120" s="171"/>
      <c r="AV120" s="633"/>
      <c r="AW120" s="640"/>
      <c r="AX120" s="171"/>
      <c r="AY120" s="161"/>
      <c r="AZ120" s="161"/>
      <c r="BA120" s="640"/>
      <c r="BB120" s="638"/>
      <c r="BC120" s="161"/>
    </row>
    <row r="121" spans="1:55" s="164" customFormat="1" ht="56.45" customHeight="1">
      <c r="A121" s="160">
        <f>A120+1</f>
        <v>112</v>
      </c>
      <c r="B121" s="160">
        <f>'תקציב החברה לפיתוח 2022'!B63</f>
        <v>2101</v>
      </c>
      <c r="C121" s="289" t="str">
        <f>'תקציב החברה לפיתוח 2022'!C63</f>
        <v xml:space="preserve">מעון לאנשים עם מוגבלויות -  ביד התשעה </v>
      </c>
      <c r="D121" s="161">
        <f>'תקציב החברה לפיתוח 2022'!D63</f>
        <v>24200000</v>
      </c>
      <c r="E121" s="160">
        <f>'תקציב החברה לפיתוח 2022'!E63</f>
        <v>24200000</v>
      </c>
      <c r="F121" s="160">
        <f>'תקציב החברה לפיתוח 2022'!F63</f>
        <v>0</v>
      </c>
      <c r="G121" s="160">
        <f>'תקציב החברה לפיתוח 2022'!G63</f>
        <v>1500000</v>
      </c>
      <c r="H121" s="160">
        <f>'תקציב החברה לפיתוח 2022'!H63</f>
        <v>14882</v>
      </c>
      <c r="I121" s="160">
        <f>'תקציב החברה לפיתוח 2022'!I63</f>
        <v>0</v>
      </c>
      <c r="J121" s="160">
        <f>'תקציב החברה לפיתוח 2022'!J63</f>
        <v>202773</v>
      </c>
      <c r="K121" s="160">
        <f>'תקציב החברה לפיתוח 2022'!K63</f>
        <v>202773</v>
      </c>
      <c r="L121" s="161">
        <f>'תקציב החברה לפיתוח 2022'!L63</f>
        <v>217655</v>
      </c>
      <c r="M121" s="161">
        <f>'תקציב החברה לפיתוח 2022'!M63</f>
        <v>1282345</v>
      </c>
      <c r="N121" s="161">
        <f>'תקציב החברה לפיתוח 2022'!N63</f>
        <v>0</v>
      </c>
      <c r="O121" s="161">
        <f>'תקציב החברה לפיתוח 2022'!O63</f>
        <v>22700000</v>
      </c>
      <c r="P121" s="161">
        <f>'תקציב החברה לפיתוח 2022'!P63</f>
        <v>1282345</v>
      </c>
      <c r="Q121" s="161">
        <f>'תקציב החברה לפיתוח 2022'!Q63</f>
        <v>0</v>
      </c>
      <c r="R121" s="161">
        <f>'תקציב החברה לפיתוח 2022'!R63</f>
        <v>0</v>
      </c>
      <c r="S121" s="161">
        <f>'תקציב החברה לפיתוח 2022'!S63</f>
        <v>0</v>
      </c>
      <c r="T121" s="161">
        <f>'תקציב החברה לפיתוח 2022'!T63</f>
        <v>0</v>
      </c>
      <c r="U121" s="161">
        <f>'תקציב החברה לפיתוח 2022'!U63</f>
        <v>0</v>
      </c>
      <c r="V121" s="161">
        <f>'תקציב החברה לפיתוח 2022'!V63</f>
        <v>0</v>
      </c>
      <c r="W121" s="161">
        <f>'תקציב החברה לפיתוח 2022'!W63</f>
        <v>0</v>
      </c>
      <c r="X121" s="161">
        <f>'תקציב החברה לפיתוח 2022'!X63</f>
        <v>0</v>
      </c>
      <c r="Y121" s="161">
        <f>'תקציב החברה לפיתוח 2022'!Y63</f>
        <v>0</v>
      </c>
      <c r="Z121" s="161">
        <f>'תקציב החברה לפיתוח 2022'!Z63</f>
        <v>0</v>
      </c>
      <c r="AA121" s="161">
        <f>'תקציב החברה לפיתוח 2022'!AA63</f>
        <v>0</v>
      </c>
      <c r="AB121" s="289" t="str">
        <f>'תקציב החברה לפיתוח 2022'!AB63</f>
        <v>תכנון ראשוני הקמת מעון לאנשים עם מוגבלויות ביד התשעה.</v>
      </c>
      <c r="AC121" s="160">
        <f>'תקציב החברה לפיתוח 2022'!AC63</f>
        <v>840000</v>
      </c>
      <c r="AD121" s="157" t="s">
        <v>1539</v>
      </c>
      <c r="AE121" s="157" t="s">
        <v>1539</v>
      </c>
      <c r="AF121" s="171"/>
      <c r="AG121" s="171"/>
      <c r="AH121" s="171"/>
      <c r="AI121" s="171"/>
      <c r="AJ121" s="171"/>
      <c r="AK121" s="171"/>
      <c r="AL121" s="171"/>
      <c r="AM121" s="266"/>
      <c r="AN121" s="277"/>
      <c r="AO121" s="160"/>
      <c r="AP121" s="157" t="s">
        <v>1539</v>
      </c>
      <c r="AQ121" s="171"/>
      <c r="AR121" s="3" t="s">
        <v>1540</v>
      </c>
      <c r="AS121" s="3" t="s">
        <v>1661</v>
      </c>
      <c r="AT121" s="519" t="s">
        <v>1662</v>
      </c>
      <c r="AU121" s="3" t="s">
        <v>1663</v>
      </c>
      <c r="AV121" s="3" t="s">
        <v>2173</v>
      </c>
      <c r="AW121" s="640"/>
      <c r="AX121" s="171"/>
      <c r="AY121" s="161"/>
      <c r="AZ121" s="161"/>
      <c r="BA121" s="660"/>
      <c r="BB121" s="638"/>
      <c r="BC121" s="161"/>
    </row>
    <row r="122" spans="1:55" s="293" customFormat="1" ht="25.15" customHeight="1">
      <c r="A122" s="266"/>
      <c r="B122" s="266"/>
      <c r="C122" s="368" t="s">
        <v>806</v>
      </c>
      <c r="D122" s="305">
        <f>SUM(D120:D121)</f>
        <v>27300000</v>
      </c>
      <c r="E122" s="305">
        <f t="shared" ref="E122:AA122" si="10">SUM(E120:E121)</f>
        <v>27300000</v>
      </c>
      <c r="F122" s="305">
        <f t="shared" si="10"/>
        <v>0</v>
      </c>
      <c r="G122" s="305">
        <f t="shared" si="10"/>
        <v>3200000</v>
      </c>
      <c r="H122" s="305">
        <f t="shared" si="10"/>
        <v>777529</v>
      </c>
      <c r="I122" s="305">
        <f t="shared" si="10"/>
        <v>0</v>
      </c>
      <c r="J122" s="305">
        <f t="shared" si="10"/>
        <v>267378</v>
      </c>
      <c r="K122" s="305">
        <f t="shared" si="10"/>
        <v>267378</v>
      </c>
      <c r="L122" s="305">
        <f t="shared" si="10"/>
        <v>1044907</v>
      </c>
      <c r="M122" s="305">
        <f t="shared" si="10"/>
        <v>3555093</v>
      </c>
      <c r="N122" s="305">
        <f t="shared" si="10"/>
        <v>0</v>
      </c>
      <c r="O122" s="305">
        <f t="shared" si="10"/>
        <v>22700000</v>
      </c>
      <c r="P122" s="305">
        <f t="shared" si="10"/>
        <v>2155093</v>
      </c>
      <c r="Q122" s="305">
        <f t="shared" si="10"/>
        <v>1400000</v>
      </c>
      <c r="R122" s="305">
        <f t="shared" si="10"/>
        <v>0</v>
      </c>
      <c r="S122" s="305">
        <f t="shared" si="10"/>
        <v>1400000</v>
      </c>
      <c r="T122" s="305">
        <f t="shared" si="10"/>
        <v>0</v>
      </c>
      <c r="U122" s="305">
        <f t="shared" si="10"/>
        <v>0</v>
      </c>
      <c r="V122" s="305">
        <f t="shared" si="10"/>
        <v>0</v>
      </c>
      <c r="W122" s="305">
        <f t="shared" si="10"/>
        <v>0</v>
      </c>
      <c r="X122" s="305">
        <f t="shared" si="10"/>
        <v>0</v>
      </c>
      <c r="Y122" s="305">
        <f t="shared" si="10"/>
        <v>0</v>
      </c>
      <c r="Z122" s="305">
        <f t="shared" si="10"/>
        <v>0</v>
      </c>
      <c r="AA122" s="305">
        <f t="shared" si="10"/>
        <v>0</v>
      </c>
      <c r="AB122" s="368"/>
      <c r="AC122" s="266"/>
      <c r="AD122" s="306"/>
      <c r="AE122" s="306"/>
      <c r="AF122" s="514"/>
      <c r="AG122" s="514"/>
      <c r="AH122" s="514"/>
      <c r="AI122" s="514"/>
      <c r="AJ122" s="514"/>
      <c r="AK122" s="514"/>
      <c r="AL122" s="514"/>
      <c r="AM122" s="266"/>
      <c r="AN122" s="515"/>
      <c r="AO122" s="266"/>
      <c r="AP122" s="306"/>
      <c r="AQ122" s="514"/>
      <c r="AR122" s="32"/>
      <c r="AS122" s="32"/>
      <c r="AT122" s="796"/>
      <c r="AU122" s="32"/>
      <c r="AV122" s="32"/>
      <c r="AW122" s="799"/>
      <c r="AX122" s="514"/>
      <c r="AY122" s="305"/>
      <c r="AZ122" s="305"/>
      <c r="BA122" s="663"/>
      <c r="BB122" s="663"/>
      <c r="BC122" s="305"/>
    </row>
    <row r="123" spans="1:55" ht="55.9" customHeight="1">
      <c r="A123" s="160">
        <f>A121+1</f>
        <v>113</v>
      </c>
      <c r="B123" s="160">
        <f>'תקציב החברה לפיתוח 2022'!B65</f>
        <v>2103</v>
      </c>
      <c r="C123" s="289" t="str">
        <f>'תקציב החברה לפיתוח 2022'!C65</f>
        <v xml:space="preserve">שדרוג המרחב הציבורי באיזור התעשיה </v>
      </c>
      <c r="D123" s="161">
        <f>'תקציב החברה לפיתוח 2022'!D65</f>
        <v>4200000</v>
      </c>
      <c r="E123" s="160">
        <f>'תקציב החברה לפיתוח 2022'!E65</f>
        <v>2500000</v>
      </c>
      <c r="F123" s="160">
        <f>'תקציב החברה לפיתוח 2022'!F65</f>
        <v>1700000</v>
      </c>
      <c r="G123" s="160">
        <f>'תקציב החברה לפיתוח 2022'!G65</f>
        <v>1000000</v>
      </c>
      <c r="H123" s="160">
        <f>'תקציב החברה לפיתוח 2022'!H65</f>
        <v>317595</v>
      </c>
      <c r="I123" s="160">
        <f>'תקציב החברה לפיתוח 2022'!I65</f>
        <v>0</v>
      </c>
      <c r="J123" s="160">
        <f>'תקציב החברה לפיתוח 2022'!J65</f>
        <v>532970</v>
      </c>
      <c r="K123" s="160">
        <f>'תקציב החברה לפיתוח 2022'!K65</f>
        <v>532970</v>
      </c>
      <c r="L123" s="161">
        <f>'תקציב החברה לפיתוח 2022'!L65</f>
        <v>850565</v>
      </c>
      <c r="M123" s="161">
        <f>'תקציב החברה לפיתוח 2022'!M65</f>
        <v>149435</v>
      </c>
      <c r="N123" s="161">
        <f>'תקציב החברה לפיתוח 2022'!N65</f>
        <v>1500000</v>
      </c>
      <c r="O123" s="161">
        <f>'תקציב החברה לפיתוח 2022'!O65</f>
        <v>1700000</v>
      </c>
      <c r="P123" s="161">
        <f>'תקציב החברה לפיתוח 2022'!P65</f>
        <v>149435</v>
      </c>
      <c r="Q123" s="161">
        <f>'תקציב החברה לפיתוח 2022'!Q65</f>
        <v>0</v>
      </c>
      <c r="R123" s="161">
        <f>'תקציב החברה לפיתוח 2022'!R65</f>
        <v>0</v>
      </c>
      <c r="S123" s="161">
        <f>'תקציב החברה לפיתוח 2022'!S65</f>
        <v>0</v>
      </c>
      <c r="T123" s="161">
        <f>'תקציב החברה לפיתוח 2022'!T65</f>
        <v>0</v>
      </c>
      <c r="U123" s="161">
        <f>'תקציב החברה לפיתוח 2022'!U65</f>
        <v>1500000</v>
      </c>
      <c r="V123" s="161">
        <f>'תקציב החברה לפיתוח 2022'!V65</f>
        <v>0</v>
      </c>
      <c r="W123" s="161">
        <f>'תקציב החברה לפיתוח 2022'!W65</f>
        <v>1500000</v>
      </c>
      <c r="X123" s="161">
        <f>'תקציב החברה לפיתוח 2022'!X65</f>
        <v>0</v>
      </c>
      <c r="Y123" s="161">
        <f>'תקציב החברה לפיתוח 2022'!Y65</f>
        <v>0</v>
      </c>
      <c r="Z123" s="161">
        <f>'תקציב החברה לפיתוח 2022'!Z65</f>
        <v>0</v>
      </c>
      <c r="AA123" s="161">
        <f>'תקציב החברה לפיתוח 2022'!AA65</f>
        <v>0</v>
      </c>
      <c r="AB123" s="289" t="str">
        <f>'תקציב החברה לפיתוח 2022'!AB65</f>
        <v>סל עבודות לשדרוג במרחב הציבורי קירצוף וריבוד באיזור התעשיה.</v>
      </c>
      <c r="AC123" s="160">
        <f>'תקציב החברה לפיתוח 2022'!AC65</f>
        <v>848000</v>
      </c>
      <c r="AD123" s="157"/>
      <c r="AE123" s="157" t="s">
        <v>1666</v>
      </c>
      <c r="AF123" s="171"/>
      <c r="AG123" s="171"/>
      <c r="AH123" s="171"/>
      <c r="AI123" s="171"/>
      <c r="AJ123" s="171"/>
      <c r="AK123" s="171"/>
      <c r="AL123" s="171"/>
      <c r="AM123" s="266"/>
      <c r="AN123" s="277"/>
      <c r="AO123" s="160"/>
      <c r="AP123" s="157" t="s">
        <v>1667</v>
      </c>
      <c r="AQ123" s="171"/>
      <c r="AR123" s="160" t="s">
        <v>998</v>
      </c>
      <c r="AS123" s="160"/>
      <c r="AT123" s="268"/>
      <c r="AU123" s="160"/>
      <c r="AV123" s="272" t="s">
        <v>2174</v>
      </c>
      <c r="AW123" s="640"/>
      <c r="AX123" s="171"/>
      <c r="AY123" s="161">
        <v>-500000</v>
      </c>
      <c r="AZ123" s="161">
        <v>-500000</v>
      </c>
      <c r="BA123" s="638"/>
      <c r="BB123" s="638"/>
      <c r="BC123" s="161"/>
    </row>
    <row r="124" spans="1:55" s="301" customFormat="1" ht="25.15" customHeight="1">
      <c r="A124" s="266"/>
      <c r="B124" s="266"/>
      <c r="C124" s="368" t="s">
        <v>812</v>
      </c>
      <c r="D124" s="305">
        <f>SUM(D123)</f>
        <v>4200000</v>
      </c>
      <c r="E124" s="305">
        <f t="shared" ref="E124:AA124" si="11">SUM(E123)</f>
        <v>2500000</v>
      </c>
      <c r="F124" s="305">
        <f t="shared" si="11"/>
        <v>1700000</v>
      </c>
      <c r="G124" s="305">
        <f t="shared" si="11"/>
        <v>1000000</v>
      </c>
      <c r="H124" s="305">
        <f t="shared" si="11"/>
        <v>317595</v>
      </c>
      <c r="I124" s="305">
        <f t="shared" si="11"/>
        <v>0</v>
      </c>
      <c r="J124" s="305">
        <f t="shared" si="11"/>
        <v>532970</v>
      </c>
      <c r="K124" s="305">
        <f t="shared" si="11"/>
        <v>532970</v>
      </c>
      <c r="L124" s="305">
        <f t="shared" si="11"/>
        <v>850565</v>
      </c>
      <c r="M124" s="305">
        <f t="shared" si="11"/>
        <v>149435</v>
      </c>
      <c r="N124" s="305">
        <f t="shared" si="11"/>
        <v>1500000</v>
      </c>
      <c r="O124" s="305">
        <f t="shared" si="11"/>
        <v>1700000</v>
      </c>
      <c r="P124" s="305">
        <f t="shared" si="11"/>
        <v>149435</v>
      </c>
      <c r="Q124" s="305">
        <f t="shared" si="11"/>
        <v>0</v>
      </c>
      <c r="R124" s="305">
        <f t="shared" si="11"/>
        <v>0</v>
      </c>
      <c r="S124" s="305">
        <f t="shared" si="11"/>
        <v>0</v>
      </c>
      <c r="T124" s="305">
        <f t="shared" si="11"/>
        <v>0</v>
      </c>
      <c r="U124" s="305">
        <f t="shared" si="11"/>
        <v>1500000</v>
      </c>
      <c r="V124" s="305">
        <f t="shared" si="11"/>
        <v>0</v>
      </c>
      <c r="W124" s="305">
        <f t="shared" si="11"/>
        <v>1500000</v>
      </c>
      <c r="X124" s="305">
        <f t="shared" si="11"/>
        <v>0</v>
      </c>
      <c r="Y124" s="305">
        <f t="shared" si="11"/>
        <v>0</v>
      </c>
      <c r="Z124" s="305">
        <f t="shared" si="11"/>
        <v>0</v>
      </c>
      <c r="AA124" s="305">
        <f t="shared" si="11"/>
        <v>0</v>
      </c>
      <c r="AB124" s="368"/>
      <c r="AC124" s="266"/>
      <c r="AD124" s="306"/>
      <c r="AE124" s="306"/>
      <c r="AF124" s="514"/>
      <c r="AG124" s="514"/>
      <c r="AH124" s="514"/>
      <c r="AI124" s="514"/>
      <c r="AJ124" s="514"/>
      <c r="AK124" s="514"/>
      <c r="AL124" s="514"/>
      <c r="AM124" s="266"/>
      <c r="AN124" s="515"/>
      <c r="AO124" s="266"/>
      <c r="AP124" s="306"/>
      <c r="AQ124" s="514"/>
      <c r="AR124" s="266"/>
      <c r="AS124" s="266"/>
      <c r="AT124" s="306"/>
      <c r="AU124" s="266"/>
      <c r="AV124" s="266"/>
      <c r="AW124" s="799"/>
      <c r="AX124" s="514"/>
      <c r="AY124" s="305"/>
      <c r="AZ124" s="305"/>
      <c r="BA124" s="663"/>
      <c r="BB124" s="663"/>
      <c r="BC124" s="305"/>
    </row>
    <row r="125" spans="1:55" s="164" customFormat="1" ht="30" customHeight="1">
      <c r="A125" s="160">
        <f>A123+1</f>
        <v>114</v>
      </c>
      <c r="B125" s="160">
        <f>'תקציב החברה לפיתוח 2022'!B52</f>
        <v>2021</v>
      </c>
      <c r="C125" s="289" t="str">
        <f>'תקציב החברה לפיתוח 2022'!C52</f>
        <v>ביכנ"ס מקדש מלך</v>
      </c>
      <c r="D125" s="161">
        <f>'תקציב החברה לפיתוח 2022'!D52</f>
        <v>8200000</v>
      </c>
      <c r="E125" s="160">
        <f>'תקציב החברה לפיתוח 2022'!E52</f>
        <v>8200000</v>
      </c>
      <c r="F125" s="160">
        <f>'תקציב החברה לפיתוח 2022'!F52</f>
        <v>0</v>
      </c>
      <c r="G125" s="160">
        <f>'תקציב החברה לפיתוח 2022'!G52</f>
        <v>150000</v>
      </c>
      <c r="H125" s="160">
        <f>'תקציב החברה לפיתוח 2022'!H52</f>
        <v>40865</v>
      </c>
      <c r="I125" s="160">
        <f>'תקציב החברה לפיתוח 2022'!I52</f>
        <v>0</v>
      </c>
      <c r="J125" s="160">
        <f>'תקציב החברה לפיתוח 2022'!J52</f>
        <v>0</v>
      </c>
      <c r="K125" s="160">
        <f>'תקציב החברה לפיתוח 2022'!K52</f>
        <v>0</v>
      </c>
      <c r="L125" s="161">
        <f>'תקציב החברה לפיתוח 2022'!L52</f>
        <v>40865</v>
      </c>
      <c r="M125" s="161">
        <f>'תקציב החברה לפיתוח 2022'!M52</f>
        <v>109135</v>
      </c>
      <c r="N125" s="161">
        <f>'תקציב החברה לפיתוח 2022'!N52</f>
        <v>0</v>
      </c>
      <c r="O125" s="161">
        <f>'תקציב החברה לפיתוח 2022'!O52</f>
        <v>8050000</v>
      </c>
      <c r="P125" s="161">
        <f>'תקציב החברה לפיתוח 2022'!P52</f>
        <v>109135</v>
      </c>
      <c r="Q125" s="161">
        <f>'תקציב החברה לפיתוח 2022'!Q52</f>
        <v>0</v>
      </c>
      <c r="R125" s="161">
        <f>'תקציב החברה לפיתוח 2022'!R52</f>
        <v>0</v>
      </c>
      <c r="S125" s="161">
        <f>'תקציב החברה לפיתוח 2022'!S52</f>
        <v>0</v>
      </c>
      <c r="T125" s="161">
        <f>'תקציב החברה לפיתוח 2022'!T52</f>
        <v>0</v>
      </c>
      <c r="U125" s="161">
        <f>'תקציב החברה לפיתוח 2022'!U52</f>
        <v>0</v>
      </c>
      <c r="V125" s="161">
        <f>'תקציב החברה לפיתוח 2022'!V52</f>
        <v>0</v>
      </c>
      <c r="W125" s="161">
        <f>'תקציב החברה לפיתוח 2022'!W52</f>
        <v>0</v>
      </c>
      <c r="X125" s="161">
        <f>'תקציב החברה לפיתוח 2022'!X52</f>
        <v>0</v>
      </c>
      <c r="Y125" s="161">
        <f>'תקציב החברה לפיתוח 2022'!Y52</f>
        <v>0</v>
      </c>
      <c r="Z125" s="161">
        <f>'תקציב החברה לפיתוח 2022'!Z52</f>
        <v>0</v>
      </c>
      <c r="AA125" s="161">
        <f>'תקציב החברה לפיתוח 2022'!AA52</f>
        <v>0</v>
      </c>
      <c r="AB125" s="289" t="str">
        <f>'תקציב החברה לפיתוח 2022'!AB52</f>
        <v xml:space="preserve">בניית ביכנ"ס ברח' מקדש מלך. תכנון.  </v>
      </c>
      <c r="AC125" s="160">
        <f>'תקציב החברה לפיתוח 2022'!AC52</f>
        <v>850000</v>
      </c>
      <c r="AD125" s="157" t="s">
        <v>1539</v>
      </c>
      <c r="AE125" s="157" t="s">
        <v>1627</v>
      </c>
      <c r="AF125" s="171"/>
      <c r="AG125" s="171"/>
      <c r="AH125" s="171"/>
      <c r="AI125" s="171"/>
      <c r="AJ125" s="171"/>
      <c r="AK125" s="160"/>
      <c r="AL125" s="160"/>
      <c r="AM125" s="266"/>
      <c r="AN125" s="277"/>
      <c r="AO125" s="160"/>
      <c r="AP125" s="157" t="s">
        <v>1627</v>
      </c>
      <c r="AQ125" s="160"/>
      <c r="AR125" s="357" t="s">
        <v>1627</v>
      </c>
      <c r="AS125" s="357" t="s">
        <v>1128</v>
      </c>
      <c r="AT125" s="268"/>
      <c r="AU125" s="357" t="s">
        <v>1128</v>
      </c>
      <c r="AV125" s="357" t="s">
        <v>1128</v>
      </c>
      <c r="AW125" s="638"/>
      <c r="AX125" s="160"/>
      <c r="AY125" s="161"/>
      <c r="AZ125" s="161"/>
      <c r="BA125" s="664"/>
      <c r="BB125" s="638"/>
      <c r="BC125" s="161"/>
    </row>
    <row r="126" spans="1:55" s="164" customFormat="1" ht="45">
      <c r="A126" s="160">
        <f>A125+1</f>
        <v>115</v>
      </c>
      <c r="B126" s="160">
        <f>'תקציב החברה לפיתוח 2022'!B58</f>
        <v>2076</v>
      </c>
      <c r="C126" s="289" t="str">
        <f>'תקציב החברה לפיתוח 2022'!C58</f>
        <v>עבודות פיתוח בכנ"ס אברהם אבינו</v>
      </c>
      <c r="D126" s="161">
        <f>'תקציב החברה לפיתוח 2022'!D58</f>
        <v>2350000</v>
      </c>
      <c r="E126" s="160">
        <f>'תקציב החברה לפיתוח 2022'!E58</f>
        <v>2350000</v>
      </c>
      <c r="F126" s="160">
        <f>'תקציב החברה לפיתוח 2022'!F58</f>
        <v>0</v>
      </c>
      <c r="G126" s="160">
        <f>'תקציב החברה לפיתוח 2022'!G58</f>
        <v>1450000</v>
      </c>
      <c r="H126" s="160">
        <f>'תקציב החברה לפיתוח 2022'!H58</f>
        <v>35648</v>
      </c>
      <c r="I126" s="160">
        <f>'תקציב החברה לפיתוח 2022'!I58</f>
        <v>0</v>
      </c>
      <c r="J126" s="160">
        <f>'תקציב החברה לפיתוח 2022'!J58</f>
        <v>0</v>
      </c>
      <c r="K126" s="160">
        <f>'תקציב החברה לפיתוח 2022'!K58</f>
        <v>0</v>
      </c>
      <c r="L126" s="161">
        <f>'תקציב החברה לפיתוח 2022'!L58</f>
        <v>35648</v>
      </c>
      <c r="M126" s="161">
        <f>'תקציב החברה לפיתוח 2022'!M58</f>
        <v>1414352</v>
      </c>
      <c r="N126" s="161">
        <f>'תקציב החברה לפיתוח 2022'!N58</f>
        <v>0</v>
      </c>
      <c r="O126" s="161">
        <f>'תקציב החברה לפיתוח 2022'!O58</f>
        <v>900000</v>
      </c>
      <c r="P126" s="161">
        <f>'תקציב החברה לפיתוח 2022'!P58</f>
        <v>1414352</v>
      </c>
      <c r="Q126" s="161">
        <f>'תקציב החברה לפיתוח 2022'!Q58</f>
        <v>0</v>
      </c>
      <c r="R126" s="161">
        <f>'תקציב החברה לפיתוח 2022'!R58</f>
        <v>0</v>
      </c>
      <c r="S126" s="161">
        <f>'תקציב החברה לפיתוח 2022'!S58</f>
        <v>0</v>
      </c>
      <c r="T126" s="161">
        <f>'תקציב החברה לפיתוח 2022'!T58</f>
        <v>0</v>
      </c>
      <c r="U126" s="161">
        <f>'תקציב החברה לפיתוח 2022'!U58</f>
        <v>0</v>
      </c>
      <c r="V126" s="161">
        <f>'תקציב החברה לפיתוח 2022'!V58</f>
        <v>0</v>
      </c>
      <c r="W126" s="161">
        <f>'תקציב החברה לפיתוח 2022'!W58</f>
        <v>0</v>
      </c>
      <c r="X126" s="161">
        <f>'תקציב החברה לפיתוח 2022'!X58</f>
        <v>0</v>
      </c>
      <c r="Y126" s="161">
        <f>'תקציב החברה לפיתוח 2022'!Y58</f>
        <v>0</v>
      </c>
      <c r="Z126" s="161">
        <f>'תקציב החברה לפיתוח 2022'!Z58</f>
        <v>0</v>
      </c>
      <c r="AA126" s="161">
        <f>'תקציב החברה לפיתוח 2022'!AA58</f>
        <v>0</v>
      </c>
      <c r="AB126" s="289" t="str">
        <f>'תקציב החברה לפיתוח 2022'!AB58</f>
        <v>עבודות פיתוח ביכנ"ס "אברהם אבינו" בשכונת יד התשעה.</v>
      </c>
      <c r="AC126" s="160">
        <f>'תקציב החברה לפיתוח 2022'!AC58</f>
        <v>850000</v>
      </c>
      <c r="AD126" s="157"/>
      <c r="AE126" s="157" t="s">
        <v>1652</v>
      </c>
      <c r="AF126" s="171"/>
      <c r="AG126" s="171"/>
      <c r="AH126" s="171"/>
      <c r="AI126" s="171"/>
      <c r="AJ126" s="171"/>
      <c r="AK126" s="171"/>
      <c r="AL126" s="171"/>
      <c r="AM126" s="266"/>
      <c r="AN126" s="277"/>
      <c r="AO126" s="160"/>
      <c r="AP126" s="157" t="s">
        <v>1652</v>
      </c>
      <c r="AQ126" s="171"/>
      <c r="AR126" s="357" t="s">
        <v>1652</v>
      </c>
      <c r="AS126" s="160" t="s">
        <v>1536</v>
      </c>
      <c r="AT126" s="268"/>
      <c r="AU126" s="357" t="s">
        <v>1653</v>
      </c>
      <c r="AV126" s="272"/>
      <c r="AW126" s="640"/>
      <c r="AX126" s="171"/>
      <c r="AY126" s="161"/>
      <c r="AZ126" s="161"/>
      <c r="BA126" s="638"/>
      <c r="BB126" s="638"/>
      <c r="BC126" s="161"/>
    </row>
    <row r="127" spans="1:55" ht="49.9" customHeight="1">
      <c r="A127" s="160">
        <f>A126+1</f>
        <v>116</v>
      </c>
      <c r="B127" s="160">
        <f>'תקציב החברה לפיתוח 2022'!B98</f>
        <v>2207</v>
      </c>
      <c r="C127" s="289" t="str">
        <f>'תקציב החברה לפיתוח 2022'!C98</f>
        <v>בית כנסת גליל ים</v>
      </c>
      <c r="D127" s="161">
        <f>'תקציב החברה לפיתוח 2022'!D98</f>
        <v>500000</v>
      </c>
      <c r="E127" s="160">
        <f>'תקציב החברה לפיתוח 2022'!E98</f>
        <v>500000</v>
      </c>
      <c r="F127" s="160">
        <f>'תקציב החברה לפיתוח 2022'!F98</f>
        <v>0</v>
      </c>
      <c r="G127" s="160">
        <f>'תקציב החברה לפיתוח 2022'!G98</f>
        <v>100000</v>
      </c>
      <c r="H127" s="160">
        <f>'תקציב החברה לפיתוח 2022'!H98</f>
        <v>0</v>
      </c>
      <c r="I127" s="160">
        <f>'תקציב החברה לפיתוח 2022'!I98</f>
        <v>0</v>
      </c>
      <c r="J127" s="160">
        <f>'תקציב החברה לפיתוח 2022'!J98</f>
        <v>0</v>
      </c>
      <c r="K127" s="160">
        <f>'תקציב החברה לפיתוח 2022'!K98</f>
        <v>0</v>
      </c>
      <c r="L127" s="161">
        <f>'תקציב החברה לפיתוח 2022'!L98</f>
        <v>0</v>
      </c>
      <c r="M127" s="161">
        <f>'תקציב החברה לפיתוח 2022'!M98</f>
        <v>500000</v>
      </c>
      <c r="N127" s="161">
        <f>'תקציב החברה לפיתוח 2022'!N98</f>
        <v>0</v>
      </c>
      <c r="O127" s="161">
        <f>'תקציב החברה לפיתוח 2022'!O98</f>
        <v>0</v>
      </c>
      <c r="P127" s="161">
        <f>'תקציב החברה לפיתוח 2022'!P98</f>
        <v>100000</v>
      </c>
      <c r="Q127" s="161">
        <f>'תקציב החברה לפיתוח 2022'!Q98</f>
        <v>400000</v>
      </c>
      <c r="R127" s="161">
        <f>'תקציב החברה לפיתוח 2022'!R98</f>
        <v>0</v>
      </c>
      <c r="S127" s="161">
        <f>'תקציב החברה לפיתוח 2022'!S98</f>
        <v>400000</v>
      </c>
      <c r="T127" s="161">
        <f>'תקציב החברה לפיתוח 2022'!T98</f>
        <v>0</v>
      </c>
      <c r="U127" s="161">
        <f>'תקציב החברה לפיתוח 2022'!U98</f>
        <v>0</v>
      </c>
      <c r="V127" s="161">
        <f>'תקציב החברה לפיתוח 2022'!V98</f>
        <v>0</v>
      </c>
      <c r="W127" s="161">
        <f>'תקציב החברה לפיתוח 2022'!W98</f>
        <v>0</v>
      </c>
      <c r="X127" s="161">
        <f>'תקציב החברה לפיתוח 2022'!X98</f>
        <v>0</v>
      </c>
      <c r="Y127" s="161">
        <f>'תקציב החברה לפיתוח 2022'!Y98</f>
        <v>0</v>
      </c>
      <c r="Z127" s="161">
        <f>'תקציב החברה לפיתוח 2022'!Z98</f>
        <v>0</v>
      </c>
      <c r="AA127" s="161">
        <f>'תקציב החברה לפיתוח 2022'!AA98</f>
        <v>0</v>
      </c>
      <c r="AB127" s="289" t="str">
        <f>'תקציב החברה לפיתוח 2022'!AB98</f>
        <v>תכנון ביכנ"ס במתחם גליל ים. כולל בניית ביכנ"ס זמני .</v>
      </c>
      <c r="AC127" s="160">
        <f>'תקציב החברה לפיתוח 2022'!AC98</f>
        <v>850000</v>
      </c>
      <c r="AD127" s="157"/>
      <c r="AE127" s="157" t="s">
        <v>1750</v>
      </c>
      <c r="AF127" s="171"/>
      <c r="AG127" s="171"/>
      <c r="AH127" s="171"/>
      <c r="AI127" s="171"/>
      <c r="AJ127" s="171"/>
      <c r="AK127" s="3"/>
      <c r="AL127" s="3"/>
      <c r="AM127" s="3"/>
      <c r="AN127" s="277"/>
      <c r="AO127" s="160"/>
      <c r="AP127" s="157" t="s">
        <v>1750</v>
      </c>
      <c r="AQ127" s="3"/>
      <c r="AR127" s="3"/>
      <c r="AS127" s="3"/>
      <c r="AT127" s="268"/>
      <c r="AU127" s="3" t="s">
        <v>1751</v>
      </c>
      <c r="AV127" s="30"/>
      <c r="AW127" s="638"/>
      <c r="AX127" s="3"/>
      <c r="AY127" s="161"/>
      <c r="AZ127" s="161"/>
      <c r="BA127" s="638"/>
      <c r="BB127" s="638"/>
      <c r="BC127" s="161"/>
    </row>
    <row r="128" spans="1:55" ht="39.6" customHeight="1">
      <c r="A128" s="160">
        <f>A127+1</f>
        <v>117</v>
      </c>
      <c r="B128" s="160">
        <f>'תקציב החברה לפיתוח 2022'!B99</f>
        <v>2208</v>
      </c>
      <c r="C128" s="289" t="str">
        <f>'תקציב החברה לפיתוח 2022'!C99</f>
        <v>מקווה גליל ים</v>
      </c>
      <c r="D128" s="161">
        <f>'תקציב החברה לפיתוח 2022'!D99</f>
        <v>500000</v>
      </c>
      <c r="E128" s="160">
        <f>'תקציב החברה לפיתוח 2022'!E99</f>
        <v>500000</v>
      </c>
      <c r="F128" s="160">
        <f>'תקציב החברה לפיתוח 2022'!F99</f>
        <v>0</v>
      </c>
      <c r="G128" s="160">
        <f>'תקציב החברה לפיתוח 2022'!G99</f>
        <v>100000</v>
      </c>
      <c r="H128" s="160">
        <f>'תקציב החברה לפיתוח 2022'!H99</f>
        <v>0</v>
      </c>
      <c r="I128" s="160">
        <f>'תקציב החברה לפיתוח 2022'!I99</f>
        <v>0</v>
      </c>
      <c r="J128" s="160">
        <f>'תקציב החברה לפיתוח 2022'!J99</f>
        <v>0</v>
      </c>
      <c r="K128" s="160">
        <f>'תקציב החברה לפיתוח 2022'!K99</f>
        <v>0</v>
      </c>
      <c r="L128" s="161">
        <f>'תקציב החברה לפיתוח 2022'!L99</f>
        <v>0</v>
      </c>
      <c r="M128" s="161">
        <f>'תקציב החברה לפיתוח 2022'!M99</f>
        <v>500000</v>
      </c>
      <c r="N128" s="161">
        <f>'תקציב החברה לפיתוח 2022'!N99</f>
        <v>0</v>
      </c>
      <c r="O128" s="161">
        <f>'תקציב החברה לפיתוח 2022'!O99</f>
        <v>0</v>
      </c>
      <c r="P128" s="161">
        <f>'תקציב החברה לפיתוח 2022'!P99</f>
        <v>100000</v>
      </c>
      <c r="Q128" s="161">
        <f>'תקציב החברה לפיתוח 2022'!Q99</f>
        <v>400000</v>
      </c>
      <c r="R128" s="161">
        <f>'תקציב החברה לפיתוח 2022'!R99</f>
        <v>0</v>
      </c>
      <c r="S128" s="161">
        <f>'תקציב החברה לפיתוח 2022'!S99</f>
        <v>400000</v>
      </c>
      <c r="T128" s="161">
        <f>'תקציב החברה לפיתוח 2022'!T99</f>
        <v>0</v>
      </c>
      <c r="U128" s="161">
        <f>'תקציב החברה לפיתוח 2022'!U99</f>
        <v>0</v>
      </c>
      <c r="V128" s="161">
        <f>'תקציב החברה לפיתוח 2022'!V99</f>
        <v>0</v>
      </c>
      <c r="W128" s="161">
        <f>'תקציב החברה לפיתוח 2022'!W99</f>
        <v>0</v>
      </c>
      <c r="X128" s="161">
        <f>'תקציב החברה לפיתוח 2022'!X99</f>
        <v>0</v>
      </c>
      <c r="Y128" s="161">
        <f>'תקציב החברה לפיתוח 2022'!Y99</f>
        <v>0</v>
      </c>
      <c r="Z128" s="161">
        <f>'תקציב החברה לפיתוח 2022'!Z99</f>
        <v>0</v>
      </c>
      <c r="AA128" s="161">
        <f>'תקציב החברה לפיתוח 2022'!AA99</f>
        <v>0</v>
      </c>
      <c r="AB128" s="289" t="str">
        <f>'תקציב החברה לפיתוח 2022'!AB99</f>
        <v>תכנון מקווה במתחם גליל ים.</v>
      </c>
      <c r="AC128" s="160">
        <f>'תקציב החברה לפיתוח 2022'!AC99</f>
        <v>850000</v>
      </c>
      <c r="AD128" s="157"/>
      <c r="AE128" s="157" t="s">
        <v>1750</v>
      </c>
      <c r="AF128" s="171"/>
      <c r="AG128" s="171"/>
      <c r="AH128" s="171"/>
      <c r="AI128" s="171"/>
      <c r="AJ128" s="171"/>
      <c r="AK128" s="3"/>
      <c r="AL128" s="3"/>
      <c r="AM128" s="3"/>
      <c r="AN128" s="277"/>
      <c r="AO128" s="160"/>
      <c r="AP128" s="157" t="s">
        <v>1750</v>
      </c>
      <c r="AQ128" s="3"/>
      <c r="AR128" s="3"/>
      <c r="AS128" s="3"/>
      <c r="AT128" s="268"/>
      <c r="AU128" s="3"/>
      <c r="AV128" s="30"/>
      <c r="AW128" s="638"/>
      <c r="AX128" s="3"/>
      <c r="AY128" s="161"/>
      <c r="AZ128" s="161"/>
      <c r="BA128" s="638"/>
      <c r="BB128" s="638"/>
      <c r="BC128" s="161"/>
    </row>
    <row r="129" spans="1:55" ht="75">
      <c r="A129" s="160">
        <f>A128+1</f>
        <v>118</v>
      </c>
      <c r="B129" s="160">
        <f>'תקציב החברה לפיתוח 2022'!B110</f>
        <v>20017</v>
      </c>
      <c r="C129" s="289" t="str">
        <f>'תקציב החברה לפיתוח 2022'!C110</f>
        <v>ביכנ"ס  הרצליה הירוקה</v>
      </c>
      <c r="D129" s="161">
        <f>'תקציב החברה לפיתוח 2022'!D110</f>
        <v>500000</v>
      </c>
      <c r="E129" s="160">
        <f>'תקציב החברה לפיתוח 2022'!E110</f>
        <v>0</v>
      </c>
      <c r="F129" s="160">
        <f>'תקציב החברה לפיתוח 2022'!F110</f>
        <v>500000</v>
      </c>
      <c r="G129" s="160">
        <f>'תקציב החברה לפיתוח 2022'!G110</f>
        <v>0</v>
      </c>
      <c r="H129" s="160">
        <f>'תקציב החברה לפיתוח 2022'!H110</f>
        <v>0</v>
      </c>
      <c r="I129" s="160">
        <f>'תקציב החברה לפיתוח 2022'!I110</f>
        <v>0</v>
      </c>
      <c r="J129" s="160">
        <f>'תקציב החברה לפיתוח 2022'!J110</f>
        <v>0</v>
      </c>
      <c r="K129" s="160">
        <f>'תקציב החברה לפיתוח 2022'!K110</f>
        <v>0</v>
      </c>
      <c r="L129" s="161">
        <f>'תקציב החברה לפיתוח 2022'!L110</f>
        <v>0</v>
      </c>
      <c r="M129" s="161">
        <f>'תקציב החברה לפיתוח 2022'!M110</f>
        <v>0</v>
      </c>
      <c r="N129" s="161">
        <f>'תקציב החברה לפיתוח 2022'!N110</f>
        <v>100000</v>
      </c>
      <c r="O129" s="161">
        <f>'תקציב החברה לפיתוח 2022'!O110</f>
        <v>400000</v>
      </c>
      <c r="P129" s="161">
        <f>'תקציב החברה לפיתוח 2022'!P110</f>
        <v>0</v>
      </c>
      <c r="Q129" s="161">
        <f>'תקציב החברה לפיתוח 2022'!Q110</f>
        <v>0</v>
      </c>
      <c r="R129" s="161">
        <f>'תקציב החברה לפיתוח 2022'!R110</f>
        <v>0</v>
      </c>
      <c r="S129" s="161">
        <f>'תקציב החברה לפיתוח 2022'!S110</f>
        <v>0</v>
      </c>
      <c r="T129" s="161">
        <f>'תקציב החברה לפיתוח 2022'!T110</f>
        <v>0</v>
      </c>
      <c r="U129" s="161">
        <f>'תקציב החברה לפיתוח 2022'!U110</f>
        <v>100000</v>
      </c>
      <c r="V129" s="161">
        <f>'תקציב החברה לפיתוח 2022'!V110</f>
        <v>100000</v>
      </c>
      <c r="W129" s="161">
        <f>'תקציב החברה לפיתוח 2022'!W110</f>
        <v>0</v>
      </c>
      <c r="X129" s="161">
        <f>'תקציב החברה לפיתוח 2022'!X110</f>
        <v>0</v>
      </c>
      <c r="Y129" s="161">
        <f>'תקציב החברה לפיתוח 2022'!Y110</f>
        <v>0</v>
      </c>
      <c r="Z129" s="161">
        <f>'תקציב החברה לפיתוח 2022'!Z110</f>
        <v>0</v>
      </c>
      <c r="AA129" s="161">
        <f>'תקציב החברה לפיתוח 2022'!AA110</f>
        <v>0</v>
      </c>
      <c r="AB129" s="289" t="str">
        <f>'תקציב החברה לפיתוח 2022'!AB110</f>
        <v>תכנון ביכנ"ס גוש 6536 חלקה 964 הרצליה הירוקה.</v>
      </c>
      <c r="AC129" s="160">
        <f>'תקציב החברה לפיתוח 2022'!AC110</f>
        <v>850000</v>
      </c>
      <c r="AD129" s="374"/>
      <c r="AE129" s="374"/>
      <c r="AF129" s="374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 t="s">
        <v>1816</v>
      </c>
      <c r="AT129" s="524" t="s">
        <v>1814</v>
      </c>
      <c r="AU129" s="32" t="s">
        <v>1815</v>
      </c>
      <c r="AV129" s="3" t="s">
        <v>2198</v>
      </c>
      <c r="AW129" s="638">
        <v>500000</v>
      </c>
      <c r="AX129" s="446">
        <f>U129-AW129</f>
        <v>-400000</v>
      </c>
      <c r="AY129" s="3"/>
      <c r="AZ129" s="3"/>
      <c r="BA129" s="660"/>
      <c r="BB129" s="638"/>
      <c r="BC129" s="161"/>
    </row>
    <row r="130" spans="1:55" s="301" customFormat="1" ht="25.15" customHeight="1">
      <c r="A130" s="266"/>
      <c r="B130" s="266"/>
      <c r="C130" s="368" t="s">
        <v>807</v>
      </c>
      <c r="D130" s="305">
        <f>SUM(D125:D129)</f>
        <v>12050000</v>
      </c>
      <c r="E130" s="305">
        <f t="shared" ref="E130:AA130" si="12">SUM(E125:E129)</f>
        <v>11550000</v>
      </c>
      <c r="F130" s="305">
        <f t="shared" si="12"/>
        <v>500000</v>
      </c>
      <c r="G130" s="305">
        <f t="shared" si="12"/>
        <v>1800000</v>
      </c>
      <c r="H130" s="305">
        <f t="shared" si="12"/>
        <v>76513</v>
      </c>
      <c r="I130" s="305">
        <f t="shared" si="12"/>
        <v>0</v>
      </c>
      <c r="J130" s="305">
        <f t="shared" si="12"/>
        <v>0</v>
      </c>
      <c r="K130" s="305">
        <f t="shared" si="12"/>
        <v>0</v>
      </c>
      <c r="L130" s="305">
        <f t="shared" si="12"/>
        <v>76513</v>
      </c>
      <c r="M130" s="305">
        <f t="shared" si="12"/>
        <v>2523487</v>
      </c>
      <c r="N130" s="305">
        <f t="shared" si="12"/>
        <v>100000</v>
      </c>
      <c r="O130" s="305">
        <f t="shared" si="12"/>
        <v>9350000</v>
      </c>
      <c r="P130" s="305">
        <f t="shared" si="12"/>
        <v>1723487</v>
      </c>
      <c r="Q130" s="305">
        <f t="shared" si="12"/>
        <v>800000</v>
      </c>
      <c r="R130" s="305">
        <f t="shared" si="12"/>
        <v>0</v>
      </c>
      <c r="S130" s="305">
        <f t="shared" si="12"/>
        <v>800000</v>
      </c>
      <c r="T130" s="305">
        <f t="shared" si="12"/>
        <v>0</v>
      </c>
      <c r="U130" s="305">
        <f t="shared" si="12"/>
        <v>100000</v>
      </c>
      <c r="V130" s="305">
        <f t="shared" si="12"/>
        <v>100000</v>
      </c>
      <c r="W130" s="305">
        <f t="shared" si="12"/>
        <v>0</v>
      </c>
      <c r="X130" s="305">
        <f t="shared" si="12"/>
        <v>0</v>
      </c>
      <c r="Y130" s="305">
        <f t="shared" si="12"/>
        <v>0</v>
      </c>
      <c r="Z130" s="305">
        <f t="shared" si="12"/>
        <v>0</v>
      </c>
      <c r="AA130" s="305">
        <f t="shared" si="12"/>
        <v>0</v>
      </c>
      <c r="AB130" s="368"/>
      <c r="AC130" s="266"/>
      <c r="AD130" s="797"/>
      <c r="AE130" s="797"/>
      <c r="AF130" s="797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798"/>
      <c r="AU130" s="32"/>
      <c r="AV130" s="32"/>
      <c r="AW130" s="663"/>
      <c r="AX130" s="642"/>
      <c r="AY130" s="32"/>
      <c r="AZ130" s="32"/>
      <c r="BA130" s="663"/>
      <c r="BB130" s="663"/>
      <c r="BC130" s="305"/>
    </row>
    <row r="131" spans="1:55" ht="90">
      <c r="A131" s="160">
        <f>A129+1</f>
        <v>119</v>
      </c>
      <c r="B131" s="160">
        <f>'תקציב החברה לפיתוח 2022'!B43</f>
        <v>1998</v>
      </c>
      <c r="C131" s="289" t="str">
        <f>'תקציב החברה לפיתוח 2022'!C43</f>
        <v>פרויקט השכרת אופניים</v>
      </c>
      <c r="D131" s="161">
        <f>'תקציב החברה לפיתוח 2022'!D43</f>
        <v>4630000</v>
      </c>
      <c r="E131" s="160">
        <f>'תקציב החברה לפיתוח 2022'!E43</f>
        <v>4630000</v>
      </c>
      <c r="F131" s="160">
        <f>'תקציב החברה לפיתוח 2022'!F43</f>
        <v>0</v>
      </c>
      <c r="G131" s="160">
        <f>'תקציב החברה לפיתוח 2022'!G43</f>
        <v>150000</v>
      </c>
      <c r="H131" s="160">
        <f>'תקציב החברה לפיתוח 2022'!H43</f>
        <v>12799</v>
      </c>
      <c r="I131" s="160">
        <f>'תקציב החברה לפיתוח 2022'!I43</f>
        <v>0</v>
      </c>
      <c r="J131" s="160">
        <f>'תקציב החברה לפיתוח 2022'!J43</f>
        <v>0</v>
      </c>
      <c r="K131" s="160">
        <f>'תקציב החברה לפיתוח 2022'!K43</f>
        <v>0</v>
      </c>
      <c r="L131" s="161">
        <f>'תקציב החברה לפיתוח 2022'!L43</f>
        <v>12799</v>
      </c>
      <c r="M131" s="161">
        <f>'תקציב החברה לפיתוח 2022'!M43</f>
        <v>337201</v>
      </c>
      <c r="N131" s="161">
        <f>'תקציב החברה לפיתוח 2022'!N43</f>
        <v>1000000</v>
      </c>
      <c r="O131" s="161">
        <f>'תקציב החברה לפיתוח 2022'!O43</f>
        <v>3280000</v>
      </c>
      <c r="P131" s="161">
        <f>'תקציב החברה לפיתוח 2022'!P43</f>
        <v>137201</v>
      </c>
      <c r="Q131" s="161">
        <f>'תקציב החברה לפיתוח 2022'!Q43</f>
        <v>200000</v>
      </c>
      <c r="R131" s="161">
        <f>'תקציב החברה לפיתוח 2022'!R43</f>
        <v>0</v>
      </c>
      <c r="S131" s="161">
        <f>'תקציב החברה לפיתוח 2022'!S43</f>
        <v>200000</v>
      </c>
      <c r="T131" s="161">
        <f>'תקציב החברה לפיתוח 2022'!T43</f>
        <v>0</v>
      </c>
      <c r="U131" s="161">
        <f>'תקציב החברה לפיתוח 2022'!U43</f>
        <v>1000000</v>
      </c>
      <c r="V131" s="161">
        <f>'תקציב החברה לפיתוח 2022'!V43</f>
        <v>1000000</v>
      </c>
      <c r="W131" s="161">
        <f>'תקציב החברה לפיתוח 2022'!W43</f>
        <v>0</v>
      </c>
      <c r="X131" s="161">
        <f>'תקציב החברה לפיתוח 2022'!X43</f>
        <v>0</v>
      </c>
      <c r="Y131" s="161">
        <f>'תקציב החברה לפיתוח 2022'!Y43</f>
        <v>0</v>
      </c>
      <c r="Z131" s="161">
        <f>'תקציב החברה לפיתוח 2022'!Z43</f>
        <v>0</v>
      </c>
      <c r="AA131" s="161">
        <f>'תקציב החברה לפיתוח 2022'!AA43</f>
        <v>0</v>
      </c>
      <c r="AB131" s="289" t="str">
        <f>'תקציב החברה לפיתוח 2022'!AB43</f>
        <v>הקמת מע.השכרת אופניים ברחבי העיר ובאיזור התעסוקה, חלק מתוכנית אב להפחתת פליטות גזי חממה. מימון מ.להגנת הסביבה.</v>
      </c>
      <c r="AC131" s="160">
        <f>'תקציב החברה לפיתוח 2022'!AC43</f>
        <v>870000</v>
      </c>
      <c r="AD131" s="157"/>
      <c r="AE131" s="157" t="s">
        <v>1599</v>
      </c>
      <c r="AF131" s="171"/>
      <c r="AG131" s="171"/>
      <c r="AH131" s="171"/>
      <c r="AI131" s="171"/>
      <c r="AJ131" s="171"/>
      <c r="AK131" s="277"/>
      <c r="AL131" s="277"/>
      <c r="AM131" s="277"/>
      <c r="AN131" s="277"/>
      <c r="AO131" s="266" t="s">
        <v>1600</v>
      </c>
      <c r="AP131" s="266" t="s">
        <v>1600</v>
      </c>
      <c r="AQ131" s="277" t="s">
        <v>1601</v>
      </c>
      <c r="AR131" s="160" t="s">
        <v>1602</v>
      </c>
      <c r="AS131" s="160" t="s">
        <v>1603</v>
      </c>
      <c r="AT131" s="268"/>
      <c r="AU131" s="160" t="s">
        <v>1604</v>
      </c>
      <c r="AV131" s="272" t="s">
        <v>2169</v>
      </c>
      <c r="AW131" s="641"/>
      <c r="AX131" s="277"/>
      <c r="AY131" s="161">
        <v>-300000</v>
      </c>
      <c r="AZ131" s="161">
        <v>-300000</v>
      </c>
      <c r="BA131" s="638"/>
      <c r="BB131" s="638"/>
      <c r="BC131" s="161">
        <v>-300000</v>
      </c>
    </row>
    <row r="132" spans="1:55" ht="105">
      <c r="A132" s="160">
        <f>A131+1</f>
        <v>120</v>
      </c>
      <c r="B132" s="160">
        <f>'תקציב החברה לפיתוח 2022'!B101</f>
        <v>2213</v>
      </c>
      <c r="C132" s="289" t="str">
        <f>'תקציב החברה לפיתוח 2022'!C101</f>
        <v>הקמת מערכות pv מעל גגות מבני ציבור בהרצליה</v>
      </c>
      <c r="D132" s="161">
        <f>'תקציב החברה לפיתוח 2022'!D101</f>
        <v>7100000</v>
      </c>
      <c r="E132" s="160">
        <f>'תקציב החברה לפיתוח 2022'!E101</f>
        <v>7100000</v>
      </c>
      <c r="F132" s="160">
        <f>'תקציב החברה לפיתוח 2022'!F101</f>
        <v>0</v>
      </c>
      <c r="G132" s="160">
        <f>'תקציב החברה לפיתוח 2022'!G101</f>
        <v>0</v>
      </c>
      <c r="H132" s="160">
        <f>'תקציב החברה לפיתוח 2022'!H101</f>
        <v>0</v>
      </c>
      <c r="I132" s="160">
        <f>'תקציב החברה לפיתוח 2022'!I101</f>
        <v>0</v>
      </c>
      <c r="J132" s="160">
        <f>'תקציב החברה לפיתוח 2022'!J101</f>
        <v>0</v>
      </c>
      <c r="K132" s="160">
        <f>'תקציב החברה לפיתוח 2022'!K101</f>
        <v>0</v>
      </c>
      <c r="L132" s="161">
        <f>'תקציב החברה לפיתוח 2022'!L101</f>
        <v>0</v>
      </c>
      <c r="M132" s="161">
        <f>'תקציב החברה לפיתוח 2022'!M101</f>
        <v>0</v>
      </c>
      <c r="N132" s="161">
        <f>'תקציב החברה לפיתוח 2022'!N101</f>
        <v>7100000</v>
      </c>
      <c r="O132" s="161">
        <f>'תקציב החברה לפיתוח 2022'!O101</f>
        <v>0</v>
      </c>
      <c r="P132" s="161">
        <f>'תקציב החברה לפיתוח 2022'!P101</f>
        <v>0</v>
      </c>
      <c r="Q132" s="161">
        <f>'תקציב החברה לפיתוח 2022'!Q101</f>
        <v>0</v>
      </c>
      <c r="R132" s="161">
        <f>'תקציב החברה לפיתוח 2022'!R101</f>
        <v>0</v>
      </c>
      <c r="S132" s="161">
        <f>'תקציב החברה לפיתוח 2022'!S101</f>
        <v>0</v>
      </c>
      <c r="T132" s="161">
        <f>'תקציב החברה לפיתוח 2022'!T101</f>
        <v>0</v>
      </c>
      <c r="U132" s="161">
        <f>'תקציב החברה לפיתוח 2022'!U101</f>
        <v>7100000</v>
      </c>
      <c r="V132" s="161">
        <f>'תקציב החברה לפיתוח 2022'!V101</f>
        <v>0</v>
      </c>
      <c r="W132" s="161">
        <f>'תקציב החברה לפיתוח 2022'!W101</f>
        <v>0</v>
      </c>
      <c r="X132" s="161">
        <f>'תקציב החברה לפיתוח 2022'!X101</f>
        <v>0</v>
      </c>
      <c r="Y132" s="161">
        <f>'תקציב החברה לפיתוח 2022'!Y101</f>
        <v>0</v>
      </c>
      <c r="Z132" s="161">
        <f>'תקציב החברה לפיתוח 2022'!Z101</f>
        <v>7100000</v>
      </c>
      <c r="AA132" s="161">
        <f>'תקציב החברה לפיתוח 2022'!AA101</f>
        <v>0</v>
      </c>
      <c r="AB132" s="289" t="str">
        <f>'תקציב החברה לפיתוח 2022'!AB101</f>
        <v>הקמת מערכות סולאריות על גגות אולמות ספורט ומתנ"סים 14 במספר עפ"י רשימה. מימון הלוואות במסגרת מיזם  מאושר מפעל הפייס. עבר ממינהל התפעול.</v>
      </c>
      <c r="AC132" s="160">
        <f>'תקציב החברה לפיתוח 2022'!AC101</f>
        <v>870000</v>
      </c>
      <c r="AD132" s="480" t="s">
        <v>1395</v>
      </c>
      <c r="AE132" s="482" t="s">
        <v>1396</v>
      </c>
      <c r="AF132" s="475"/>
      <c r="AG132" s="475"/>
      <c r="AH132" s="476"/>
      <c r="AI132" s="482"/>
      <c r="AJ132" s="171"/>
      <c r="AK132" s="272"/>
      <c r="AL132" s="477"/>
      <c r="AM132" s="478"/>
      <c r="AN132" s="272"/>
      <c r="AO132" s="272"/>
      <c r="AP132" s="272"/>
      <c r="AQ132" s="4"/>
      <c r="AR132" s="638"/>
      <c r="AS132" s="272"/>
      <c r="AT132" s="272"/>
      <c r="AU132" s="272" t="s">
        <v>2227</v>
      </c>
      <c r="AV132" s="685"/>
      <c r="AW132" s="685"/>
      <c r="AX132" s="685"/>
      <c r="AY132" s="685"/>
      <c r="AZ132" s="685"/>
      <c r="BA132" s="685"/>
      <c r="BB132" s="685"/>
      <c r="BC132" s="161"/>
    </row>
    <row r="133" spans="1:55" s="271" customFormat="1" ht="25.15" customHeight="1">
      <c r="A133" s="166"/>
      <c r="B133" s="166"/>
      <c r="C133" s="368" t="s">
        <v>808</v>
      </c>
      <c r="D133" s="168">
        <f>SUM(D131:D132)</f>
        <v>11730000</v>
      </c>
      <c r="E133" s="168">
        <f t="shared" ref="E133:AA133" si="13">SUM(E131:E132)</f>
        <v>11730000</v>
      </c>
      <c r="F133" s="168">
        <f t="shared" si="13"/>
        <v>0</v>
      </c>
      <c r="G133" s="168">
        <f t="shared" si="13"/>
        <v>150000</v>
      </c>
      <c r="H133" s="168">
        <f t="shared" si="13"/>
        <v>12799</v>
      </c>
      <c r="I133" s="168">
        <f t="shared" si="13"/>
        <v>0</v>
      </c>
      <c r="J133" s="168">
        <f t="shared" si="13"/>
        <v>0</v>
      </c>
      <c r="K133" s="168">
        <f t="shared" si="13"/>
        <v>0</v>
      </c>
      <c r="L133" s="168">
        <f t="shared" si="13"/>
        <v>12799</v>
      </c>
      <c r="M133" s="168">
        <f t="shared" si="13"/>
        <v>337201</v>
      </c>
      <c r="N133" s="168">
        <f t="shared" si="13"/>
        <v>8100000</v>
      </c>
      <c r="O133" s="168">
        <f t="shared" si="13"/>
        <v>3280000</v>
      </c>
      <c r="P133" s="168">
        <f t="shared" si="13"/>
        <v>137201</v>
      </c>
      <c r="Q133" s="168">
        <f t="shared" si="13"/>
        <v>200000</v>
      </c>
      <c r="R133" s="168">
        <f t="shared" si="13"/>
        <v>0</v>
      </c>
      <c r="S133" s="168">
        <f t="shared" si="13"/>
        <v>200000</v>
      </c>
      <c r="T133" s="168">
        <f t="shared" si="13"/>
        <v>0</v>
      </c>
      <c r="U133" s="168">
        <f t="shared" si="13"/>
        <v>8100000</v>
      </c>
      <c r="V133" s="168">
        <f t="shared" si="13"/>
        <v>1000000</v>
      </c>
      <c r="W133" s="168">
        <f t="shared" si="13"/>
        <v>0</v>
      </c>
      <c r="X133" s="168">
        <f t="shared" si="13"/>
        <v>0</v>
      </c>
      <c r="Y133" s="168">
        <f t="shared" si="13"/>
        <v>0</v>
      </c>
      <c r="Z133" s="168">
        <f t="shared" si="13"/>
        <v>7100000</v>
      </c>
      <c r="AA133" s="168">
        <f t="shared" si="13"/>
        <v>0</v>
      </c>
      <c r="AB133" s="175"/>
      <c r="AC133" s="166"/>
      <c r="AD133" s="800"/>
      <c r="AE133" s="801"/>
      <c r="AF133" s="801"/>
      <c r="AG133" s="801"/>
      <c r="AH133" s="802"/>
      <c r="AI133" s="801"/>
      <c r="AJ133" s="376"/>
      <c r="AK133" s="266"/>
      <c r="AL133" s="803"/>
      <c r="AM133" s="372"/>
      <c r="AN133" s="266"/>
      <c r="AO133" s="266"/>
      <c r="AP133" s="266"/>
      <c r="AQ133" s="8"/>
      <c r="AR133" s="663"/>
      <c r="AS133" s="266"/>
      <c r="AT133" s="266"/>
      <c r="AU133" s="266"/>
      <c r="AV133" s="804"/>
      <c r="AW133" s="804"/>
      <c r="AX133" s="804"/>
      <c r="AY133" s="804"/>
      <c r="AZ133" s="804"/>
      <c r="BA133" s="804"/>
      <c r="BB133" s="804"/>
      <c r="BC133" s="168"/>
    </row>
    <row r="134" spans="1:55" ht="52.9" customHeight="1">
      <c r="A134" s="160">
        <f>A132+1</f>
        <v>121</v>
      </c>
      <c r="B134" s="160">
        <f>'תקציב החברה לפיתוח 2022'!B13</f>
        <v>1312</v>
      </c>
      <c r="C134" s="289" t="str">
        <f>'תקציב החברה לפיתוח 2022'!C13</f>
        <v>השלמת מבנה העיריה החדש</v>
      </c>
      <c r="D134" s="161">
        <f>'תקציב החברה לפיתוח 2022'!D13</f>
        <v>105231000</v>
      </c>
      <c r="E134" s="160">
        <f>'תקציב החברה לפיתוח 2022'!E13</f>
        <v>107231000</v>
      </c>
      <c r="F134" s="160">
        <f>'תקציב החברה לפיתוח 2022'!F13</f>
        <v>-2000000</v>
      </c>
      <c r="G134" s="160">
        <f>'תקציב החברה לפיתוח 2022'!G13</f>
        <v>107231000</v>
      </c>
      <c r="H134" s="160">
        <f>'תקציב החברה לפיתוח 2022'!H13</f>
        <v>104424653</v>
      </c>
      <c r="I134" s="160">
        <f>'תקציב החברה לפיתוח 2022'!I13</f>
        <v>0</v>
      </c>
      <c r="J134" s="160">
        <f>'תקציב החברה לפיתוח 2022'!J13</f>
        <v>191551</v>
      </c>
      <c r="K134" s="160">
        <f>'תקציב החברה לפיתוח 2022'!K13</f>
        <v>191551</v>
      </c>
      <c r="L134" s="161">
        <f>'תקציב החברה לפיתוח 2022'!L13</f>
        <v>104616204</v>
      </c>
      <c r="M134" s="161">
        <f>'תקציב החברה לפיתוח 2022'!M13</f>
        <v>614796</v>
      </c>
      <c r="N134" s="161">
        <f>'תקציב החברה לפיתוח 2022'!N13</f>
        <v>0</v>
      </c>
      <c r="O134" s="161">
        <f>'תקציב החברה לפיתוח 2022'!O13</f>
        <v>0</v>
      </c>
      <c r="P134" s="161">
        <f>'תקציב החברה לפיתוח 2022'!P13</f>
        <v>2614796</v>
      </c>
      <c r="Q134" s="161">
        <f>'תקציב החברה לפיתוח 2022'!Q13</f>
        <v>0</v>
      </c>
      <c r="R134" s="161">
        <f>'תקציב החברה לפיתוח 2022'!R13</f>
        <v>0</v>
      </c>
      <c r="S134" s="161">
        <f>'תקציב החברה לפיתוח 2022'!S13</f>
        <v>0</v>
      </c>
      <c r="T134" s="161">
        <f>'תקציב החברה לפיתוח 2022'!T13</f>
        <v>2000000</v>
      </c>
      <c r="U134" s="161">
        <f>'תקציב החברה לפיתוח 2022'!U13</f>
        <v>-2000000</v>
      </c>
      <c r="V134" s="161">
        <f>'תקציב החברה לפיתוח 2022'!V13</f>
        <v>-2000000</v>
      </c>
      <c r="W134" s="161">
        <f>'תקציב החברה לפיתוח 2022'!W13</f>
        <v>0</v>
      </c>
      <c r="X134" s="161">
        <f>'תקציב החברה לפיתוח 2022'!X13</f>
        <v>0</v>
      </c>
      <c r="Y134" s="161">
        <f>'תקציב החברה לפיתוח 2022'!Y13</f>
        <v>0</v>
      </c>
      <c r="Z134" s="161">
        <f>'תקציב החברה לפיתוח 2022'!Z13</f>
        <v>0</v>
      </c>
      <c r="AA134" s="161">
        <f>'תקציב החברה לפיתוח 2022'!AA13</f>
        <v>0</v>
      </c>
      <c r="AB134" s="289" t="str">
        <f>'תקציב החברה לפיתוח 2022'!AB13</f>
        <v xml:space="preserve">בנין העיריה החדש.  </v>
      </c>
      <c r="AC134" s="160">
        <f>'תקציב החברה לפיתוח 2022'!AC13</f>
        <v>930000</v>
      </c>
      <c r="AD134" s="157"/>
      <c r="AE134" s="166" t="s">
        <v>1535</v>
      </c>
      <c r="AF134" s="171"/>
      <c r="AG134" s="171"/>
      <c r="AH134" s="171"/>
      <c r="AI134" s="171"/>
      <c r="AJ134" s="171"/>
      <c r="AK134" s="160"/>
      <c r="AL134" s="160"/>
      <c r="AM134" s="266"/>
      <c r="AN134" s="277"/>
      <c r="AO134" s="160"/>
      <c r="AP134" s="166" t="s">
        <v>1535</v>
      </c>
      <c r="AQ134" s="160"/>
      <c r="AR134" s="272"/>
      <c r="AS134" s="272" t="s">
        <v>1536</v>
      </c>
      <c r="AT134" s="268"/>
      <c r="AU134" s="272"/>
      <c r="AV134" s="272"/>
      <c r="AW134" s="638"/>
      <c r="AX134" s="160"/>
      <c r="AY134" s="161"/>
      <c r="AZ134" s="161"/>
      <c r="BA134" s="638"/>
      <c r="BB134" s="638"/>
      <c r="BC134" s="161"/>
    </row>
    <row r="135" spans="1:55" s="301" customFormat="1" ht="25.15" customHeight="1">
      <c r="A135" s="266"/>
      <c r="B135" s="266"/>
      <c r="C135" s="368" t="s">
        <v>809</v>
      </c>
      <c r="D135" s="305">
        <f>SUM(D134)</f>
        <v>105231000</v>
      </c>
      <c r="E135" s="305">
        <f t="shared" ref="E135:AA135" si="14">SUM(E134)</f>
        <v>107231000</v>
      </c>
      <c r="F135" s="305">
        <f t="shared" si="14"/>
        <v>-2000000</v>
      </c>
      <c r="G135" s="305">
        <f t="shared" si="14"/>
        <v>107231000</v>
      </c>
      <c r="H135" s="305">
        <f t="shared" si="14"/>
        <v>104424653</v>
      </c>
      <c r="I135" s="305">
        <f t="shared" si="14"/>
        <v>0</v>
      </c>
      <c r="J135" s="305">
        <f t="shared" si="14"/>
        <v>191551</v>
      </c>
      <c r="K135" s="305">
        <f t="shared" si="14"/>
        <v>191551</v>
      </c>
      <c r="L135" s="305">
        <f t="shared" si="14"/>
        <v>104616204</v>
      </c>
      <c r="M135" s="305">
        <f t="shared" si="14"/>
        <v>614796</v>
      </c>
      <c r="N135" s="305">
        <f t="shared" si="14"/>
        <v>0</v>
      </c>
      <c r="O135" s="305">
        <f t="shared" si="14"/>
        <v>0</v>
      </c>
      <c r="P135" s="305">
        <f t="shared" si="14"/>
        <v>2614796</v>
      </c>
      <c r="Q135" s="305">
        <f t="shared" si="14"/>
        <v>0</v>
      </c>
      <c r="R135" s="305">
        <f t="shared" si="14"/>
        <v>0</v>
      </c>
      <c r="S135" s="305">
        <f t="shared" si="14"/>
        <v>0</v>
      </c>
      <c r="T135" s="305">
        <f t="shared" si="14"/>
        <v>2000000</v>
      </c>
      <c r="U135" s="305">
        <f t="shared" si="14"/>
        <v>-2000000</v>
      </c>
      <c r="V135" s="305">
        <f t="shared" si="14"/>
        <v>-2000000</v>
      </c>
      <c r="W135" s="305">
        <f t="shared" si="14"/>
        <v>0</v>
      </c>
      <c r="X135" s="305">
        <f t="shared" si="14"/>
        <v>0</v>
      </c>
      <c r="Y135" s="305">
        <f t="shared" si="14"/>
        <v>0</v>
      </c>
      <c r="Z135" s="305">
        <f t="shared" si="14"/>
        <v>0</v>
      </c>
      <c r="AA135" s="305">
        <f t="shared" si="14"/>
        <v>0</v>
      </c>
      <c r="AB135" s="368"/>
      <c r="AC135" s="266"/>
      <c r="AD135" s="306"/>
      <c r="AE135" s="266"/>
      <c r="AF135" s="514"/>
      <c r="AG135" s="514"/>
      <c r="AH135" s="514"/>
      <c r="AI135" s="514"/>
      <c r="AJ135" s="514"/>
      <c r="AK135" s="266"/>
      <c r="AL135" s="266"/>
      <c r="AM135" s="266"/>
      <c r="AN135" s="515"/>
      <c r="AO135" s="266"/>
      <c r="AP135" s="266"/>
      <c r="AQ135" s="266"/>
      <c r="AR135" s="266"/>
      <c r="AS135" s="266"/>
      <c r="AT135" s="306"/>
      <c r="AU135" s="266"/>
      <c r="AV135" s="266"/>
      <c r="AW135" s="663"/>
      <c r="AX135" s="266"/>
      <c r="AY135" s="305"/>
      <c r="AZ135" s="305"/>
      <c r="BA135" s="663"/>
      <c r="BB135" s="663"/>
      <c r="BC135" s="305"/>
    </row>
    <row r="136" spans="1:55" s="370" customFormat="1" ht="25.15" customHeight="1">
      <c r="A136" s="302">
        <f>A134</f>
        <v>121</v>
      </c>
      <c r="B136" s="302"/>
      <c r="C136" s="358" t="s">
        <v>638</v>
      </c>
      <c r="D136" s="369">
        <f>D135+D133+D130+D124+D122+D119+D100+D68+D66+D64+D10</f>
        <v>3217044339</v>
      </c>
      <c r="E136" s="369">
        <f t="shared" ref="E136:AA136" si="15">E135+E133+E130+E124+E122+E119+E100+E68+E66+E64+E10</f>
        <v>3022650187</v>
      </c>
      <c r="F136" s="369">
        <f t="shared" si="15"/>
        <v>194394152</v>
      </c>
      <c r="G136" s="369">
        <f t="shared" si="15"/>
        <v>1377988129</v>
      </c>
      <c r="H136" s="369">
        <f t="shared" si="15"/>
        <v>1147601818</v>
      </c>
      <c r="I136" s="369">
        <f t="shared" si="15"/>
        <v>3316292</v>
      </c>
      <c r="J136" s="369">
        <f t="shared" si="15"/>
        <v>56856826</v>
      </c>
      <c r="K136" s="369">
        <f t="shared" si="15"/>
        <v>60173118</v>
      </c>
      <c r="L136" s="369">
        <f t="shared" si="15"/>
        <v>1207774936</v>
      </c>
      <c r="M136" s="369">
        <f t="shared" si="15"/>
        <v>340006362</v>
      </c>
      <c r="N136" s="369">
        <f t="shared" si="15"/>
        <v>355265805</v>
      </c>
      <c r="O136" s="369">
        <f t="shared" si="15"/>
        <v>1313997236</v>
      </c>
      <c r="P136" s="369">
        <f t="shared" si="15"/>
        <v>170213193</v>
      </c>
      <c r="Q136" s="369">
        <f t="shared" si="15"/>
        <v>167330610</v>
      </c>
      <c r="R136" s="369">
        <f t="shared" si="15"/>
        <v>10226895</v>
      </c>
      <c r="S136" s="369">
        <f t="shared" si="15"/>
        <v>177557505</v>
      </c>
      <c r="T136" s="369">
        <f t="shared" si="15"/>
        <v>7764336</v>
      </c>
      <c r="U136" s="369">
        <f t="shared" si="15"/>
        <v>347501469</v>
      </c>
      <c r="V136" s="369">
        <f t="shared" si="15"/>
        <v>184998584</v>
      </c>
      <c r="W136" s="369">
        <f t="shared" si="15"/>
        <v>1500000</v>
      </c>
      <c r="X136" s="369">
        <f t="shared" si="15"/>
        <v>0</v>
      </c>
      <c r="Y136" s="369">
        <f t="shared" si="15"/>
        <v>9000000</v>
      </c>
      <c r="Z136" s="369">
        <f t="shared" si="15"/>
        <v>7100000</v>
      </c>
      <c r="AA136" s="369">
        <f t="shared" si="15"/>
        <v>144902885</v>
      </c>
      <c r="AB136" s="411"/>
      <c r="AC136" s="302"/>
      <c r="AD136" s="157"/>
      <c r="AE136" s="157"/>
      <c r="AF136" s="171"/>
      <c r="AG136" s="171"/>
      <c r="AH136" s="171"/>
      <c r="AI136" s="171"/>
      <c r="AJ136" s="171"/>
      <c r="AK136" s="302"/>
      <c r="AL136" s="302"/>
      <c r="AM136" s="302"/>
      <c r="AN136" s="277"/>
      <c r="AO136" s="160"/>
      <c r="AP136" s="302"/>
      <c r="AQ136" s="302"/>
      <c r="AR136" s="302"/>
      <c r="AS136" s="302"/>
      <c r="AT136" s="268"/>
      <c r="AU136" s="302"/>
      <c r="AV136" s="302"/>
      <c r="AW136" s="369" t="e">
        <f>#REF!+AW117</f>
        <v>#REF!</v>
      </c>
      <c r="AX136" s="369" t="e">
        <f>#REF!+AX117</f>
        <v>#REF!</v>
      </c>
      <c r="AY136" s="369" t="e">
        <f>#REF!+AY117</f>
        <v>#REF!</v>
      </c>
      <c r="AZ136" s="369" t="e">
        <f>#REF!+AZ117</f>
        <v>#REF!</v>
      </c>
      <c r="BA136" s="369" t="e">
        <f>#REF!+BA117</f>
        <v>#REF!</v>
      </c>
      <c r="BB136" s="369" t="e">
        <f>#REF!+BB117</f>
        <v>#REF!</v>
      </c>
      <c r="BC136" s="369" t="e">
        <f>#REF!+BC117</f>
        <v>#REF!</v>
      </c>
    </row>
    <row r="137" spans="1:55" hidden="1">
      <c r="C137" s="773"/>
      <c r="F137" s="274"/>
      <c r="G137" s="274"/>
      <c r="H137" s="274"/>
      <c r="I137" s="274"/>
      <c r="J137" s="274"/>
      <c r="K137" s="274"/>
      <c r="L137" s="274">
        <f>K136+H136</f>
        <v>1207774936</v>
      </c>
      <c r="M137" s="274">
        <f>P137+S136-T136</f>
        <v>340006362</v>
      </c>
      <c r="N137" s="274"/>
      <c r="O137" s="274"/>
      <c r="P137" s="274">
        <f>G136-L137</f>
        <v>170213193</v>
      </c>
      <c r="Q137" s="274"/>
      <c r="R137" s="273"/>
      <c r="S137" s="274"/>
      <c r="T137" s="274">
        <f>P136+S136-M136</f>
        <v>7764336</v>
      </c>
    </row>
    <row r="138" spans="1:55">
      <c r="F138" s="274"/>
      <c r="G138" s="274"/>
      <c r="H138" s="274"/>
      <c r="I138" s="274"/>
      <c r="J138" s="274"/>
      <c r="K138" s="274"/>
      <c r="L138" s="274"/>
      <c r="M138" s="274"/>
      <c r="N138" s="274"/>
      <c r="O138" s="274"/>
      <c r="P138" s="274"/>
      <c r="Q138" s="274"/>
      <c r="R138" s="273"/>
      <c r="S138" s="274"/>
      <c r="T138" s="274"/>
    </row>
    <row r="139" spans="1:55">
      <c r="C139" s="773"/>
      <c r="F139" s="274"/>
      <c r="G139" s="274"/>
      <c r="H139" s="274"/>
      <c r="I139" s="274"/>
      <c r="J139" s="274"/>
      <c r="K139" s="274"/>
      <c r="L139" s="274"/>
      <c r="M139" s="274"/>
      <c r="N139" s="274"/>
      <c r="O139" s="274"/>
      <c r="P139" s="274"/>
      <c r="Q139" s="274"/>
      <c r="R139" s="273"/>
      <c r="S139" s="274"/>
      <c r="T139" s="274"/>
    </row>
    <row r="140" spans="1:55">
      <c r="F140" s="274"/>
      <c r="G140" s="274"/>
      <c r="H140" s="274"/>
      <c r="I140" s="274"/>
      <c r="J140" s="274"/>
      <c r="K140" s="274"/>
      <c r="L140" s="274"/>
      <c r="M140" s="274"/>
      <c r="N140" s="274"/>
      <c r="O140" s="274"/>
      <c r="P140" s="274"/>
      <c r="Q140" s="274"/>
      <c r="R140" s="275"/>
      <c r="S140" s="274"/>
      <c r="T140" s="274"/>
    </row>
    <row r="141" spans="1:55">
      <c r="F141" s="274"/>
      <c r="G141" s="274"/>
      <c r="H141" s="274"/>
      <c r="I141" s="274"/>
      <c r="J141" s="274"/>
      <c r="K141" s="274"/>
      <c r="L141" s="274"/>
      <c r="M141" s="274"/>
      <c r="N141" s="274"/>
      <c r="O141" s="274"/>
      <c r="P141" s="274"/>
      <c r="Q141" s="274"/>
      <c r="R141" s="274"/>
      <c r="S141" s="274"/>
      <c r="T141" s="274"/>
      <c r="U141" s="274"/>
      <c r="V141" s="274"/>
      <c r="W141" s="274"/>
      <c r="X141" s="274"/>
      <c r="Y141" s="274"/>
      <c r="Z141" s="274"/>
      <c r="AA141" s="274"/>
    </row>
    <row r="142" spans="1:55">
      <c r="F142" s="274"/>
      <c r="G142" s="274"/>
      <c r="H142" s="274"/>
      <c r="I142" s="274"/>
      <c r="J142" s="274"/>
      <c r="K142" s="274"/>
      <c r="L142" s="274"/>
      <c r="M142" s="274"/>
      <c r="N142" s="274"/>
      <c r="O142" s="274"/>
      <c r="P142" s="274"/>
      <c r="Q142" s="274"/>
      <c r="R142" s="274"/>
      <c r="S142" s="274"/>
      <c r="T142" s="274"/>
      <c r="U142" s="274"/>
      <c r="V142" s="274"/>
      <c r="W142" s="274"/>
      <c r="X142" s="274"/>
      <c r="Y142" s="274"/>
      <c r="Z142" s="274"/>
      <c r="AA142" s="274"/>
    </row>
    <row r="143" spans="1:55">
      <c r="F143" s="274"/>
      <c r="G143" s="274"/>
      <c r="H143" s="274"/>
      <c r="I143" s="274"/>
      <c r="J143" s="274"/>
      <c r="K143" s="274"/>
      <c r="L143" s="274"/>
      <c r="M143" s="274"/>
      <c r="N143" s="274"/>
      <c r="O143" s="274"/>
      <c r="P143" s="274"/>
      <c r="Q143" s="274"/>
      <c r="R143" s="274"/>
      <c r="S143" s="274"/>
      <c r="T143" s="274"/>
      <c r="U143" s="274"/>
      <c r="V143" s="274"/>
      <c r="W143" s="274"/>
      <c r="X143" s="274"/>
      <c r="Y143" s="274"/>
      <c r="Z143" s="274"/>
      <c r="AA143" s="274"/>
    </row>
    <row r="144" spans="1:55">
      <c r="F144" s="274"/>
      <c r="G144" s="274"/>
      <c r="H144" s="274"/>
      <c r="I144" s="274"/>
      <c r="J144" s="274"/>
      <c r="K144" s="274"/>
      <c r="L144" s="274"/>
      <c r="M144" s="274"/>
      <c r="N144" s="274"/>
      <c r="O144" s="274"/>
      <c r="P144" s="274"/>
      <c r="Q144" s="274"/>
      <c r="R144" s="274"/>
      <c r="S144" s="274"/>
      <c r="T144" s="274"/>
      <c r="U144" s="274"/>
      <c r="V144" s="274"/>
      <c r="W144" s="274"/>
      <c r="X144" s="274"/>
      <c r="Y144" s="274"/>
      <c r="Z144" s="274"/>
      <c r="AA144" s="274"/>
    </row>
    <row r="145" spans="6:50">
      <c r="F145" s="274"/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4"/>
      <c r="S145" s="274"/>
      <c r="T145" s="274"/>
      <c r="U145" s="274"/>
      <c r="V145" s="274"/>
      <c r="W145" s="274"/>
      <c r="X145" s="274"/>
      <c r="Y145" s="274"/>
      <c r="Z145" s="274"/>
      <c r="AA145" s="274"/>
    </row>
    <row r="146" spans="6:50">
      <c r="F146" s="274"/>
      <c r="G146" s="274"/>
      <c r="H146" s="274"/>
      <c r="I146" s="274"/>
      <c r="J146" s="274"/>
      <c r="K146" s="274"/>
      <c r="L146" s="274"/>
      <c r="M146" s="274"/>
      <c r="N146" s="274"/>
      <c r="O146" s="274"/>
      <c r="P146" s="274"/>
      <c r="Q146" s="274"/>
      <c r="R146" s="274"/>
      <c r="S146" s="274"/>
      <c r="T146" s="274"/>
      <c r="U146" s="274"/>
      <c r="V146" s="274"/>
      <c r="W146" s="274"/>
      <c r="X146" s="274"/>
      <c r="Y146" s="274"/>
      <c r="Z146" s="274"/>
      <c r="AA146" s="274"/>
    </row>
    <row r="147" spans="6:50">
      <c r="F147" s="274"/>
      <c r="G147" s="274"/>
      <c r="H147" s="274"/>
      <c r="I147" s="274"/>
      <c r="J147" s="274"/>
      <c r="K147" s="274"/>
      <c r="L147" s="274"/>
      <c r="M147" s="274"/>
      <c r="N147" s="274"/>
      <c r="O147" s="274"/>
      <c r="P147" s="274"/>
      <c r="Q147" s="274"/>
      <c r="R147" s="274"/>
      <c r="S147" s="274"/>
      <c r="T147" s="274"/>
      <c r="U147" s="274"/>
      <c r="V147" s="274"/>
      <c r="W147" s="274"/>
      <c r="X147" s="274"/>
      <c r="Y147" s="274"/>
      <c r="Z147" s="274"/>
      <c r="AA147" s="274"/>
    </row>
    <row r="148" spans="6:50">
      <c r="F148" s="274"/>
      <c r="G148" s="274"/>
      <c r="H148" s="274"/>
      <c r="I148" s="274"/>
      <c r="J148" s="274"/>
      <c r="K148" s="274"/>
      <c r="L148" s="274"/>
      <c r="M148" s="274"/>
      <c r="N148" s="274"/>
      <c r="O148" s="274"/>
      <c r="P148" s="274"/>
      <c r="Q148" s="274"/>
      <c r="R148" s="274"/>
      <c r="S148" s="274"/>
      <c r="T148" s="274"/>
      <c r="U148" s="274"/>
      <c r="V148" s="274"/>
      <c r="W148" s="274"/>
      <c r="X148" s="274"/>
      <c r="Y148" s="274"/>
      <c r="Z148" s="274"/>
      <c r="AA148" s="274"/>
    </row>
    <row r="149" spans="6:50">
      <c r="F149" s="274"/>
      <c r="G149" s="274"/>
      <c r="H149" s="274"/>
      <c r="I149" s="274"/>
      <c r="J149" s="274"/>
      <c r="K149" s="274"/>
      <c r="L149" s="274"/>
      <c r="M149" s="274"/>
      <c r="N149" s="274"/>
      <c r="O149" s="274"/>
      <c r="P149" s="274"/>
      <c r="Q149" s="274"/>
      <c r="R149" s="274"/>
      <c r="S149" s="274"/>
      <c r="T149" s="274"/>
      <c r="U149" s="634"/>
      <c r="V149" s="154" t="s">
        <v>2199</v>
      </c>
      <c r="AW149" s="640" t="s">
        <v>2203</v>
      </c>
      <c r="AX149" s="446">
        <v>788034877</v>
      </c>
    </row>
    <row r="150" spans="6:50">
      <c r="F150" s="274"/>
      <c r="G150" s="274"/>
      <c r="H150" s="274"/>
      <c r="I150" s="274"/>
      <c r="J150" s="274"/>
      <c r="K150" s="274"/>
      <c r="L150" s="274"/>
      <c r="M150" s="274"/>
      <c r="N150" s="274"/>
      <c r="O150" s="274"/>
      <c r="P150" s="274"/>
      <c r="Q150" s="274"/>
      <c r="R150" s="274"/>
      <c r="S150" s="274"/>
      <c r="T150" s="274"/>
      <c r="U150" s="634"/>
      <c r="AW150" s="640" t="s">
        <v>2204</v>
      </c>
      <c r="AX150" s="446" t="e">
        <f>#REF!</f>
        <v>#REF!</v>
      </c>
    </row>
    <row r="151" spans="6:50">
      <c r="F151" s="274"/>
      <c r="G151" s="274"/>
      <c r="H151" s="274"/>
      <c r="I151" s="274"/>
      <c r="J151" s="274"/>
      <c r="K151" s="274"/>
      <c r="L151" s="274"/>
      <c r="M151" s="274"/>
      <c r="N151" s="274"/>
      <c r="O151" s="274"/>
      <c r="P151" s="274"/>
      <c r="Q151" s="274"/>
      <c r="R151" s="274"/>
      <c r="S151" s="274"/>
      <c r="T151" s="274"/>
      <c r="U151" s="634"/>
      <c r="AW151" s="640" t="s">
        <v>2205</v>
      </c>
      <c r="AX151" s="642" t="e">
        <f>AX149+AX150</f>
        <v>#REF!</v>
      </c>
    </row>
    <row r="152" spans="6:50">
      <c r="U152" s="634"/>
    </row>
    <row r="153" spans="6:50">
      <c r="U153" s="634"/>
    </row>
    <row r="154" spans="6:50">
      <c r="U154" s="634"/>
    </row>
    <row r="155" spans="6:50">
      <c r="U155" s="634"/>
    </row>
    <row r="156" spans="6:50">
      <c r="U156" s="634"/>
    </row>
    <row r="157" spans="6:50">
      <c r="U157" s="634"/>
    </row>
    <row r="158" spans="6:50">
      <c r="U158" s="634"/>
    </row>
    <row r="159" spans="6:50">
      <c r="U159" s="634"/>
    </row>
    <row r="160" spans="6:50">
      <c r="U160" s="634"/>
    </row>
    <row r="161" spans="21:21">
      <c r="U161" s="634"/>
    </row>
    <row r="162" spans="21:21">
      <c r="U162" s="634"/>
    </row>
    <row r="164" spans="21:21">
      <c r="U164" s="635"/>
    </row>
    <row r="166" spans="21:21">
      <c r="U166" s="635"/>
    </row>
    <row r="167" spans="21:21">
      <c r="U167" s="635"/>
    </row>
  </sheetData>
  <sheetProtection formatCells="0" formatColumns="0" formatRows="0" insertColumns="0" insertRows="0" insertHyperlinks="0" deleteColumns="0" deleteRows="0" sort="0" autoFilter="0" pivotTables="0"/>
  <sortState ref="A5:BC130">
    <sortCondition ref="AC5:AC130"/>
  </sortState>
  <mergeCells count="1">
    <mergeCell ref="AF3:AK3"/>
  </mergeCells>
  <conditionalFormatting sqref="AB4">
    <cfRule type="cellIs" dxfId="174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Q33"/>
  <sheetViews>
    <sheetView showZeros="0" rightToLeft="1" topLeftCell="A13" zoomScaleNormal="100" workbookViewId="0">
      <selection activeCell="C55" sqref="C55"/>
    </sheetView>
  </sheetViews>
  <sheetFormatPr defaultColWidth="9.140625" defaultRowHeight="14.25"/>
  <cols>
    <col min="1" max="3" width="4.140625" style="213" customWidth="1"/>
    <col min="4" max="4" width="38.85546875" style="213" customWidth="1"/>
    <col min="5" max="5" width="30.42578125" style="213" customWidth="1"/>
    <col min="6" max="6" width="10.85546875" style="213" customWidth="1"/>
    <col min="7" max="7" width="5.5703125" style="213" customWidth="1"/>
    <col min="8" max="9" width="12.140625" style="213" customWidth="1"/>
    <col min="10" max="10" width="7.85546875" style="213" customWidth="1"/>
    <col min="11" max="16384" width="9.140625" style="213"/>
  </cols>
  <sheetData>
    <row r="2" spans="1:17" ht="20.25">
      <c r="E2" s="214"/>
    </row>
    <row r="3" spans="1:17" ht="20.25">
      <c r="A3" s="212"/>
      <c r="C3" s="214" t="s">
        <v>1137</v>
      </c>
      <c r="D3" s="212"/>
      <c r="E3" s="212"/>
      <c r="F3" s="212"/>
      <c r="G3" s="212"/>
      <c r="H3" s="212"/>
      <c r="I3" s="212"/>
      <c r="J3" s="212"/>
      <c r="K3" s="212"/>
      <c r="L3" s="212"/>
    </row>
    <row r="4" spans="1:17" ht="20.25">
      <c r="A4" s="212"/>
      <c r="C4" s="214"/>
      <c r="D4" s="212"/>
      <c r="E4" s="212"/>
      <c r="F4" s="212"/>
      <c r="G4" s="212"/>
      <c r="H4" s="212"/>
      <c r="I4" s="212"/>
      <c r="J4" s="212"/>
      <c r="K4" s="212"/>
      <c r="L4" s="212"/>
    </row>
    <row r="5" spans="1:17" ht="20.25">
      <c r="A5" s="212"/>
      <c r="C5" s="214"/>
      <c r="D5" s="212" t="s">
        <v>2387</v>
      </c>
      <c r="E5" s="212"/>
      <c r="F5" s="212"/>
      <c r="G5" s="212"/>
      <c r="H5" s="212"/>
      <c r="I5" s="212"/>
      <c r="J5" s="212"/>
      <c r="K5" s="212"/>
      <c r="L5" s="212"/>
    </row>
    <row r="6" spans="1:17" ht="20.25">
      <c r="A6" s="212"/>
      <c r="C6" s="214"/>
      <c r="D6" s="212" t="s">
        <v>2388</v>
      </c>
      <c r="E6" s="212"/>
      <c r="F6" s="212"/>
      <c r="G6" s="212"/>
      <c r="H6" s="212"/>
      <c r="I6" s="212"/>
      <c r="J6" s="212"/>
      <c r="K6" s="212"/>
      <c r="L6" s="212"/>
    </row>
    <row r="7" spans="1:17" ht="21" thickBot="1">
      <c r="A7" s="212"/>
      <c r="C7" s="214"/>
      <c r="D7" s="212"/>
      <c r="E7" s="212"/>
      <c r="F7" s="212"/>
      <c r="G7" s="212"/>
      <c r="H7" s="212"/>
      <c r="I7" s="212"/>
      <c r="J7" s="212"/>
      <c r="K7" s="212"/>
      <c r="L7" s="212"/>
    </row>
    <row r="8" spans="1:17" ht="16.5" thickBot="1">
      <c r="A8" s="212"/>
      <c r="B8" s="215" t="s">
        <v>160</v>
      </c>
      <c r="C8" s="212" t="s">
        <v>2390</v>
      </c>
      <c r="D8" s="212"/>
      <c r="E8" s="212"/>
      <c r="F8" s="216">
        <f>'תקציב מינהל תפעול 2022'!U127</f>
        <v>84296766</v>
      </c>
      <c r="I8" s="212"/>
      <c r="J8" s="212"/>
      <c r="K8" s="212"/>
      <c r="L8" s="212"/>
    </row>
    <row r="9" spans="1:17" ht="15" customHeight="1" thickBot="1">
      <c r="A9" s="212"/>
      <c r="C9" s="214"/>
      <c r="D9" s="212"/>
      <c r="E9" s="212"/>
      <c r="F9" s="212"/>
      <c r="H9" s="212"/>
      <c r="I9" s="212"/>
      <c r="J9" s="212"/>
      <c r="K9" s="212"/>
      <c r="L9" s="212"/>
    </row>
    <row r="10" spans="1:17" ht="16.5" thickBot="1">
      <c r="B10" s="215" t="s">
        <v>160</v>
      </c>
      <c r="C10" s="212" t="s">
        <v>2391</v>
      </c>
      <c r="D10" s="212"/>
      <c r="F10" s="224">
        <f>'תקציב מינהל תפעול 2022'!A127</f>
        <v>122</v>
      </c>
      <c r="I10" s="212"/>
      <c r="J10" s="212"/>
      <c r="K10" s="212"/>
      <c r="L10" s="212"/>
      <c r="M10" s="212"/>
      <c r="N10" s="212"/>
      <c r="O10" s="212"/>
      <c r="P10" s="212"/>
      <c r="Q10" s="212"/>
    </row>
    <row r="11" spans="1:17" ht="15.75">
      <c r="B11" s="215"/>
      <c r="C11" s="212"/>
      <c r="D11" s="212"/>
      <c r="E11" s="212"/>
      <c r="F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</row>
    <row r="12" spans="1:17" ht="15.75">
      <c r="B12" s="215" t="s">
        <v>160</v>
      </c>
      <c r="C12" s="212" t="s">
        <v>273</v>
      </c>
      <c r="D12" s="212"/>
      <c r="E12" s="212"/>
      <c r="F12" s="212"/>
      <c r="G12" s="212"/>
      <c r="H12" s="212"/>
      <c r="I12" s="212"/>
      <c r="J12" s="212"/>
      <c r="K12" s="212"/>
      <c r="L12" s="212"/>
    </row>
    <row r="13" spans="1:17" ht="16.5" thickBot="1"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</row>
    <row r="14" spans="1:17" ht="15.75">
      <c r="D14" s="225" t="s">
        <v>274</v>
      </c>
      <c r="E14" s="226" t="s">
        <v>275</v>
      </c>
      <c r="F14" s="227" t="s">
        <v>277</v>
      </c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</row>
    <row r="15" spans="1:17" ht="15.75">
      <c r="C15" s="215"/>
      <c r="D15" s="219" t="s">
        <v>13</v>
      </c>
      <c r="E15" s="228">
        <f>'תקציב מינהל תפעול 2022'!V127</f>
        <v>22084574</v>
      </c>
      <c r="F15" s="251">
        <f>E15/$E$19</f>
        <v>0.26198601735207733</v>
      </c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</row>
    <row r="16" spans="1:17" ht="15.75">
      <c r="C16" s="215"/>
      <c r="D16" s="219" t="s">
        <v>14</v>
      </c>
      <c r="E16" s="228">
        <f>'תקציב מינהל תפעול 2022'!W127</f>
        <v>44644649</v>
      </c>
      <c r="F16" s="251">
        <f>E16/$E$19</f>
        <v>0.5296128323594288</v>
      </c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</row>
    <row r="17" spans="1:17" ht="15.75" hidden="1">
      <c r="C17" s="215"/>
      <c r="D17" s="219" t="s">
        <v>749</v>
      </c>
      <c r="E17" s="228"/>
      <c r="F17" s="251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</row>
    <row r="18" spans="1:17" ht="15.75">
      <c r="C18" s="215"/>
      <c r="D18" s="219" t="s">
        <v>84</v>
      </c>
      <c r="E18" s="228">
        <f>'תקציב מינהל תפעול 2022'!AA127</f>
        <v>17567543</v>
      </c>
      <c r="F18" s="251">
        <f>E18/$E$19</f>
        <v>0.20840115028849387</v>
      </c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</row>
    <row r="19" spans="1:17" ht="16.5" thickBot="1">
      <c r="C19" s="215"/>
      <c r="D19" s="222" t="s">
        <v>94</v>
      </c>
      <c r="E19" s="230">
        <f>SUM(E15:E18)</f>
        <v>84296766</v>
      </c>
      <c r="F19" s="304">
        <f>SUM(F15:F18)</f>
        <v>1</v>
      </c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</row>
    <row r="20" spans="1:17" ht="15.75">
      <c r="C20" s="215"/>
      <c r="D20" s="218"/>
      <c r="E20" s="239"/>
      <c r="F20" s="366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</row>
    <row r="21" spans="1:17" ht="15.75">
      <c r="B21" s="215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</row>
    <row r="22" spans="1:17" s="295" customFormat="1" ht="15.75">
      <c r="C22" s="297" t="s">
        <v>160</v>
      </c>
      <c r="D22" s="294" t="s">
        <v>797</v>
      </c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</row>
    <row r="23" spans="1:17" s="295" customFormat="1" ht="15.75">
      <c r="C23" s="297"/>
      <c r="D23" s="294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</row>
    <row r="24" spans="1:17" s="295" customFormat="1" ht="15.75">
      <c r="A24" s="294"/>
      <c r="B24" s="294"/>
      <c r="C24" s="294"/>
      <c r="D24" s="360" t="s">
        <v>2398</v>
      </c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</row>
    <row r="25" spans="1:17" s="295" customFormat="1" ht="15.75">
      <c r="A25" s="294"/>
      <c r="B25" s="294"/>
      <c r="C25" s="294"/>
      <c r="D25" s="360" t="s">
        <v>2399</v>
      </c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</row>
    <row r="26" spans="1:17" s="295" customFormat="1" ht="15.75">
      <c r="A26" s="294"/>
      <c r="B26" s="294"/>
      <c r="C26" s="294"/>
      <c r="D26" s="360" t="s">
        <v>2435</v>
      </c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</row>
    <row r="27" spans="1:17" s="295" customFormat="1" ht="15.75">
      <c r="C27" s="297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</row>
    <row r="28" spans="1:17" s="295" customFormat="1" ht="15.75">
      <c r="A28" s="294"/>
      <c r="B28" s="294"/>
      <c r="C28" s="294"/>
      <c r="D28" s="360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</row>
    <row r="29" spans="1:17" ht="15.75">
      <c r="A29" s="212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</row>
    <row r="30" spans="1:17" ht="15.75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</row>
    <row r="31" spans="1:17" ht="15.75">
      <c r="C31" s="212"/>
      <c r="D31" s="212"/>
      <c r="E31" s="212"/>
      <c r="F31" s="212"/>
      <c r="H31" s="212"/>
      <c r="I31" s="212"/>
      <c r="J31" s="212"/>
      <c r="K31" s="212"/>
      <c r="L31" s="212"/>
    </row>
    <row r="32" spans="1:17" ht="15.75">
      <c r="B32" s="215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</row>
    <row r="33" spans="3:17" s="317" customFormat="1" ht="15.75">
      <c r="C33" s="318" t="s">
        <v>160</v>
      </c>
      <c r="D33" s="319" t="s">
        <v>2493</v>
      </c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319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Q42"/>
  <sheetViews>
    <sheetView showZeros="0" rightToLeft="1" topLeftCell="A10" zoomScaleNormal="100" workbookViewId="0">
      <selection activeCell="C55" sqref="C55"/>
    </sheetView>
  </sheetViews>
  <sheetFormatPr defaultColWidth="9.140625" defaultRowHeight="14.25"/>
  <cols>
    <col min="1" max="3" width="4.140625" style="213" customWidth="1"/>
    <col min="4" max="4" width="40.140625" style="213" customWidth="1"/>
    <col min="5" max="5" width="30.42578125" style="213" customWidth="1"/>
    <col min="6" max="6" width="10.85546875" style="213" customWidth="1"/>
    <col min="7" max="7" width="5.5703125" style="213" customWidth="1"/>
    <col min="8" max="9" width="12.140625" style="213" customWidth="1"/>
    <col min="10" max="10" width="7.85546875" style="213" customWidth="1"/>
    <col min="11" max="16384" width="9.140625" style="213"/>
  </cols>
  <sheetData>
    <row r="2" spans="1:17" ht="20.25">
      <c r="E2" s="214"/>
    </row>
    <row r="3" spans="1:17" ht="20.25">
      <c r="A3" s="212"/>
      <c r="C3" s="214" t="s">
        <v>1892</v>
      </c>
      <c r="D3" s="212"/>
      <c r="E3" s="212"/>
      <c r="F3" s="212"/>
      <c r="G3" s="212"/>
      <c r="H3" s="212"/>
      <c r="I3" s="212"/>
      <c r="J3" s="212"/>
      <c r="K3" s="212"/>
      <c r="L3" s="212"/>
    </row>
    <row r="4" spans="1:17" ht="20.25">
      <c r="A4" s="212"/>
      <c r="C4" s="214"/>
      <c r="D4" s="212"/>
      <c r="E4" s="212"/>
      <c r="F4" s="212"/>
      <c r="G4" s="212"/>
      <c r="H4" s="212"/>
      <c r="I4" s="212"/>
      <c r="J4" s="212"/>
      <c r="K4" s="212"/>
      <c r="L4" s="212"/>
    </row>
    <row r="5" spans="1:17" ht="15.75">
      <c r="B5" s="215" t="s">
        <v>160</v>
      </c>
      <c r="C5" s="212" t="s">
        <v>2379</v>
      </c>
      <c r="D5" s="212"/>
      <c r="E5" s="212"/>
      <c r="F5" s="212"/>
      <c r="H5" s="221"/>
      <c r="I5" s="212"/>
      <c r="J5" s="212"/>
      <c r="K5" s="212"/>
      <c r="L5" s="212"/>
      <c r="M5" s="212"/>
      <c r="N5" s="212"/>
      <c r="O5" s="212"/>
      <c r="P5" s="212"/>
      <c r="Q5" s="212"/>
    </row>
    <row r="6" spans="1:17" ht="16.5" thickBot="1">
      <c r="C6" s="212"/>
      <c r="D6" s="212"/>
      <c r="E6" s="212"/>
      <c r="F6" s="212"/>
      <c r="H6" s="212"/>
      <c r="I6" s="212"/>
      <c r="J6" s="212"/>
      <c r="K6" s="212"/>
      <c r="L6" s="212"/>
    </row>
    <row r="7" spans="1:17" ht="15.75">
      <c r="D7" s="225" t="s">
        <v>278</v>
      </c>
      <c r="E7" s="217" t="s">
        <v>275</v>
      </c>
      <c r="F7" s="218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</row>
    <row r="8" spans="1:17" ht="31.5">
      <c r="C8" s="215"/>
      <c r="D8" s="325" t="s">
        <v>1457</v>
      </c>
      <c r="E8" s="220">
        <f>'תקציב מינהל תפעול 2022'!U116</f>
        <v>6500000</v>
      </c>
      <c r="F8" s="221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</row>
    <row r="9" spans="1:17" ht="15.75">
      <c r="C9" s="215"/>
      <c r="D9" s="232" t="s">
        <v>483</v>
      </c>
      <c r="E9" s="233">
        <f>'תקציב מינהל תפעול 2022'!U17</f>
        <v>6500000</v>
      </c>
      <c r="F9" s="221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</row>
    <row r="10" spans="1:17" ht="31.5">
      <c r="C10" s="215"/>
      <c r="D10" s="237" t="s">
        <v>1422</v>
      </c>
      <c r="E10" s="233">
        <f>'תקציב מינהל תפעול 2022'!U103</f>
        <v>6200000</v>
      </c>
      <c r="F10" s="221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</row>
    <row r="11" spans="1:17" ht="15.75">
      <c r="C11" s="215"/>
      <c r="D11" s="237" t="s">
        <v>360</v>
      </c>
      <c r="E11" s="233">
        <f>'תקציב מינהל תפעול 2022'!U9</f>
        <v>4000000</v>
      </c>
      <c r="F11" s="221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</row>
    <row r="12" spans="1:17" ht="15.75">
      <c r="C12" s="215"/>
      <c r="D12" s="232" t="s">
        <v>289</v>
      </c>
      <c r="E12" s="233">
        <f>'תקציב מינהל תפעול 2022'!U48</f>
        <v>3750000</v>
      </c>
      <c r="F12" s="221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</row>
    <row r="13" spans="1:17" ht="15.75">
      <c r="C13" s="215"/>
      <c r="D13" s="237" t="s">
        <v>2393</v>
      </c>
      <c r="E13" s="233">
        <f>'תקציב מינהל תפעול 2022'!U15</f>
        <v>3500000</v>
      </c>
      <c r="F13" s="221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</row>
    <row r="14" spans="1:17" ht="15.75">
      <c r="C14" s="215"/>
      <c r="D14" s="232" t="s">
        <v>2394</v>
      </c>
      <c r="E14" s="233">
        <f>'תקציב מינהל תפעול 2022'!U125</f>
        <v>3200000</v>
      </c>
      <c r="F14" s="221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</row>
    <row r="15" spans="1:17" ht="15.75">
      <c r="C15" s="215"/>
      <c r="D15" s="232" t="s">
        <v>1434</v>
      </c>
      <c r="E15" s="233">
        <f>'תקציב מינהל תפעול 2022'!U107</f>
        <v>3000000</v>
      </c>
      <c r="F15" s="221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</row>
    <row r="16" spans="1:17" ht="16.5" thickBot="1">
      <c r="C16" s="215"/>
      <c r="D16" s="234" t="s">
        <v>2395</v>
      </c>
      <c r="E16" s="235">
        <f>'תקציב מינהל תפעול 2022'!U53</f>
        <v>3000000</v>
      </c>
      <c r="F16" s="221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</row>
    <row r="17" spans="1:17" ht="15.75">
      <c r="B17" s="215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</row>
    <row r="18" spans="1:17" ht="15.75">
      <c r="B18" s="215" t="s">
        <v>160</v>
      </c>
      <c r="C18" s="212"/>
      <c r="D18" s="221" t="s">
        <v>2418</v>
      </c>
      <c r="E18" s="212"/>
      <c r="F18" s="212"/>
      <c r="H18" s="221"/>
      <c r="I18" s="212"/>
      <c r="J18" s="212"/>
      <c r="K18" s="212"/>
      <c r="L18" s="212"/>
      <c r="M18" s="212"/>
      <c r="N18" s="212"/>
      <c r="O18" s="212"/>
      <c r="P18" s="212"/>
      <c r="Q18" s="212"/>
    </row>
    <row r="19" spans="1:17" ht="15.75">
      <c r="B19" s="215"/>
      <c r="C19" s="212"/>
      <c r="D19" s="212" t="s">
        <v>2419</v>
      </c>
      <c r="E19" s="212"/>
      <c r="F19" s="212"/>
      <c r="G19" s="212"/>
      <c r="I19" s="212"/>
      <c r="J19" s="212"/>
      <c r="K19" s="212"/>
      <c r="L19" s="212"/>
      <c r="M19" s="212"/>
      <c r="N19" s="212"/>
      <c r="O19" s="212"/>
      <c r="P19" s="212"/>
      <c r="Q19" s="212"/>
    </row>
    <row r="20" spans="1:17" ht="15.75">
      <c r="B20" s="215"/>
      <c r="C20" s="212"/>
      <c r="D20" s="212" t="s">
        <v>2396</v>
      </c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</row>
    <row r="21" spans="1:17" ht="15.75">
      <c r="C21" s="215"/>
      <c r="D21" s="221"/>
      <c r="E21" s="244"/>
      <c r="F21" s="221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</row>
    <row r="22" spans="1:17" ht="15.75">
      <c r="B22" s="215"/>
      <c r="C22" s="212"/>
      <c r="D22" s="309" t="s">
        <v>2470</v>
      </c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</row>
    <row r="23" spans="1:17" ht="15.75">
      <c r="A23" s="223"/>
      <c r="B23" s="238"/>
    </row>
    <row r="24" spans="1:17" ht="15.75">
      <c r="A24" s="212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</row>
    <row r="25" spans="1:17" ht="15.75">
      <c r="A25" s="212"/>
      <c r="B25" s="212"/>
      <c r="C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</row>
    <row r="26" spans="1:17" ht="15.75">
      <c r="B26" s="215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</row>
    <row r="42" spans="4:4" ht="15.75">
      <c r="D42" s="212"/>
    </row>
  </sheetData>
  <sortState ref="A8:Q16">
    <sortCondition descending="1" ref="E8:E16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T145"/>
  <sheetViews>
    <sheetView showZeros="0" rightToLeft="1" zoomScaleNormal="100" workbookViewId="0">
      <pane xSplit="4" ySplit="4" topLeftCell="E87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8.85546875" defaultRowHeight="12.75"/>
  <cols>
    <col min="1" max="1" width="4.7109375" style="461" customWidth="1"/>
    <col min="2" max="2" width="5.42578125" style="461" customWidth="1"/>
    <col min="3" max="3" width="23" style="461" customWidth="1"/>
    <col min="4" max="6" width="10.140625" style="461" customWidth="1"/>
    <col min="7" max="11" width="10.42578125" style="461" hidden="1" customWidth="1"/>
    <col min="12" max="15" width="10.140625" style="461" customWidth="1"/>
    <col min="16" max="19" width="10.42578125" style="461" hidden="1" customWidth="1"/>
    <col min="20" max="23" width="10.140625" style="461" customWidth="1"/>
    <col min="24" max="26" width="10.42578125" style="461" hidden="1" customWidth="1"/>
    <col min="27" max="27" width="10.140625" style="461" customWidth="1"/>
    <col min="28" max="28" width="28.140625" style="194" hidden="1" customWidth="1"/>
    <col min="29" max="29" width="8.7109375" style="194" hidden="1" customWidth="1"/>
    <col min="30" max="30" width="38.42578125" style="462" customWidth="1"/>
    <col min="31" max="31" width="33" style="462" customWidth="1"/>
    <col min="32" max="32" width="26.5703125" style="462" customWidth="1"/>
    <col min="33" max="33" width="21.5703125" style="462" customWidth="1"/>
    <col min="34" max="34" width="18" style="462" customWidth="1"/>
    <col min="35" max="35" width="24.5703125" style="462" customWidth="1"/>
    <col min="36" max="36" width="27.28515625" style="462" customWidth="1"/>
    <col min="37" max="37" width="21.28515625" style="462" customWidth="1"/>
    <col min="38" max="38" width="7.42578125" style="462" customWidth="1"/>
    <col min="39" max="39" width="4.7109375" style="462" customWidth="1"/>
    <col min="40" max="41" width="21.28515625" style="462" customWidth="1"/>
    <col min="42" max="43" width="11.28515625" style="462" customWidth="1"/>
    <col min="44" max="44" width="22.28515625" style="462" customWidth="1"/>
    <col min="45" max="45" width="12.42578125" style="462" customWidth="1"/>
    <col min="46" max="46" width="14.85546875" style="462" customWidth="1"/>
    <col min="47" max="16384" width="8.85546875" style="194"/>
  </cols>
  <sheetData>
    <row r="1" spans="1:46" ht="15">
      <c r="A1" s="28"/>
      <c r="B1" s="384"/>
      <c r="C1" s="38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2"/>
    </row>
    <row r="2" spans="1:46" ht="18.75">
      <c r="A2" s="63" t="s">
        <v>1137</v>
      </c>
      <c r="B2" s="63"/>
      <c r="C2" s="38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2"/>
    </row>
    <row r="3" spans="1:46" ht="20.25">
      <c r="B3" s="466"/>
      <c r="C3" s="466"/>
      <c r="D3" s="14"/>
      <c r="E3" s="14"/>
      <c r="F3" s="14"/>
      <c r="G3" s="14"/>
      <c r="H3" s="14"/>
      <c r="I3" s="14"/>
      <c r="J3" s="14"/>
      <c r="K3" s="14"/>
      <c r="L3" s="14"/>
      <c r="M3" s="467"/>
      <c r="N3" s="14"/>
      <c r="O3" s="14"/>
      <c r="P3" s="14"/>
      <c r="Q3" s="14"/>
      <c r="R3" s="14"/>
      <c r="S3" s="14"/>
      <c r="T3" s="14"/>
      <c r="U3" s="12"/>
      <c r="V3" s="12"/>
      <c r="W3" s="12"/>
      <c r="X3" s="12"/>
      <c r="Y3" s="12"/>
      <c r="Z3" s="12"/>
      <c r="AA3" s="12"/>
      <c r="AB3" s="18"/>
      <c r="AC3" s="12"/>
    </row>
    <row r="4" spans="1:46" s="472" customFormat="1" ht="59.45" customHeight="1">
      <c r="A4" s="372" t="s">
        <v>0</v>
      </c>
      <c r="B4" s="372" t="s">
        <v>1</v>
      </c>
      <c r="C4" s="372" t="s">
        <v>2</v>
      </c>
      <c r="D4" s="372" t="s">
        <v>3</v>
      </c>
      <c r="E4" s="372" t="s">
        <v>4</v>
      </c>
      <c r="F4" s="372" t="s">
        <v>5</v>
      </c>
      <c r="G4" s="372" t="s">
        <v>6</v>
      </c>
      <c r="H4" s="372" t="s">
        <v>7</v>
      </c>
      <c r="I4" s="372" t="s">
        <v>9</v>
      </c>
      <c r="J4" s="372" t="s">
        <v>153</v>
      </c>
      <c r="K4" s="372" t="s">
        <v>10</v>
      </c>
      <c r="L4" s="372" t="s">
        <v>11</v>
      </c>
      <c r="M4" s="371" t="s">
        <v>891</v>
      </c>
      <c r="N4" s="371" t="s">
        <v>892</v>
      </c>
      <c r="O4" s="371" t="s">
        <v>893</v>
      </c>
      <c r="P4" s="371" t="s">
        <v>12</v>
      </c>
      <c r="Q4" s="371" t="s">
        <v>894</v>
      </c>
      <c r="R4" s="371" t="s">
        <v>895</v>
      </c>
      <c r="S4" s="371" t="s">
        <v>896</v>
      </c>
      <c r="T4" s="371" t="s">
        <v>897</v>
      </c>
      <c r="U4" s="525" t="s">
        <v>898</v>
      </c>
      <c r="V4" s="372" t="s">
        <v>13</v>
      </c>
      <c r="W4" s="372" t="s">
        <v>14</v>
      </c>
      <c r="X4" s="372" t="s">
        <v>15</v>
      </c>
      <c r="Y4" s="372" t="s">
        <v>265</v>
      </c>
      <c r="Z4" s="372" t="s">
        <v>749</v>
      </c>
      <c r="AA4" s="372" t="s">
        <v>84</v>
      </c>
      <c r="AB4" s="525" t="s">
        <v>304</v>
      </c>
      <c r="AC4" s="372" t="s">
        <v>16</v>
      </c>
      <c r="AD4" s="462"/>
      <c r="AE4" s="462"/>
      <c r="AF4" s="462"/>
      <c r="AG4" s="462"/>
      <c r="AH4" s="462"/>
      <c r="AI4" s="462"/>
      <c r="AJ4" s="462"/>
      <c r="AK4" s="462"/>
      <c r="AL4" s="462"/>
      <c r="AM4" s="462"/>
      <c r="AN4" s="462"/>
      <c r="AO4" s="462"/>
      <c r="AP4" s="462"/>
      <c r="AQ4" s="462"/>
      <c r="AR4" s="462"/>
      <c r="AS4" s="462"/>
      <c r="AT4" s="462"/>
    </row>
    <row r="5" spans="1:46" s="479" customFormat="1" ht="30" customHeight="1">
      <c r="A5" s="3">
        <v>1</v>
      </c>
      <c r="B5" s="3">
        <v>1134</v>
      </c>
      <c r="C5" s="3" t="s">
        <v>60</v>
      </c>
      <c r="D5" s="4">
        <f>2850000-45000</f>
        <v>2805000</v>
      </c>
      <c r="E5" s="4">
        <v>2795000</v>
      </c>
      <c r="F5" s="4">
        <f t="shared" ref="F5:F68" si="0">D5-E5</f>
        <v>10000</v>
      </c>
      <c r="G5" s="4">
        <v>2655000</v>
      </c>
      <c r="H5" s="4">
        <v>2558095</v>
      </c>
      <c r="I5" s="4">
        <v>0</v>
      </c>
      <c r="J5" s="4">
        <v>81315</v>
      </c>
      <c r="K5" s="4">
        <f>I5+J5</f>
        <v>81315</v>
      </c>
      <c r="L5" s="4">
        <f>H5+K5</f>
        <v>2639410</v>
      </c>
      <c r="M5" s="4">
        <f t="shared" ref="M5:M26" si="1">P5+S5</f>
        <v>15590</v>
      </c>
      <c r="N5" s="4">
        <v>150000</v>
      </c>
      <c r="O5" s="4">
        <f t="shared" ref="O5:O68" si="2">D5-L5-M5-N5</f>
        <v>0</v>
      </c>
      <c r="P5" s="4">
        <f t="shared" ref="P5:P68" si="3">G5-L5</f>
        <v>15590</v>
      </c>
      <c r="Q5" s="4"/>
      <c r="R5" s="4"/>
      <c r="S5" s="4">
        <f t="shared" ref="S5:S68" si="4">SUM(Q5:R5)</f>
        <v>0</v>
      </c>
      <c r="T5" s="4">
        <f t="shared" ref="T5:T68" si="5">P5-M5+S5</f>
        <v>0</v>
      </c>
      <c r="U5" s="4">
        <f t="shared" ref="U5:U68" si="6">N5-T5</f>
        <v>150000</v>
      </c>
      <c r="V5" s="4">
        <f>U5-W5-X5-Z5-AA5</f>
        <v>150000</v>
      </c>
      <c r="W5" s="4"/>
      <c r="X5" s="4"/>
      <c r="Y5" s="4"/>
      <c r="Z5" s="4"/>
      <c r="AA5" s="4"/>
      <c r="AB5" s="3" t="s">
        <v>1148</v>
      </c>
      <c r="AC5" s="3">
        <v>746000</v>
      </c>
      <c r="AD5" s="462"/>
      <c r="AE5" s="462"/>
      <c r="AF5" s="462"/>
      <c r="AG5" s="462"/>
      <c r="AH5" s="462"/>
      <c r="AI5" s="462"/>
      <c r="AJ5" s="462"/>
      <c r="AK5" s="462"/>
      <c r="AL5" s="462"/>
      <c r="AM5" s="462"/>
      <c r="AN5" s="462"/>
      <c r="AO5" s="462"/>
      <c r="AP5" s="462"/>
      <c r="AQ5" s="462"/>
      <c r="AR5" s="462"/>
      <c r="AS5" s="462"/>
      <c r="AT5" s="462"/>
    </row>
    <row r="6" spans="1:46" ht="30" customHeight="1">
      <c r="A6" s="3">
        <f t="shared" ref="A6:A69" si="7">A5+1</f>
        <v>2</v>
      </c>
      <c r="B6" s="3">
        <v>1210</v>
      </c>
      <c r="C6" s="3" t="s">
        <v>64</v>
      </c>
      <c r="D6" s="4">
        <f>113550000+20000000-20000000</f>
        <v>113550000</v>
      </c>
      <c r="E6" s="4">
        <v>113550000</v>
      </c>
      <c r="F6" s="4">
        <f t="shared" si="0"/>
        <v>0</v>
      </c>
      <c r="G6" s="4">
        <v>92400000</v>
      </c>
      <c r="H6" s="4">
        <v>89559774</v>
      </c>
      <c r="I6" s="4">
        <v>0</v>
      </c>
      <c r="J6" s="4">
        <v>638005</v>
      </c>
      <c r="K6" s="4">
        <f>I6+J6</f>
        <v>638005</v>
      </c>
      <c r="L6" s="4">
        <f>H6+K6</f>
        <v>90197779</v>
      </c>
      <c r="M6" s="4">
        <f t="shared" si="1"/>
        <v>2202221</v>
      </c>
      <c r="N6" s="4">
        <f>24000000-8000000-2000000-4000000</f>
        <v>10000000</v>
      </c>
      <c r="O6" s="4">
        <f t="shared" si="2"/>
        <v>11150000</v>
      </c>
      <c r="P6" s="4">
        <f t="shared" si="3"/>
        <v>2202221</v>
      </c>
      <c r="Q6" s="4"/>
      <c r="R6" s="4"/>
      <c r="S6" s="4">
        <f t="shared" si="4"/>
        <v>0</v>
      </c>
      <c r="T6" s="4">
        <f t="shared" si="5"/>
        <v>0</v>
      </c>
      <c r="U6" s="4">
        <f t="shared" si="6"/>
        <v>10000000</v>
      </c>
      <c r="V6" s="4"/>
      <c r="W6" s="4"/>
      <c r="X6" s="4"/>
      <c r="Y6" s="4"/>
      <c r="Z6" s="4"/>
      <c r="AA6" s="4">
        <f>U6</f>
        <v>10000000</v>
      </c>
      <c r="AB6" s="3" t="s">
        <v>588</v>
      </c>
      <c r="AC6" s="3">
        <v>764000</v>
      </c>
    </row>
    <row r="7" spans="1:46" ht="30" customHeight="1">
      <c r="A7" s="3">
        <f t="shared" si="7"/>
        <v>3</v>
      </c>
      <c r="B7" s="3">
        <v>1247</v>
      </c>
      <c r="C7" s="3" t="s">
        <v>50</v>
      </c>
      <c r="D7" s="4">
        <f>9630000+20000-150000</f>
        <v>9500000</v>
      </c>
      <c r="E7" s="4">
        <v>9500000</v>
      </c>
      <c r="F7" s="4">
        <f t="shared" si="0"/>
        <v>0</v>
      </c>
      <c r="G7" s="4">
        <f>9200000+50000</f>
        <v>9250000</v>
      </c>
      <c r="H7" s="4">
        <v>8825451</v>
      </c>
      <c r="I7" s="4">
        <v>5068</v>
      </c>
      <c r="J7" s="4">
        <v>399022</v>
      </c>
      <c r="K7" s="4">
        <f>SUM(I7:J7)</f>
        <v>404090</v>
      </c>
      <c r="L7" s="4">
        <f>K7+H7</f>
        <v>9229541</v>
      </c>
      <c r="M7" s="4">
        <f t="shared" si="1"/>
        <v>20459</v>
      </c>
      <c r="N7" s="4">
        <f>400000-200000</f>
        <v>200000</v>
      </c>
      <c r="O7" s="4">
        <f t="shared" si="2"/>
        <v>50000</v>
      </c>
      <c r="P7" s="4">
        <f t="shared" si="3"/>
        <v>20459</v>
      </c>
      <c r="Q7" s="4"/>
      <c r="R7" s="4"/>
      <c r="S7" s="4">
        <f t="shared" si="4"/>
        <v>0</v>
      </c>
      <c r="T7" s="4">
        <f t="shared" si="5"/>
        <v>0</v>
      </c>
      <c r="U7" s="4">
        <f t="shared" si="6"/>
        <v>200000</v>
      </c>
      <c r="V7" s="4"/>
      <c r="W7" s="4">
        <f t="shared" ref="W7:W45" si="8">U7-V7-AA7</f>
        <v>200000</v>
      </c>
      <c r="X7" s="4"/>
      <c r="Y7" s="4"/>
      <c r="Z7" s="4"/>
      <c r="AA7" s="3"/>
      <c r="AB7" s="3" t="s">
        <v>1155</v>
      </c>
      <c r="AC7" s="3">
        <v>732000</v>
      </c>
    </row>
    <row r="8" spans="1:46" ht="30" customHeight="1">
      <c r="A8" s="3">
        <f t="shared" si="7"/>
        <v>4</v>
      </c>
      <c r="B8" s="3">
        <v>1253</v>
      </c>
      <c r="C8" s="3" t="s">
        <v>51</v>
      </c>
      <c r="D8" s="4">
        <v>5600000</v>
      </c>
      <c r="E8" s="4">
        <v>5200000</v>
      </c>
      <c r="F8" s="4">
        <f t="shared" si="0"/>
        <v>400000</v>
      </c>
      <c r="G8" s="4">
        <v>4900000</v>
      </c>
      <c r="H8" s="4">
        <v>4676568</v>
      </c>
      <c r="I8" s="4">
        <v>0</v>
      </c>
      <c r="J8" s="4">
        <v>126598</v>
      </c>
      <c r="K8" s="4">
        <f>SUM(I8:J8)</f>
        <v>126598</v>
      </c>
      <c r="L8" s="4">
        <f>K8+H8</f>
        <v>4803166</v>
      </c>
      <c r="M8" s="4">
        <f t="shared" si="1"/>
        <v>296834</v>
      </c>
      <c r="N8" s="4">
        <v>500000</v>
      </c>
      <c r="O8" s="4">
        <f t="shared" si="2"/>
        <v>0</v>
      </c>
      <c r="P8" s="4">
        <f t="shared" si="3"/>
        <v>96834</v>
      </c>
      <c r="Q8" s="4">
        <v>200000</v>
      </c>
      <c r="R8" s="4"/>
      <c r="S8" s="4">
        <f t="shared" si="4"/>
        <v>200000</v>
      </c>
      <c r="T8" s="4">
        <f t="shared" si="5"/>
        <v>0</v>
      </c>
      <c r="U8" s="4">
        <f t="shared" si="6"/>
        <v>500000</v>
      </c>
      <c r="V8" s="4"/>
      <c r="W8" s="4">
        <f t="shared" si="8"/>
        <v>500000</v>
      </c>
      <c r="X8" s="4"/>
      <c r="Y8" s="4"/>
      <c r="Z8" s="4"/>
      <c r="AA8" s="3"/>
      <c r="AB8" s="3" t="s">
        <v>339</v>
      </c>
      <c r="AC8" s="3">
        <v>850000</v>
      </c>
    </row>
    <row r="9" spans="1:46" ht="30" customHeight="1">
      <c r="A9" s="3">
        <f t="shared" si="7"/>
        <v>5</v>
      </c>
      <c r="B9" s="3">
        <v>1254</v>
      </c>
      <c r="C9" s="3" t="s">
        <v>360</v>
      </c>
      <c r="D9" s="4">
        <f>49000000+10000000-10000000</f>
        <v>49000000</v>
      </c>
      <c r="E9" s="4">
        <v>49000000</v>
      </c>
      <c r="F9" s="4">
        <f t="shared" si="0"/>
        <v>0</v>
      </c>
      <c r="G9" s="4">
        <v>43072866</v>
      </c>
      <c r="H9" s="4">
        <v>40003100</v>
      </c>
      <c r="I9" s="4">
        <v>0</v>
      </c>
      <c r="J9" s="4">
        <v>3065769</v>
      </c>
      <c r="K9" s="4">
        <f>I9+J9</f>
        <v>3065769</v>
      </c>
      <c r="L9" s="4">
        <f>H9+K9</f>
        <v>43068869</v>
      </c>
      <c r="M9" s="4">
        <f t="shared" si="1"/>
        <v>3997</v>
      </c>
      <c r="N9" s="4">
        <f>6200000+3300000-4500000-1000000</f>
        <v>4000000</v>
      </c>
      <c r="O9" s="4">
        <f t="shared" si="2"/>
        <v>1927134</v>
      </c>
      <c r="P9" s="4">
        <f t="shared" si="3"/>
        <v>3997</v>
      </c>
      <c r="Q9" s="4"/>
      <c r="R9" s="4"/>
      <c r="S9" s="4">
        <f t="shared" si="4"/>
        <v>0</v>
      </c>
      <c r="T9" s="4">
        <f t="shared" si="5"/>
        <v>0</v>
      </c>
      <c r="U9" s="4">
        <f t="shared" si="6"/>
        <v>4000000</v>
      </c>
      <c r="V9" s="4"/>
      <c r="W9" s="161">
        <f t="shared" si="8"/>
        <v>4000000</v>
      </c>
      <c r="X9" s="4"/>
      <c r="Y9" s="4"/>
      <c r="Z9" s="4"/>
      <c r="AA9" s="4"/>
      <c r="AB9" s="3" t="s">
        <v>589</v>
      </c>
      <c r="AC9" s="3">
        <v>746000</v>
      </c>
    </row>
    <row r="10" spans="1:46" ht="30" customHeight="1">
      <c r="A10" s="3">
        <f t="shared" si="7"/>
        <v>6</v>
      </c>
      <c r="B10" s="3">
        <v>1342</v>
      </c>
      <c r="C10" s="3" t="s">
        <v>71</v>
      </c>
      <c r="D10" s="4">
        <f>4700000+2000000-2000000</f>
        <v>4700000</v>
      </c>
      <c r="E10" s="4">
        <v>4700000</v>
      </c>
      <c r="F10" s="4">
        <f t="shared" si="0"/>
        <v>0</v>
      </c>
      <c r="G10" s="4">
        <v>2890000</v>
      </c>
      <c r="H10" s="4">
        <v>2878272</v>
      </c>
      <c r="I10" s="4">
        <v>0</v>
      </c>
      <c r="J10" s="4">
        <v>0</v>
      </c>
      <c r="K10" s="4">
        <f>I10+J10</f>
        <v>0</v>
      </c>
      <c r="L10" s="4">
        <f>H10+K10</f>
        <v>2878272</v>
      </c>
      <c r="M10" s="4">
        <f t="shared" si="1"/>
        <v>11728</v>
      </c>
      <c r="N10" s="4">
        <v>1050000</v>
      </c>
      <c r="O10" s="4">
        <f t="shared" si="2"/>
        <v>760000</v>
      </c>
      <c r="P10" s="4">
        <f t="shared" si="3"/>
        <v>11728</v>
      </c>
      <c r="Q10" s="4"/>
      <c r="R10" s="4"/>
      <c r="S10" s="4">
        <f t="shared" si="4"/>
        <v>0</v>
      </c>
      <c r="T10" s="4">
        <f t="shared" si="5"/>
        <v>0</v>
      </c>
      <c r="U10" s="4">
        <f t="shared" si="6"/>
        <v>1050000</v>
      </c>
      <c r="V10" s="4">
        <v>850000</v>
      </c>
      <c r="W10" s="161">
        <f t="shared" si="8"/>
        <v>200000</v>
      </c>
      <c r="X10" s="4"/>
      <c r="Y10" s="4"/>
      <c r="Z10" s="4"/>
      <c r="AA10" s="4"/>
      <c r="AB10" s="3" t="s">
        <v>2447</v>
      </c>
      <c r="AC10" s="3">
        <v>746000</v>
      </c>
    </row>
    <row r="11" spans="1:46" ht="30" customHeight="1">
      <c r="A11" s="3">
        <f t="shared" si="7"/>
        <v>7</v>
      </c>
      <c r="B11" s="3">
        <v>1343</v>
      </c>
      <c r="C11" s="3" t="s">
        <v>72</v>
      </c>
      <c r="D11" s="4">
        <f>8000000-830000</f>
        <v>7170000</v>
      </c>
      <c r="E11" s="4">
        <v>7020000</v>
      </c>
      <c r="F11" s="4">
        <f t="shared" si="0"/>
        <v>150000</v>
      </c>
      <c r="G11" s="4">
        <v>7020000</v>
      </c>
      <c r="H11" s="4">
        <v>6344296</v>
      </c>
      <c r="I11" s="4">
        <v>0</v>
      </c>
      <c r="J11" s="4">
        <v>502097</v>
      </c>
      <c r="K11" s="4">
        <f>I11+J11</f>
        <v>502097</v>
      </c>
      <c r="L11" s="4">
        <f>H11+K11</f>
        <v>6846393</v>
      </c>
      <c r="M11" s="4">
        <f t="shared" si="1"/>
        <v>173607</v>
      </c>
      <c r="N11" s="4">
        <f>200000-50000</f>
        <v>150000</v>
      </c>
      <c r="O11" s="4">
        <f t="shared" si="2"/>
        <v>0</v>
      </c>
      <c r="P11" s="4">
        <f t="shared" si="3"/>
        <v>173607</v>
      </c>
      <c r="Q11" s="4"/>
      <c r="R11" s="4"/>
      <c r="S11" s="4">
        <f t="shared" si="4"/>
        <v>0</v>
      </c>
      <c r="T11" s="4">
        <f t="shared" si="5"/>
        <v>0</v>
      </c>
      <c r="U11" s="4">
        <f t="shared" si="6"/>
        <v>150000</v>
      </c>
      <c r="V11" s="4"/>
      <c r="W11" s="161">
        <f t="shared" si="8"/>
        <v>150000</v>
      </c>
      <c r="X11" s="4"/>
      <c r="Y11" s="4"/>
      <c r="Z11" s="4"/>
      <c r="AA11" s="4"/>
      <c r="AB11" s="3" t="s">
        <v>677</v>
      </c>
      <c r="AC11" s="3">
        <v>746000</v>
      </c>
    </row>
    <row r="12" spans="1:46" ht="31.15" customHeight="1">
      <c r="A12" s="3">
        <f t="shared" si="7"/>
        <v>8</v>
      </c>
      <c r="B12" s="3">
        <v>1345</v>
      </c>
      <c r="C12" s="3" t="s">
        <v>443</v>
      </c>
      <c r="D12" s="4">
        <v>883000</v>
      </c>
      <c r="E12" s="4">
        <v>883000</v>
      </c>
      <c r="F12" s="4">
        <f t="shared" si="0"/>
        <v>0</v>
      </c>
      <c r="G12" s="4">
        <v>883000</v>
      </c>
      <c r="H12" s="4">
        <v>825751</v>
      </c>
      <c r="I12" s="4">
        <v>0</v>
      </c>
      <c r="J12" s="4">
        <v>33345</v>
      </c>
      <c r="K12" s="4">
        <f>I12+J12</f>
        <v>33345</v>
      </c>
      <c r="L12" s="4">
        <f>H12+K12</f>
        <v>859096</v>
      </c>
      <c r="M12" s="4">
        <f t="shared" si="1"/>
        <v>23904</v>
      </c>
      <c r="N12" s="4"/>
      <c r="O12" s="4">
        <f t="shared" si="2"/>
        <v>0</v>
      </c>
      <c r="P12" s="4">
        <f t="shared" si="3"/>
        <v>23904</v>
      </c>
      <c r="Q12" s="4"/>
      <c r="R12" s="4"/>
      <c r="S12" s="4">
        <f t="shared" si="4"/>
        <v>0</v>
      </c>
      <c r="T12" s="4">
        <f t="shared" si="5"/>
        <v>0</v>
      </c>
      <c r="U12" s="4">
        <f t="shared" si="6"/>
        <v>0</v>
      </c>
      <c r="V12" s="4"/>
      <c r="W12" s="161">
        <f t="shared" si="8"/>
        <v>0</v>
      </c>
      <c r="X12" s="4"/>
      <c r="Y12" s="4"/>
      <c r="Z12" s="4"/>
      <c r="AA12" s="4"/>
      <c r="AB12" s="3" t="s">
        <v>551</v>
      </c>
      <c r="AC12" s="3">
        <v>870000</v>
      </c>
    </row>
    <row r="13" spans="1:46" ht="30" customHeight="1">
      <c r="A13" s="3">
        <f t="shared" si="7"/>
        <v>9</v>
      </c>
      <c r="B13" s="3">
        <v>1415</v>
      </c>
      <c r="C13" s="3" t="s">
        <v>1176</v>
      </c>
      <c r="D13" s="4">
        <f>1660000+40000</f>
        <v>1700000</v>
      </c>
      <c r="E13" s="4">
        <v>1400000</v>
      </c>
      <c r="F13" s="4">
        <f t="shared" si="0"/>
        <v>300000</v>
      </c>
      <c r="G13" s="4">
        <f>1340000+40000</f>
        <v>1380000</v>
      </c>
      <c r="H13" s="4">
        <v>1187427</v>
      </c>
      <c r="I13" s="4">
        <v>0</v>
      </c>
      <c r="J13" s="4">
        <v>192573</v>
      </c>
      <c r="K13" s="4">
        <f>SUM(I13:J13)</f>
        <v>192573</v>
      </c>
      <c r="L13" s="4">
        <f>K13+H13</f>
        <v>1380000</v>
      </c>
      <c r="M13" s="4">
        <f t="shared" si="1"/>
        <v>20000</v>
      </c>
      <c r="N13" s="4">
        <v>300000</v>
      </c>
      <c r="O13" s="4">
        <f t="shared" si="2"/>
        <v>0</v>
      </c>
      <c r="P13" s="4">
        <f t="shared" si="3"/>
        <v>0</v>
      </c>
      <c r="Q13" s="4">
        <v>20000</v>
      </c>
      <c r="R13" s="4"/>
      <c r="S13" s="4">
        <f t="shared" si="4"/>
        <v>20000</v>
      </c>
      <c r="T13" s="4">
        <f t="shared" si="5"/>
        <v>0</v>
      </c>
      <c r="U13" s="4">
        <f t="shared" si="6"/>
        <v>300000</v>
      </c>
      <c r="V13" s="4"/>
      <c r="W13" s="4">
        <f t="shared" si="8"/>
        <v>300000</v>
      </c>
      <c r="X13" s="4"/>
      <c r="Y13" s="4"/>
      <c r="Z13" s="4"/>
      <c r="AA13" s="3"/>
      <c r="AB13" s="3" t="s">
        <v>656</v>
      </c>
      <c r="AC13" s="3">
        <v>930000</v>
      </c>
    </row>
    <row r="14" spans="1:46" ht="30" customHeight="1">
      <c r="A14" s="3">
        <f t="shared" si="7"/>
        <v>10</v>
      </c>
      <c r="B14" s="3">
        <v>1416</v>
      </c>
      <c r="C14" s="3" t="s">
        <v>105</v>
      </c>
      <c r="D14" s="4">
        <v>3000000</v>
      </c>
      <c r="E14" s="4">
        <v>2400000</v>
      </c>
      <c r="F14" s="4">
        <f t="shared" si="0"/>
        <v>600000</v>
      </c>
      <c r="G14" s="4">
        <v>2400000</v>
      </c>
      <c r="H14" s="4">
        <v>2117402</v>
      </c>
      <c r="I14" s="4">
        <v>0</v>
      </c>
      <c r="J14" s="4">
        <v>212772</v>
      </c>
      <c r="K14" s="4">
        <f>SUM(I14:J14)</f>
        <v>212772</v>
      </c>
      <c r="L14" s="4">
        <f>K14+H14</f>
        <v>2330174</v>
      </c>
      <c r="M14" s="4">
        <f t="shared" si="1"/>
        <v>69826</v>
      </c>
      <c r="N14" s="4">
        <v>600000</v>
      </c>
      <c r="O14" s="4">
        <f t="shared" si="2"/>
        <v>0</v>
      </c>
      <c r="P14" s="4">
        <f t="shared" si="3"/>
        <v>69826</v>
      </c>
      <c r="Q14" s="4"/>
      <c r="R14" s="4"/>
      <c r="S14" s="4">
        <f t="shared" si="4"/>
        <v>0</v>
      </c>
      <c r="T14" s="4">
        <f t="shared" si="5"/>
        <v>0</v>
      </c>
      <c r="U14" s="4">
        <f t="shared" si="6"/>
        <v>600000</v>
      </c>
      <c r="V14" s="4"/>
      <c r="W14" s="4">
        <f t="shared" si="8"/>
        <v>600000</v>
      </c>
      <c r="X14" s="4"/>
      <c r="Y14" s="4"/>
      <c r="Z14" s="4"/>
      <c r="AA14" s="3"/>
      <c r="AB14" s="3" t="s">
        <v>340</v>
      </c>
      <c r="AC14" s="3">
        <v>930000</v>
      </c>
    </row>
    <row r="15" spans="1:46" ht="30" customHeight="1">
      <c r="A15" s="3">
        <f t="shared" si="7"/>
        <v>11</v>
      </c>
      <c r="B15" s="3">
        <v>1435</v>
      </c>
      <c r="C15" s="30" t="s">
        <v>552</v>
      </c>
      <c r="D15" s="4">
        <f>32574320+2800000</f>
        <v>35374320</v>
      </c>
      <c r="E15" s="4">
        <v>32574320</v>
      </c>
      <c r="F15" s="4">
        <f t="shared" si="0"/>
        <v>2800000</v>
      </c>
      <c r="G15" s="4">
        <v>31874320</v>
      </c>
      <c r="H15" s="4">
        <v>27812822</v>
      </c>
      <c r="I15" s="4">
        <v>0</v>
      </c>
      <c r="J15" s="4">
        <v>2522859</v>
      </c>
      <c r="K15" s="4">
        <f>I15+J15</f>
        <v>2522859</v>
      </c>
      <c r="L15" s="4">
        <f>H15+K15</f>
        <v>30335681</v>
      </c>
      <c r="M15" s="4">
        <f t="shared" si="1"/>
        <v>1538639</v>
      </c>
      <c r="N15" s="4">
        <v>3500000</v>
      </c>
      <c r="O15" s="4">
        <f t="shared" si="2"/>
        <v>0</v>
      </c>
      <c r="P15" s="4">
        <f t="shared" si="3"/>
        <v>1538639</v>
      </c>
      <c r="Q15" s="4"/>
      <c r="R15" s="4"/>
      <c r="S15" s="4">
        <f t="shared" si="4"/>
        <v>0</v>
      </c>
      <c r="T15" s="4">
        <f t="shared" si="5"/>
        <v>0</v>
      </c>
      <c r="U15" s="4">
        <f t="shared" si="6"/>
        <v>3500000</v>
      </c>
      <c r="V15" s="4"/>
      <c r="W15" s="161">
        <f t="shared" si="8"/>
        <v>3500000</v>
      </c>
      <c r="X15" s="4"/>
      <c r="Y15" s="4"/>
      <c r="Z15" s="4"/>
      <c r="AA15" s="4"/>
      <c r="AB15" s="3" t="s">
        <v>2222</v>
      </c>
      <c r="AC15" s="3">
        <v>848500</v>
      </c>
    </row>
    <row r="16" spans="1:46" ht="30" customHeight="1">
      <c r="A16" s="3">
        <f t="shared" si="7"/>
        <v>12</v>
      </c>
      <c r="B16" s="3">
        <v>1477</v>
      </c>
      <c r="C16" s="3" t="s">
        <v>658</v>
      </c>
      <c r="D16" s="4">
        <v>9350000</v>
      </c>
      <c r="E16" s="4">
        <v>9350000</v>
      </c>
      <c r="F16" s="4">
        <f t="shared" si="0"/>
        <v>0</v>
      </c>
      <c r="G16" s="4">
        <v>5650000</v>
      </c>
      <c r="H16" s="4">
        <v>3136693</v>
      </c>
      <c r="I16" s="4">
        <v>554098</v>
      </c>
      <c r="J16" s="4">
        <v>1795171</v>
      </c>
      <c r="K16" s="4">
        <f>SUM(I16:J16)</f>
        <v>2349269</v>
      </c>
      <c r="L16" s="4">
        <f>K16+H16</f>
        <v>5485962</v>
      </c>
      <c r="M16" s="4">
        <f t="shared" si="1"/>
        <v>164038</v>
      </c>
      <c r="N16" s="4">
        <f>1000000+500000*2</f>
        <v>2000000</v>
      </c>
      <c r="O16" s="4">
        <f t="shared" si="2"/>
        <v>1700000</v>
      </c>
      <c r="P16" s="4">
        <f t="shared" si="3"/>
        <v>164038</v>
      </c>
      <c r="Q16" s="4"/>
      <c r="R16" s="4"/>
      <c r="S16" s="4">
        <f t="shared" si="4"/>
        <v>0</v>
      </c>
      <c r="T16" s="4">
        <f t="shared" si="5"/>
        <v>0</v>
      </c>
      <c r="U16" s="4">
        <f t="shared" si="6"/>
        <v>2000000</v>
      </c>
      <c r="V16" s="4"/>
      <c r="W16" s="4">
        <f t="shared" si="8"/>
        <v>2000000</v>
      </c>
      <c r="X16" s="4"/>
      <c r="Y16" s="4"/>
      <c r="Z16" s="4"/>
      <c r="AA16" s="3"/>
      <c r="AB16" s="486" t="s">
        <v>1186</v>
      </c>
      <c r="AC16" s="486">
        <v>810000</v>
      </c>
    </row>
    <row r="17" spans="1:46" ht="30" customHeight="1">
      <c r="A17" s="3">
        <f t="shared" si="7"/>
        <v>13</v>
      </c>
      <c r="B17" s="3">
        <v>1489</v>
      </c>
      <c r="C17" s="3" t="s">
        <v>341</v>
      </c>
      <c r="D17" s="4">
        <f>55000000+6500000</f>
        <v>61500000</v>
      </c>
      <c r="E17" s="4">
        <v>55000000</v>
      </c>
      <c r="F17" s="4">
        <f t="shared" si="0"/>
        <v>6500000</v>
      </c>
      <c r="G17" s="4">
        <v>55000000</v>
      </c>
      <c r="H17" s="4">
        <v>47984649</v>
      </c>
      <c r="I17" s="4">
        <v>0</v>
      </c>
      <c r="J17" s="4">
        <v>3914002</v>
      </c>
      <c r="K17" s="4">
        <f>SUM(I17:J17)</f>
        <v>3914002</v>
      </c>
      <c r="L17" s="4">
        <f>K17+H17</f>
        <v>51898651</v>
      </c>
      <c r="M17" s="4">
        <f t="shared" si="1"/>
        <v>3101349</v>
      </c>
      <c r="N17" s="4">
        <v>6500000</v>
      </c>
      <c r="O17" s="4">
        <f t="shared" si="2"/>
        <v>0</v>
      </c>
      <c r="P17" s="4">
        <f t="shared" si="3"/>
        <v>3101349</v>
      </c>
      <c r="Q17" s="4"/>
      <c r="R17" s="4"/>
      <c r="S17" s="4">
        <f t="shared" si="4"/>
        <v>0</v>
      </c>
      <c r="T17" s="4">
        <f t="shared" si="5"/>
        <v>0</v>
      </c>
      <c r="U17" s="4">
        <f t="shared" si="6"/>
        <v>6500000</v>
      </c>
      <c r="V17" s="4"/>
      <c r="W17" s="4">
        <f t="shared" si="8"/>
        <v>6500000</v>
      </c>
      <c r="X17" s="4"/>
      <c r="Y17" s="4"/>
      <c r="Z17" s="4"/>
      <c r="AA17" s="3"/>
      <c r="AB17" s="3" t="s">
        <v>773</v>
      </c>
      <c r="AC17" s="3">
        <v>742000</v>
      </c>
    </row>
    <row r="18" spans="1:46" ht="30" customHeight="1">
      <c r="A18" s="3">
        <f t="shared" si="7"/>
        <v>14</v>
      </c>
      <c r="B18" s="3">
        <v>1504</v>
      </c>
      <c r="C18" s="3" t="s">
        <v>73</v>
      </c>
      <c r="D18" s="4">
        <v>2500000</v>
      </c>
      <c r="E18" s="4">
        <v>2500000</v>
      </c>
      <c r="F18" s="4">
        <f t="shared" si="0"/>
        <v>0</v>
      </c>
      <c r="G18" s="4">
        <v>1500000</v>
      </c>
      <c r="H18" s="4">
        <v>1461344</v>
      </c>
      <c r="I18" s="4">
        <v>0</v>
      </c>
      <c r="J18" s="4">
        <v>0</v>
      </c>
      <c r="K18" s="4">
        <f>I18+J18</f>
        <v>0</v>
      </c>
      <c r="L18" s="4">
        <f>H18+K18</f>
        <v>1461344</v>
      </c>
      <c r="M18" s="4">
        <f t="shared" si="1"/>
        <v>38656</v>
      </c>
      <c r="N18" s="4">
        <v>500000</v>
      </c>
      <c r="O18" s="4">
        <f t="shared" si="2"/>
        <v>500000</v>
      </c>
      <c r="P18" s="4">
        <f t="shared" si="3"/>
        <v>38656</v>
      </c>
      <c r="Q18" s="4"/>
      <c r="R18" s="4"/>
      <c r="S18" s="4">
        <f t="shared" si="4"/>
        <v>0</v>
      </c>
      <c r="T18" s="4">
        <f t="shared" si="5"/>
        <v>0</v>
      </c>
      <c r="U18" s="4">
        <f t="shared" si="6"/>
        <v>500000</v>
      </c>
      <c r="V18" s="4">
        <v>500000</v>
      </c>
      <c r="W18" s="161">
        <f t="shared" si="8"/>
        <v>0</v>
      </c>
      <c r="X18" s="4"/>
      <c r="Y18" s="4"/>
      <c r="Z18" s="4"/>
      <c r="AA18" s="4"/>
      <c r="AB18" s="3" t="s">
        <v>553</v>
      </c>
      <c r="AC18" s="3">
        <v>746000</v>
      </c>
    </row>
    <row r="19" spans="1:46" ht="30" customHeight="1">
      <c r="A19" s="3">
        <f t="shared" si="7"/>
        <v>15</v>
      </c>
      <c r="B19" s="3">
        <v>1560</v>
      </c>
      <c r="C19" s="3" t="s">
        <v>52</v>
      </c>
      <c r="D19" s="4">
        <f>6410000+1650000-550000</f>
        <v>7510000</v>
      </c>
      <c r="E19" s="4">
        <v>6410000</v>
      </c>
      <c r="F19" s="4">
        <f t="shared" si="0"/>
        <v>1100000</v>
      </c>
      <c r="G19" s="4">
        <v>6010000</v>
      </c>
      <c r="H19" s="4">
        <v>5855068</v>
      </c>
      <c r="I19" s="4">
        <v>0</v>
      </c>
      <c r="J19" s="4">
        <v>45783</v>
      </c>
      <c r="K19" s="4">
        <f>SUM(I19:J19)</f>
        <v>45783</v>
      </c>
      <c r="L19" s="4">
        <f>K19+H19</f>
        <v>5900851</v>
      </c>
      <c r="M19" s="4">
        <f t="shared" si="1"/>
        <v>109149</v>
      </c>
      <c r="N19" s="4">
        <f>2050000-550000-200000</f>
        <v>1300000</v>
      </c>
      <c r="O19" s="4">
        <f t="shared" si="2"/>
        <v>200000</v>
      </c>
      <c r="P19" s="4">
        <f t="shared" si="3"/>
        <v>109149</v>
      </c>
      <c r="Q19" s="4"/>
      <c r="R19" s="4"/>
      <c r="S19" s="4">
        <f t="shared" si="4"/>
        <v>0</v>
      </c>
      <c r="T19" s="4">
        <f t="shared" si="5"/>
        <v>0</v>
      </c>
      <c r="U19" s="4">
        <f t="shared" si="6"/>
        <v>1300000</v>
      </c>
      <c r="V19" s="4"/>
      <c r="W19" s="4">
        <f t="shared" si="8"/>
        <v>1300000</v>
      </c>
      <c r="X19" s="4"/>
      <c r="Y19" s="4"/>
      <c r="Z19" s="4"/>
      <c r="AA19" s="3"/>
      <c r="AB19" s="3" t="s">
        <v>2210</v>
      </c>
      <c r="AC19" s="3">
        <v>746000</v>
      </c>
    </row>
    <row r="20" spans="1:46" s="498" customFormat="1" ht="30" customHeight="1">
      <c r="A20" s="3">
        <f t="shared" si="7"/>
        <v>16</v>
      </c>
      <c r="B20" s="3">
        <v>1598</v>
      </c>
      <c r="C20" s="3" t="s">
        <v>61</v>
      </c>
      <c r="D20" s="4">
        <f>800000-193500+60000</f>
        <v>666500</v>
      </c>
      <c r="E20" s="4">
        <v>616500</v>
      </c>
      <c r="F20" s="4">
        <f t="shared" si="0"/>
        <v>50000</v>
      </c>
      <c r="G20" s="4">
        <v>616500</v>
      </c>
      <c r="H20" s="4">
        <v>487597</v>
      </c>
      <c r="I20" s="4">
        <v>0</v>
      </c>
      <c r="J20" s="4">
        <v>48549</v>
      </c>
      <c r="K20" s="4">
        <f>I20+J20</f>
        <v>48549</v>
      </c>
      <c r="L20" s="4">
        <f>H20+K20</f>
        <v>536146</v>
      </c>
      <c r="M20" s="4">
        <f>P20+S20-80000+80000</f>
        <v>80354</v>
      </c>
      <c r="N20" s="4">
        <f>150000-100000</f>
        <v>50000</v>
      </c>
      <c r="O20" s="4">
        <f t="shared" si="2"/>
        <v>0</v>
      </c>
      <c r="P20" s="4">
        <f t="shared" si="3"/>
        <v>80354</v>
      </c>
      <c r="Q20" s="4">
        <f>-60000+60000</f>
        <v>0</v>
      </c>
      <c r="R20" s="4">
        <f>-60000+60000</f>
        <v>0</v>
      </c>
      <c r="S20" s="4">
        <f t="shared" si="4"/>
        <v>0</v>
      </c>
      <c r="T20" s="4">
        <f t="shared" si="5"/>
        <v>0</v>
      </c>
      <c r="U20" s="4">
        <f t="shared" si="6"/>
        <v>50000</v>
      </c>
      <c r="V20" s="4"/>
      <c r="W20" s="161">
        <f t="shared" si="8"/>
        <v>50000</v>
      </c>
      <c r="X20" s="4"/>
      <c r="Y20" s="4"/>
      <c r="Z20" s="4"/>
      <c r="AA20" s="4"/>
      <c r="AB20" s="3" t="s">
        <v>590</v>
      </c>
      <c r="AC20" s="3">
        <v>870000</v>
      </c>
      <c r="AD20" s="462"/>
      <c r="AE20" s="462"/>
      <c r="AF20" s="462"/>
      <c r="AG20" s="462"/>
      <c r="AH20" s="462"/>
      <c r="AI20" s="462"/>
      <c r="AJ20" s="462"/>
      <c r="AK20" s="462"/>
      <c r="AL20" s="462"/>
      <c r="AM20" s="462"/>
      <c r="AN20" s="462"/>
      <c r="AO20" s="462"/>
      <c r="AP20" s="462"/>
      <c r="AQ20" s="462"/>
      <c r="AR20" s="462"/>
      <c r="AS20" s="462"/>
      <c r="AT20" s="462"/>
    </row>
    <row r="21" spans="1:46" ht="30" customHeight="1">
      <c r="A21" s="3">
        <f t="shared" si="7"/>
        <v>17</v>
      </c>
      <c r="B21" s="160">
        <v>1621</v>
      </c>
      <c r="C21" s="160" t="s">
        <v>53</v>
      </c>
      <c r="D21" s="161">
        <v>6030000</v>
      </c>
      <c r="E21" s="161">
        <v>3300000</v>
      </c>
      <c r="F21" s="161">
        <f t="shared" si="0"/>
        <v>2730000</v>
      </c>
      <c r="G21" s="161">
        <v>2800000</v>
      </c>
      <c r="H21" s="161">
        <v>2114380</v>
      </c>
      <c r="I21" s="161">
        <v>0</v>
      </c>
      <c r="J21" s="161">
        <v>103765</v>
      </c>
      <c r="K21" s="161">
        <f>SUM(I21:J21)</f>
        <v>103765</v>
      </c>
      <c r="L21" s="161">
        <f>H21+K21</f>
        <v>2218145</v>
      </c>
      <c r="M21" s="4">
        <f t="shared" si="1"/>
        <v>581855</v>
      </c>
      <c r="N21" s="161">
        <f>3230000-1000000-1000000</f>
        <v>1230000</v>
      </c>
      <c r="O21" s="4">
        <f t="shared" si="2"/>
        <v>2000000</v>
      </c>
      <c r="P21" s="161">
        <f t="shared" si="3"/>
        <v>581855</v>
      </c>
      <c r="Q21" s="161"/>
      <c r="R21" s="161"/>
      <c r="S21" s="161">
        <f t="shared" si="4"/>
        <v>0</v>
      </c>
      <c r="T21" s="161">
        <f t="shared" si="5"/>
        <v>0</v>
      </c>
      <c r="U21" s="4">
        <f t="shared" si="6"/>
        <v>1230000</v>
      </c>
      <c r="V21" s="161"/>
      <c r="W21" s="161">
        <f t="shared" si="8"/>
        <v>1230000</v>
      </c>
      <c r="X21" s="161"/>
      <c r="Y21" s="161"/>
      <c r="Z21" s="161"/>
      <c r="AA21" s="160"/>
      <c r="AB21" s="268" t="s">
        <v>1209</v>
      </c>
      <c r="AC21" s="160">
        <v>723000</v>
      </c>
    </row>
    <row r="22" spans="1:46" ht="30" customHeight="1">
      <c r="A22" s="3">
        <f t="shared" si="7"/>
        <v>18</v>
      </c>
      <c r="B22" s="3">
        <v>1680</v>
      </c>
      <c r="C22" s="3" t="s">
        <v>74</v>
      </c>
      <c r="D22" s="4">
        <f>2800000+1000000-2500000</f>
        <v>1300000</v>
      </c>
      <c r="E22" s="4">
        <v>2800000</v>
      </c>
      <c r="F22" s="4">
        <f t="shared" si="0"/>
        <v>-1500000</v>
      </c>
      <c r="G22" s="4">
        <v>800000</v>
      </c>
      <c r="H22" s="4">
        <v>603520</v>
      </c>
      <c r="I22" s="4">
        <v>0</v>
      </c>
      <c r="J22" s="4">
        <v>121579</v>
      </c>
      <c r="K22" s="4">
        <f>I22+J22</f>
        <v>121579</v>
      </c>
      <c r="L22" s="4">
        <f>H22+K22</f>
        <v>725099</v>
      </c>
      <c r="M22" s="4">
        <f t="shared" si="1"/>
        <v>74901</v>
      </c>
      <c r="N22" s="4">
        <f>2000000-1500000</f>
        <v>500000</v>
      </c>
      <c r="O22" s="4">
        <f t="shared" si="2"/>
        <v>0</v>
      </c>
      <c r="P22" s="4">
        <f t="shared" si="3"/>
        <v>74901</v>
      </c>
      <c r="Q22" s="4"/>
      <c r="R22" s="4"/>
      <c r="S22" s="4">
        <f t="shared" si="4"/>
        <v>0</v>
      </c>
      <c r="T22" s="4">
        <f t="shared" si="5"/>
        <v>0</v>
      </c>
      <c r="U22" s="4">
        <f t="shared" si="6"/>
        <v>500000</v>
      </c>
      <c r="V22" s="4"/>
      <c r="W22" s="161">
        <f t="shared" si="8"/>
        <v>500000</v>
      </c>
      <c r="X22" s="4"/>
      <c r="Y22" s="4"/>
      <c r="Z22" s="4"/>
      <c r="AA22" s="4"/>
      <c r="AB22" s="3" t="s">
        <v>680</v>
      </c>
      <c r="AC22" s="3">
        <v>746000</v>
      </c>
    </row>
    <row r="23" spans="1:46" ht="30" customHeight="1">
      <c r="A23" s="3">
        <f t="shared" si="7"/>
        <v>19</v>
      </c>
      <c r="B23" s="3">
        <v>1700</v>
      </c>
      <c r="C23" s="3" t="s">
        <v>151</v>
      </c>
      <c r="D23" s="4">
        <v>56971</v>
      </c>
      <c r="E23" s="4">
        <v>56971</v>
      </c>
      <c r="F23" s="4">
        <f t="shared" si="0"/>
        <v>0</v>
      </c>
      <c r="G23" s="4">
        <v>56971</v>
      </c>
      <c r="H23" s="4">
        <v>56971</v>
      </c>
      <c r="I23" s="4">
        <v>0</v>
      </c>
      <c r="J23" s="4">
        <v>0</v>
      </c>
      <c r="K23" s="4">
        <f>I23+J23</f>
        <v>0</v>
      </c>
      <c r="L23" s="4">
        <f>H23+K23</f>
        <v>56971</v>
      </c>
      <c r="M23" s="4">
        <f t="shared" si="1"/>
        <v>0</v>
      </c>
      <c r="N23" s="4"/>
      <c r="O23" s="4">
        <f t="shared" si="2"/>
        <v>0</v>
      </c>
      <c r="P23" s="4">
        <f t="shared" si="3"/>
        <v>0</v>
      </c>
      <c r="Q23" s="4"/>
      <c r="R23" s="4"/>
      <c r="S23" s="4">
        <f t="shared" si="4"/>
        <v>0</v>
      </c>
      <c r="T23" s="4">
        <f t="shared" si="5"/>
        <v>0</v>
      </c>
      <c r="U23" s="4">
        <f t="shared" si="6"/>
        <v>0</v>
      </c>
      <c r="V23" s="4"/>
      <c r="W23" s="161">
        <f t="shared" si="8"/>
        <v>56971</v>
      </c>
      <c r="X23" s="4"/>
      <c r="Y23" s="4"/>
      <c r="Z23" s="4"/>
      <c r="AA23" s="4">
        <v>-56971</v>
      </c>
      <c r="AB23" s="3" t="s">
        <v>1221</v>
      </c>
      <c r="AC23" s="3">
        <v>747000</v>
      </c>
    </row>
    <row r="24" spans="1:46" ht="30" customHeight="1">
      <c r="A24" s="3">
        <f t="shared" si="7"/>
        <v>20</v>
      </c>
      <c r="B24" s="3">
        <v>1770</v>
      </c>
      <c r="C24" s="3" t="s">
        <v>342</v>
      </c>
      <c r="D24" s="4">
        <v>29752105</v>
      </c>
      <c r="E24" s="4">
        <v>29752105</v>
      </c>
      <c r="F24" s="4">
        <f t="shared" si="0"/>
        <v>0</v>
      </c>
      <c r="G24" s="4">
        <v>29752105</v>
      </c>
      <c r="H24" s="4">
        <v>29733213</v>
      </c>
      <c r="I24" s="4">
        <v>0</v>
      </c>
      <c r="J24" s="4">
        <v>11609</v>
      </c>
      <c r="K24" s="4">
        <f>SUM(I24:J24)</f>
        <v>11609</v>
      </c>
      <c r="L24" s="4">
        <f>K24+H24</f>
        <v>29744822</v>
      </c>
      <c r="M24" s="4">
        <f t="shared" si="1"/>
        <v>7283</v>
      </c>
      <c r="N24" s="4"/>
      <c r="O24" s="4">
        <f t="shared" si="2"/>
        <v>0</v>
      </c>
      <c r="P24" s="4">
        <f t="shared" si="3"/>
        <v>7283</v>
      </c>
      <c r="Q24" s="4"/>
      <c r="R24" s="4"/>
      <c r="S24" s="4">
        <f t="shared" si="4"/>
        <v>0</v>
      </c>
      <c r="T24" s="4">
        <f t="shared" si="5"/>
        <v>0</v>
      </c>
      <c r="U24" s="4">
        <f t="shared" si="6"/>
        <v>0</v>
      </c>
      <c r="V24" s="4">
        <f>734574+170000+30000</f>
        <v>934574</v>
      </c>
      <c r="W24" s="4">
        <f t="shared" si="8"/>
        <v>775293</v>
      </c>
      <c r="X24" s="4"/>
      <c r="Y24" s="4"/>
      <c r="Z24" s="4"/>
      <c r="AA24" s="4">
        <v>-1709867</v>
      </c>
      <c r="AB24" s="3" t="s">
        <v>2448</v>
      </c>
      <c r="AC24" s="3">
        <v>810000</v>
      </c>
    </row>
    <row r="25" spans="1:46" s="494" customFormat="1" ht="30" customHeight="1">
      <c r="A25" s="3">
        <f t="shared" si="7"/>
        <v>21</v>
      </c>
      <c r="B25" s="3">
        <v>1794</v>
      </c>
      <c r="C25" s="3" t="s">
        <v>108</v>
      </c>
      <c r="D25" s="4">
        <v>970000</v>
      </c>
      <c r="E25" s="4">
        <v>970000</v>
      </c>
      <c r="F25" s="4">
        <f t="shared" si="0"/>
        <v>0</v>
      </c>
      <c r="G25" s="4">
        <v>970000</v>
      </c>
      <c r="H25" s="4">
        <v>949009</v>
      </c>
      <c r="I25" s="4">
        <v>20093</v>
      </c>
      <c r="J25" s="4">
        <v>0</v>
      </c>
      <c r="K25" s="4">
        <f>SUM(I25:J25)</f>
        <v>20093</v>
      </c>
      <c r="L25" s="4">
        <f>K25+H25</f>
        <v>969102</v>
      </c>
      <c r="M25" s="4">
        <f t="shared" si="1"/>
        <v>898</v>
      </c>
      <c r="N25" s="4"/>
      <c r="O25" s="4">
        <f t="shared" si="2"/>
        <v>0</v>
      </c>
      <c r="P25" s="4">
        <f t="shared" si="3"/>
        <v>898</v>
      </c>
      <c r="Q25" s="4"/>
      <c r="R25" s="4"/>
      <c r="S25" s="4">
        <f t="shared" si="4"/>
        <v>0</v>
      </c>
      <c r="T25" s="4">
        <f t="shared" si="5"/>
        <v>0</v>
      </c>
      <c r="U25" s="4">
        <f t="shared" si="6"/>
        <v>0</v>
      </c>
      <c r="V25" s="4"/>
      <c r="W25" s="4">
        <f t="shared" si="8"/>
        <v>0</v>
      </c>
      <c r="X25" s="4"/>
      <c r="Y25" s="4"/>
      <c r="Z25" s="4"/>
      <c r="AA25" s="3"/>
      <c r="AB25" s="3" t="s">
        <v>841</v>
      </c>
      <c r="AC25" s="3">
        <v>850000</v>
      </c>
      <c r="AD25" s="462"/>
      <c r="AE25" s="462"/>
      <c r="AF25" s="462"/>
      <c r="AG25" s="462"/>
      <c r="AH25" s="462"/>
      <c r="AI25" s="462"/>
      <c r="AJ25" s="462"/>
      <c r="AK25" s="462"/>
      <c r="AL25" s="462"/>
      <c r="AM25" s="462"/>
      <c r="AN25" s="462"/>
      <c r="AO25" s="462"/>
      <c r="AP25" s="462"/>
      <c r="AQ25" s="462"/>
      <c r="AR25" s="462"/>
      <c r="AS25" s="462"/>
      <c r="AT25" s="462"/>
    </row>
    <row r="26" spans="1:46" ht="30" customHeight="1">
      <c r="A26" s="3">
        <f t="shared" si="7"/>
        <v>22</v>
      </c>
      <c r="B26" s="3">
        <v>1817</v>
      </c>
      <c r="C26" s="3" t="s">
        <v>109</v>
      </c>
      <c r="D26" s="4">
        <v>872000</v>
      </c>
      <c r="E26" s="4">
        <v>872000</v>
      </c>
      <c r="F26" s="4">
        <f t="shared" si="0"/>
        <v>0</v>
      </c>
      <c r="G26" s="4">
        <v>790000</v>
      </c>
      <c r="H26" s="4">
        <v>658591</v>
      </c>
      <c r="I26" s="4">
        <v>0</v>
      </c>
      <c r="J26" s="4">
        <v>15719</v>
      </c>
      <c r="K26" s="4">
        <f>I26+J26</f>
        <v>15719</v>
      </c>
      <c r="L26" s="4">
        <f>H26+K26</f>
        <v>674310</v>
      </c>
      <c r="M26" s="4">
        <f t="shared" si="1"/>
        <v>115690</v>
      </c>
      <c r="N26" s="4">
        <v>82000</v>
      </c>
      <c r="O26" s="4">
        <f t="shared" si="2"/>
        <v>0</v>
      </c>
      <c r="P26" s="4">
        <f t="shared" si="3"/>
        <v>115690</v>
      </c>
      <c r="Q26" s="4"/>
      <c r="R26" s="4"/>
      <c r="S26" s="4">
        <f t="shared" si="4"/>
        <v>0</v>
      </c>
      <c r="T26" s="4">
        <f t="shared" si="5"/>
        <v>0</v>
      </c>
      <c r="U26" s="4">
        <f t="shared" si="6"/>
        <v>82000</v>
      </c>
      <c r="V26" s="4"/>
      <c r="W26" s="161">
        <f t="shared" si="8"/>
        <v>0</v>
      </c>
      <c r="X26" s="4"/>
      <c r="Y26" s="4"/>
      <c r="Z26" s="4"/>
      <c r="AA26" s="332">
        <v>82000</v>
      </c>
      <c r="AB26" s="3" t="s">
        <v>780</v>
      </c>
      <c r="AC26" s="3">
        <v>810000</v>
      </c>
    </row>
    <row r="27" spans="1:46" ht="30" customHeight="1">
      <c r="A27" s="3">
        <f t="shared" si="7"/>
        <v>23</v>
      </c>
      <c r="B27" s="3">
        <v>1831</v>
      </c>
      <c r="C27" s="3" t="s">
        <v>129</v>
      </c>
      <c r="D27" s="4">
        <f>146059-108034</f>
        <v>38025</v>
      </c>
      <c r="E27" s="4">
        <v>146059</v>
      </c>
      <c r="F27" s="4">
        <f t="shared" si="0"/>
        <v>-108034</v>
      </c>
      <c r="G27" s="4">
        <v>146059</v>
      </c>
      <c r="H27" s="4">
        <v>38025</v>
      </c>
      <c r="I27" s="4">
        <v>0</v>
      </c>
      <c r="J27" s="4">
        <v>0</v>
      </c>
      <c r="K27" s="4">
        <f>I27+J27</f>
        <v>0</v>
      </c>
      <c r="L27" s="4">
        <f>H27+K27</f>
        <v>38025</v>
      </c>
      <c r="M27" s="4">
        <f>P27+S27-108034</f>
        <v>0</v>
      </c>
      <c r="N27" s="4"/>
      <c r="O27" s="4">
        <f t="shared" si="2"/>
        <v>0</v>
      </c>
      <c r="P27" s="4">
        <f t="shared" si="3"/>
        <v>108034</v>
      </c>
      <c r="Q27" s="4"/>
      <c r="R27" s="4"/>
      <c r="S27" s="4">
        <f t="shared" si="4"/>
        <v>0</v>
      </c>
      <c r="T27" s="4">
        <f t="shared" si="5"/>
        <v>108034</v>
      </c>
      <c r="U27" s="4">
        <f t="shared" si="6"/>
        <v>-108034</v>
      </c>
      <c r="V27" s="4"/>
      <c r="W27" s="161">
        <f t="shared" si="8"/>
        <v>0</v>
      </c>
      <c r="X27" s="4"/>
      <c r="Y27" s="4"/>
      <c r="Z27" s="4"/>
      <c r="AA27" s="4">
        <v>-108034</v>
      </c>
      <c r="AB27" s="64" t="s">
        <v>681</v>
      </c>
      <c r="AC27" s="3">
        <v>870000</v>
      </c>
    </row>
    <row r="28" spans="1:46" ht="36.6" customHeight="1">
      <c r="A28" s="3">
        <f t="shared" si="7"/>
        <v>24</v>
      </c>
      <c r="B28" s="3">
        <v>1848</v>
      </c>
      <c r="C28" s="3" t="s">
        <v>2348</v>
      </c>
      <c r="D28" s="4">
        <f>1800000-200000</f>
        <v>1600000</v>
      </c>
      <c r="E28" s="4">
        <v>1300000</v>
      </c>
      <c r="F28" s="4">
        <f t="shared" si="0"/>
        <v>300000</v>
      </c>
      <c r="G28" s="4">
        <v>1250000</v>
      </c>
      <c r="H28" s="4">
        <v>1009266</v>
      </c>
      <c r="I28" s="4">
        <v>0</v>
      </c>
      <c r="J28" s="4">
        <v>145190</v>
      </c>
      <c r="K28" s="4">
        <f>SUM(I28:J28)</f>
        <v>145190</v>
      </c>
      <c r="L28" s="4">
        <f>K28+H28</f>
        <v>1154456</v>
      </c>
      <c r="M28" s="4">
        <f t="shared" ref="M28:M90" si="9">P28+S28</f>
        <v>145544</v>
      </c>
      <c r="N28" s="4">
        <f>500000-200000</f>
        <v>300000</v>
      </c>
      <c r="O28" s="4">
        <f t="shared" si="2"/>
        <v>0</v>
      </c>
      <c r="P28" s="4">
        <f t="shared" si="3"/>
        <v>95544</v>
      </c>
      <c r="Q28" s="4">
        <v>50000</v>
      </c>
      <c r="R28" s="4"/>
      <c r="S28" s="4">
        <f t="shared" si="4"/>
        <v>50000</v>
      </c>
      <c r="T28" s="4">
        <f t="shared" si="5"/>
        <v>0</v>
      </c>
      <c r="U28" s="4">
        <f t="shared" si="6"/>
        <v>300000</v>
      </c>
      <c r="V28" s="4"/>
      <c r="W28" s="4">
        <f t="shared" si="8"/>
        <v>300000</v>
      </c>
      <c r="X28" s="4"/>
      <c r="Y28" s="4"/>
      <c r="Z28" s="4"/>
      <c r="AA28" s="3"/>
      <c r="AB28" s="3" t="s">
        <v>1237</v>
      </c>
      <c r="AC28" s="3">
        <v>742000</v>
      </c>
    </row>
    <row r="29" spans="1:46" ht="45">
      <c r="A29" s="3">
        <f t="shared" si="7"/>
        <v>25</v>
      </c>
      <c r="B29" s="3">
        <v>1849</v>
      </c>
      <c r="C29" s="3" t="s">
        <v>344</v>
      </c>
      <c r="D29" s="4">
        <f>2150000-1050000</f>
        <v>1100000</v>
      </c>
      <c r="E29" s="4">
        <v>2150000</v>
      </c>
      <c r="F29" s="4">
        <f t="shared" si="0"/>
        <v>-1050000</v>
      </c>
      <c r="G29" s="4">
        <v>1100000</v>
      </c>
      <c r="H29" s="4">
        <v>1094513</v>
      </c>
      <c r="I29" s="4">
        <v>0</v>
      </c>
      <c r="J29" s="4">
        <v>2040</v>
      </c>
      <c r="K29" s="4">
        <f>SUM(I29:J29)</f>
        <v>2040</v>
      </c>
      <c r="L29" s="4">
        <f>K29+H29</f>
        <v>1096553</v>
      </c>
      <c r="M29" s="4">
        <f t="shared" si="9"/>
        <v>3447</v>
      </c>
      <c r="N29" s="4"/>
      <c r="O29" s="4">
        <f t="shared" si="2"/>
        <v>0</v>
      </c>
      <c r="P29" s="4">
        <f t="shared" si="3"/>
        <v>3447</v>
      </c>
      <c r="Q29" s="4"/>
      <c r="R29" s="4"/>
      <c r="S29" s="4">
        <f t="shared" si="4"/>
        <v>0</v>
      </c>
      <c r="T29" s="4">
        <f t="shared" si="5"/>
        <v>0</v>
      </c>
      <c r="U29" s="4">
        <f t="shared" si="6"/>
        <v>0</v>
      </c>
      <c r="V29" s="4"/>
      <c r="W29" s="4">
        <f t="shared" si="8"/>
        <v>0</v>
      </c>
      <c r="X29" s="4"/>
      <c r="Y29" s="4"/>
      <c r="Z29" s="4"/>
      <c r="AA29" s="3"/>
      <c r="AB29" s="3" t="s">
        <v>2349</v>
      </c>
      <c r="AC29" s="3">
        <v>743000</v>
      </c>
    </row>
    <row r="30" spans="1:46" ht="30" customHeight="1">
      <c r="A30" s="3">
        <f t="shared" si="7"/>
        <v>26</v>
      </c>
      <c r="B30" s="3">
        <v>1850</v>
      </c>
      <c r="C30" s="3" t="s">
        <v>572</v>
      </c>
      <c r="D30" s="4">
        <v>14600000</v>
      </c>
      <c r="E30" s="4">
        <v>14600000</v>
      </c>
      <c r="F30" s="4">
        <f t="shared" si="0"/>
        <v>0</v>
      </c>
      <c r="G30" s="4">
        <v>5250000</v>
      </c>
      <c r="H30" s="4">
        <v>4906484</v>
      </c>
      <c r="I30" s="4">
        <v>0</v>
      </c>
      <c r="J30" s="4">
        <v>342952</v>
      </c>
      <c r="K30" s="4">
        <f>SUM(I30:J30)</f>
        <v>342952</v>
      </c>
      <c r="L30" s="4">
        <f>K30+H30</f>
        <v>5249436</v>
      </c>
      <c r="M30" s="4">
        <f t="shared" si="9"/>
        <v>564</v>
      </c>
      <c r="N30" s="4">
        <v>500000</v>
      </c>
      <c r="O30" s="4">
        <f t="shared" si="2"/>
        <v>8850000</v>
      </c>
      <c r="P30" s="4">
        <f t="shared" si="3"/>
        <v>564</v>
      </c>
      <c r="Q30" s="4"/>
      <c r="R30" s="4"/>
      <c r="S30" s="4">
        <f t="shared" si="4"/>
        <v>0</v>
      </c>
      <c r="T30" s="4">
        <f t="shared" si="5"/>
        <v>0</v>
      </c>
      <c r="U30" s="4">
        <f t="shared" si="6"/>
        <v>500000</v>
      </c>
      <c r="V30" s="4"/>
      <c r="W30" s="4">
        <f t="shared" si="8"/>
        <v>500000</v>
      </c>
      <c r="X30" s="4"/>
      <c r="Y30" s="4"/>
      <c r="Z30" s="4"/>
      <c r="AA30" s="3"/>
      <c r="AB30" s="3" t="s">
        <v>573</v>
      </c>
      <c r="AC30" s="3">
        <v>810000</v>
      </c>
    </row>
    <row r="31" spans="1:46" ht="30" customHeight="1">
      <c r="A31" s="3">
        <f t="shared" si="7"/>
        <v>27</v>
      </c>
      <c r="B31" s="3">
        <v>1866</v>
      </c>
      <c r="C31" s="3" t="s">
        <v>132</v>
      </c>
      <c r="D31" s="4">
        <f>205000+250000-250000</f>
        <v>205000</v>
      </c>
      <c r="E31" s="4">
        <v>205000</v>
      </c>
      <c r="F31" s="4">
        <f t="shared" si="0"/>
        <v>0</v>
      </c>
      <c r="G31" s="4">
        <v>205000</v>
      </c>
      <c r="H31" s="4">
        <v>201952</v>
      </c>
      <c r="I31" s="4">
        <v>0</v>
      </c>
      <c r="J31" s="4">
        <v>0</v>
      </c>
      <c r="K31" s="4">
        <f>I31+J31</f>
        <v>0</v>
      </c>
      <c r="L31" s="4">
        <f>H31+K31</f>
        <v>201952</v>
      </c>
      <c r="M31" s="4">
        <f t="shared" si="9"/>
        <v>3048</v>
      </c>
      <c r="N31" s="4">
        <f>250000-250000</f>
        <v>0</v>
      </c>
      <c r="O31" s="4">
        <f t="shared" si="2"/>
        <v>0</v>
      </c>
      <c r="P31" s="4">
        <f t="shared" si="3"/>
        <v>3048</v>
      </c>
      <c r="Q31" s="4"/>
      <c r="R31" s="4"/>
      <c r="S31" s="4">
        <f t="shared" si="4"/>
        <v>0</v>
      </c>
      <c r="T31" s="4">
        <f t="shared" si="5"/>
        <v>0</v>
      </c>
      <c r="U31" s="4">
        <f t="shared" si="6"/>
        <v>0</v>
      </c>
      <c r="V31" s="4"/>
      <c r="W31" s="161">
        <f t="shared" si="8"/>
        <v>0</v>
      </c>
      <c r="X31" s="4"/>
      <c r="Y31" s="4"/>
      <c r="Z31" s="4"/>
      <c r="AA31" s="4"/>
      <c r="AB31" s="64" t="s">
        <v>2449</v>
      </c>
      <c r="AC31" s="3">
        <v>870000</v>
      </c>
    </row>
    <row r="32" spans="1:46" ht="30" customHeight="1">
      <c r="A32" s="3">
        <f t="shared" si="7"/>
        <v>28</v>
      </c>
      <c r="B32" s="3">
        <v>1883</v>
      </c>
      <c r="C32" s="3" t="s">
        <v>123</v>
      </c>
      <c r="D32" s="4">
        <v>27245000</v>
      </c>
      <c r="E32" s="4">
        <v>27245000</v>
      </c>
      <c r="F32" s="4">
        <f t="shared" si="0"/>
        <v>0</v>
      </c>
      <c r="G32" s="4">
        <v>26215000</v>
      </c>
      <c r="H32" s="4">
        <v>26214141</v>
      </c>
      <c r="I32" s="4">
        <v>0</v>
      </c>
      <c r="J32" s="4">
        <v>0</v>
      </c>
      <c r="K32" s="4">
        <f>SUM(I32:J32)</f>
        <v>0</v>
      </c>
      <c r="L32" s="4">
        <f>K32+H32</f>
        <v>26214141</v>
      </c>
      <c r="M32" s="4">
        <f t="shared" si="9"/>
        <v>859</v>
      </c>
      <c r="N32" s="4">
        <f>1030000-1030000</f>
        <v>0</v>
      </c>
      <c r="O32" s="4">
        <f t="shared" si="2"/>
        <v>1030000</v>
      </c>
      <c r="P32" s="4">
        <f t="shared" si="3"/>
        <v>859</v>
      </c>
      <c r="Q32" s="4"/>
      <c r="R32" s="4"/>
      <c r="S32" s="4">
        <f t="shared" si="4"/>
        <v>0</v>
      </c>
      <c r="T32" s="4">
        <f t="shared" si="5"/>
        <v>0</v>
      </c>
      <c r="U32" s="4">
        <f t="shared" si="6"/>
        <v>0</v>
      </c>
      <c r="V32" s="4"/>
      <c r="W32" s="4">
        <f t="shared" si="8"/>
        <v>0</v>
      </c>
      <c r="X32" s="4"/>
      <c r="Y32" s="4"/>
      <c r="Z32" s="4"/>
      <c r="AA32" s="3"/>
      <c r="AB32" s="3" t="s">
        <v>659</v>
      </c>
      <c r="AC32" s="3">
        <v>810000</v>
      </c>
    </row>
    <row r="33" spans="1:29" ht="30" customHeight="1">
      <c r="A33" s="3">
        <f t="shared" si="7"/>
        <v>29</v>
      </c>
      <c r="B33" s="3">
        <v>1887</v>
      </c>
      <c r="C33" s="3" t="s">
        <v>124</v>
      </c>
      <c r="D33" s="4">
        <v>5200000</v>
      </c>
      <c r="E33" s="4">
        <v>5200000</v>
      </c>
      <c r="F33" s="4">
        <f t="shared" si="0"/>
        <v>0</v>
      </c>
      <c r="G33" s="4">
        <v>1760000</v>
      </c>
      <c r="H33" s="4">
        <v>1377669</v>
      </c>
      <c r="I33" s="4">
        <v>332775</v>
      </c>
      <c r="J33" s="4">
        <v>0</v>
      </c>
      <c r="K33" s="4">
        <f>SUM(I33:J33)</f>
        <v>332775</v>
      </c>
      <c r="L33" s="4">
        <f>K33+H33</f>
        <v>1710444</v>
      </c>
      <c r="M33" s="4">
        <f t="shared" si="9"/>
        <v>49556</v>
      </c>
      <c r="N33" s="4">
        <f>1500000-300000-400000-800000</f>
        <v>0</v>
      </c>
      <c r="O33" s="4">
        <f t="shared" si="2"/>
        <v>3440000</v>
      </c>
      <c r="P33" s="4">
        <f t="shared" si="3"/>
        <v>49556</v>
      </c>
      <c r="Q33" s="4"/>
      <c r="R33" s="4"/>
      <c r="S33" s="4">
        <f t="shared" si="4"/>
        <v>0</v>
      </c>
      <c r="T33" s="4">
        <f t="shared" si="5"/>
        <v>0</v>
      </c>
      <c r="U33" s="4">
        <f t="shared" si="6"/>
        <v>0</v>
      </c>
      <c r="V33" s="4"/>
      <c r="W33" s="4">
        <f t="shared" si="8"/>
        <v>0</v>
      </c>
      <c r="X33" s="4"/>
      <c r="Y33" s="4"/>
      <c r="Z33" s="4"/>
      <c r="AA33" s="3"/>
      <c r="AB33" s="3" t="s">
        <v>755</v>
      </c>
      <c r="AC33" s="3">
        <v>810000</v>
      </c>
    </row>
    <row r="34" spans="1:29" ht="30" customHeight="1">
      <c r="A34" s="3">
        <f t="shared" si="7"/>
        <v>30</v>
      </c>
      <c r="B34" s="3">
        <v>1899</v>
      </c>
      <c r="C34" s="3" t="s">
        <v>142</v>
      </c>
      <c r="D34" s="4">
        <f>1270000-600000</f>
        <v>670000</v>
      </c>
      <c r="E34" s="4">
        <v>1270000</v>
      </c>
      <c r="F34" s="4">
        <f t="shared" si="0"/>
        <v>-600000</v>
      </c>
      <c r="G34" s="4">
        <v>670000</v>
      </c>
      <c r="H34" s="4">
        <v>442405</v>
      </c>
      <c r="I34" s="4">
        <v>0</v>
      </c>
      <c r="J34" s="4">
        <v>1427</v>
      </c>
      <c r="K34" s="4">
        <f>I34+J34</f>
        <v>1427</v>
      </c>
      <c r="L34" s="4">
        <f>H34+K34</f>
        <v>443832</v>
      </c>
      <c r="M34" s="4">
        <f t="shared" si="9"/>
        <v>226168</v>
      </c>
      <c r="N34" s="4">
        <f>300000-300000</f>
        <v>0</v>
      </c>
      <c r="O34" s="4">
        <f t="shared" si="2"/>
        <v>0</v>
      </c>
      <c r="P34" s="4">
        <f t="shared" si="3"/>
        <v>226168</v>
      </c>
      <c r="Q34" s="4"/>
      <c r="R34" s="4"/>
      <c r="S34" s="4">
        <f t="shared" si="4"/>
        <v>0</v>
      </c>
      <c r="T34" s="4">
        <f t="shared" si="5"/>
        <v>0</v>
      </c>
      <c r="U34" s="4">
        <f t="shared" si="6"/>
        <v>0</v>
      </c>
      <c r="V34" s="4"/>
      <c r="W34" s="161">
        <f t="shared" si="8"/>
        <v>0</v>
      </c>
      <c r="X34" s="4"/>
      <c r="Y34" s="4"/>
      <c r="Z34" s="4"/>
      <c r="AA34" s="4"/>
      <c r="AB34" s="64" t="s">
        <v>2350</v>
      </c>
      <c r="AC34" s="3">
        <v>870000</v>
      </c>
    </row>
    <row r="35" spans="1:29" ht="30" customHeight="1">
      <c r="A35" s="3">
        <f t="shared" si="7"/>
        <v>31</v>
      </c>
      <c r="B35" s="3">
        <v>1900</v>
      </c>
      <c r="C35" s="3" t="s">
        <v>125</v>
      </c>
      <c r="D35" s="4">
        <v>600000</v>
      </c>
      <c r="E35" s="4">
        <v>600000</v>
      </c>
      <c r="F35" s="4">
        <f t="shared" si="0"/>
        <v>0</v>
      </c>
      <c r="G35" s="4">
        <v>600000</v>
      </c>
      <c r="H35" s="4">
        <v>522411</v>
      </c>
      <c r="I35" s="4">
        <v>0</v>
      </c>
      <c r="J35" s="4">
        <v>50504</v>
      </c>
      <c r="K35" s="4">
        <f>SUM(I35:J35)</f>
        <v>50504</v>
      </c>
      <c r="L35" s="4">
        <f>K35+H35</f>
        <v>572915</v>
      </c>
      <c r="M35" s="4">
        <f t="shared" si="9"/>
        <v>27085</v>
      </c>
      <c r="N35" s="4"/>
      <c r="O35" s="4">
        <f t="shared" si="2"/>
        <v>0</v>
      </c>
      <c r="P35" s="4">
        <f t="shared" si="3"/>
        <v>27085</v>
      </c>
      <c r="Q35" s="4"/>
      <c r="R35" s="4"/>
      <c r="S35" s="4">
        <f t="shared" si="4"/>
        <v>0</v>
      </c>
      <c r="T35" s="4">
        <f t="shared" si="5"/>
        <v>0</v>
      </c>
      <c r="U35" s="4">
        <f t="shared" si="6"/>
        <v>0</v>
      </c>
      <c r="V35" s="4"/>
      <c r="W35" s="4">
        <f t="shared" si="8"/>
        <v>0</v>
      </c>
      <c r="X35" s="4"/>
      <c r="Y35" s="4"/>
      <c r="Z35" s="4"/>
      <c r="AA35" s="3"/>
      <c r="AB35" s="3" t="s">
        <v>2351</v>
      </c>
      <c r="AC35" s="3">
        <v>810000</v>
      </c>
    </row>
    <row r="36" spans="1:29" ht="30" customHeight="1">
      <c r="A36" s="3">
        <f t="shared" si="7"/>
        <v>32</v>
      </c>
      <c r="B36" s="3">
        <v>1917</v>
      </c>
      <c r="C36" s="3" t="s">
        <v>126</v>
      </c>
      <c r="D36" s="4">
        <v>76800000</v>
      </c>
      <c r="E36" s="4">
        <v>76800000</v>
      </c>
      <c r="F36" s="4">
        <f t="shared" si="0"/>
        <v>0</v>
      </c>
      <c r="G36" s="4">
        <v>33701000</v>
      </c>
      <c r="H36" s="4">
        <v>26411312</v>
      </c>
      <c r="I36" s="4">
        <v>0</v>
      </c>
      <c r="J36" s="4">
        <v>7051589</v>
      </c>
      <c r="K36" s="4">
        <f>SUM(I36:J36)</f>
        <v>7051589</v>
      </c>
      <c r="L36" s="4">
        <f>K36+H36</f>
        <v>33462901</v>
      </c>
      <c r="M36" s="4">
        <f t="shared" si="9"/>
        <v>238099</v>
      </c>
      <c r="N36" s="4">
        <f>10000000-10000000</f>
        <v>0</v>
      </c>
      <c r="O36" s="4">
        <f t="shared" si="2"/>
        <v>43099000</v>
      </c>
      <c r="P36" s="4">
        <f t="shared" si="3"/>
        <v>238099</v>
      </c>
      <c r="Q36" s="4"/>
      <c r="R36" s="4"/>
      <c r="S36" s="4">
        <f t="shared" si="4"/>
        <v>0</v>
      </c>
      <c r="T36" s="4">
        <f t="shared" si="5"/>
        <v>0</v>
      </c>
      <c r="U36" s="4">
        <f t="shared" si="6"/>
        <v>0</v>
      </c>
      <c r="V36" s="4"/>
      <c r="W36" s="4">
        <f t="shared" si="8"/>
        <v>0</v>
      </c>
      <c r="X36" s="4"/>
      <c r="Y36" s="4"/>
      <c r="Z36" s="4"/>
      <c r="AA36" s="3"/>
      <c r="AB36" s="3" t="s">
        <v>774</v>
      </c>
      <c r="AC36" s="3">
        <v>743000</v>
      </c>
    </row>
    <row r="37" spans="1:29" ht="30" customHeight="1">
      <c r="A37" s="3">
        <f t="shared" si="7"/>
        <v>33</v>
      </c>
      <c r="B37" s="3">
        <v>1922</v>
      </c>
      <c r="C37" s="3" t="s">
        <v>130</v>
      </c>
      <c r="D37" s="4">
        <v>330000</v>
      </c>
      <c r="E37" s="4">
        <v>330000</v>
      </c>
      <c r="F37" s="4">
        <f t="shared" si="0"/>
        <v>0</v>
      </c>
      <c r="G37" s="4">
        <v>200000</v>
      </c>
      <c r="H37" s="4">
        <v>95338</v>
      </c>
      <c r="I37" s="4">
        <v>0</v>
      </c>
      <c r="J37" s="4">
        <v>7710</v>
      </c>
      <c r="K37" s="4">
        <f>I37+J37</f>
        <v>7710</v>
      </c>
      <c r="L37" s="4">
        <f>H37+K37</f>
        <v>103048</v>
      </c>
      <c r="M37" s="4">
        <f t="shared" si="9"/>
        <v>96952</v>
      </c>
      <c r="N37" s="4">
        <v>0</v>
      </c>
      <c r="O37" s="4">
        <f t="shared" si="2"/>
        <v>130000</v>
      </c>
      <c r="P37" s="4">
        <f t="shared" si="3"/>
        <v>96952</v>
      </c>
      <c r="Q37" s="4"/>
      <c r="R37" s="4"/>
      <c r="S37" s="4">
        <f t="shared" si="4"/>
        <v>0</v>
      </c>
      <c r="T37" s="4">
        <f t="shared" si="5"/>
        <v>0</v>
      </c>
      <c r="U37" s="4">
        <f t="shared" si="6"/>
        <v>0</v>
      </c>
      <c r="V37" s="4"/>
      <c r="W37" s="161">
        <f t="shared" si="8"/>
        <v>0</v>
      </c>
      <c r="X37" s="4"/>
      <c r="Y37" s="4"/>
      <c r="Z37" s="4"/>
      <c r="AA37" s="4"/>
      <c r="AB37" s="4"/>
      <c r="AC37" s="3">
        <v>870000</v>
      </c>
    </row>
    <row r="38" spans="1:29" ht="30" customHeight="1">
      <c r="A38" s="3">
        <f t="shared" si="7"/>
        <v>34</v>
      </c>
      <c r="B38" s="3">
        <v>1923</v>
      </c>
      <c r="C38" s="3" t="s">
        <v>131</v>
      </c>
      <c r="D38" s="4">
        <v>152000</v>
      </c>
      <c r="E38" s="4">
        <v>152000</v>
      </c>
      <c r="F38" s="4">
        <f t="shared" si="0"/>
        <v>0</v>
      </c>
      <c r="G38" s="4">
        <v>152000</v>
      </c>
      <c r="H38" s="4">
        <v>138856</v>
      </c>
      <c r="I38" s="4">
        <v>13144</v>
      </c>
      <c r="J38" s="4">
        <v>0</v>
      </c>
      <c r="K38" s="4">
        <f>I38+J38</f>
        <v>13144</v>
      </c>
      <c r="L38" s="4">
        <f>H38+K38</f>
        <v>152000</v>
      </c>
      <c r="M38" s="4">
        <f t="shared" si="9"/>
        <v>0</v>
      </c>
      <c r="N38" s="4"/>
      <c r="O38" s="4">
        <f t="shared" si="2"/>
        <v>0</v>
      </c>
      <c r="P38" s="4">
        <f t="shared" si="3"/>
        <v>0</v>
      </c>
      <c r="Q38" s="4"/>
      <c r="R38" s="4"/>
      <c r="S38" s="4">
        <f t="shared" si="4"/>
        <v>0</v>
      </c>
      <c r="T38" s="4">
        <f t="shared" si="5"/>
        <v>0</v>
      </c>
      <c r="U38" s="4">
        <f t="shared" si="6"/>
        <v>0</v>
      </c>
      <c r="V38" s="4"/>
      <c r="W38" s="161">
        <f t="shared" si="8"/>
        <v>0</v>
      </c>
      <c r="X38" s="4"/>
      <c r="Y38" s="4"/>
      <c r="Z38" s="4"/>
      <c r="AA38" s="4"/>
      <c r="AB38" s="3" t="s">
        <v>562</v>
      </c>
      <c r="AC38" s="3">
        <v>747000</v>
      </c>
    </row>
    <row r="39" spans="1:29" ht="49.15" customHeight="1">
      <c r="A39" s="3">
        <f t="shared" si="7"/>
        <v>35</v>
      </c>
      <c r="B39" s="3">
        <v>1947</v>
      </c>
      <c r="C39" s="3" t="s">
        <v>1264</v>
      </c>
      <c r="D39" s="4">
        <v>2500000</v>
      </c>
      <c r="E39" s="4">
        <v>2500000</v>
      </c>
      <c r="F39" s="4">
        <f t="shared" si="0"/>
        <v>0</v>
      </c>
      <c r="G39" s="4">
        <v>2500000</v>
      </c>
      <c r="H39" s="4">
        <v>106321</v>
      </c>
      <c r="I39" s="4">
        <v>844007</v>
      </c>
      <c r="J39" s="4">
        <v>75770</v>
      </c>
      <c r="K39" s="4">
        <f>SUM(I39:J39)</f>
        <v>919777</v>
      </c>
      <c r="L39" s="4">
        <f>K39+H39</f>
        <v>1026098</v>
      </c>
      <c r="M39" s="4">
        <f t="shared" si="9"/>
        <v>1473902</v>
      </c>
      <c r="N39" s="4"/>
      <c r="O39" s="4">
        <f t="shared" si="2"/>
        <v>0</v>
      </c>
      <c r="P39" s="4">
        <f t="shared" si="3"/>
        <v>1473902</v>
      </c>
      <c r="Q39" s="4"/>
      <c r="R39" s="4"/>
      <c r="S39" s="4">
        <f t="shared" si="4"/>
        <v>0</v>
      </c>
      <c r="T39" s="4">
        <f t="shared" si="5"/>
        <v>0</v>
      </c>
      <c r="U39" s="4">
        <f t="shared" si="6"/>
        <v>0</v>
      </c>
      <c r="V39" s="4"/>
      <c r="W39" s="4">
        <f t="shared" si="8"/>
        <v>0</v>
      </c>
      <c r="X39" s="4"/>
      <c r="Y39" s="4"/>
      <c r="Z39" s="4"/>
      <c r="AA39" s="3"/>
      <c r="AB39" s="3" t="s">
        <v>2352</v>
      </c>
      <c r="AC39" s="3">
        <v>850000</v>
      </c>
    </row>
    <row r="40" spans="1:29" ht="30" customHeight="1">
      <c r="A40" s="3">
        <f t="shared" si="7"/>
        <v>36</v>
      </c>
      <c r="B40" s="3">
        <v>1966</v>
      </c>
      <c r="C40" s="3" t="s">
        <v>2450</v>
      </c>
      <c r="D40" s="4">
        <v>1700000</v>
      </c>
      <c r="E40" s="4">
        <v>1700000</v>
      </c>
      <c r="F40" s="4">
        <f t="shared" si="0"/>
        <v>0</v>
      </c>
      <c r="G40" s="4">
        <v>1700000</v>
      </c>
      <c r="H40" s="4">
        <v>1500715</v>
      </c>
      <c r="I40" s="4">
        <v>199284</v>
      </c>
      <c r="J40" s="4">
        <v>0</v>
      </c>
      <c r="K40" s="4">
        <f>SUM(I40:J40)</f>
        <v>199284</v>
      </c>
      <c r="L40" s="4">
        <f>K40+H40</f>
        <v>1699999</v>
      </c>
      <c r="M40" s="4">
        <f t="shared" si="9"/>
        <v>1</v>
      </c>
      <c r="N40" s="4"/>
      <c r="O40" s="4">
        <f t="shared" si="2"/>
        <v>0</v>
      </c>
      <c r="P40" s="4">
        <f t="shared" si="3"/>
        <v>1</v>
      </c>
      <c r="Q40" s="4"/>
      <c r="R40" s="4"/>
      <c r="S40" s="4">
        <f t="shared" si="4"/>
        <v>0</v>
      </c>
      <c r="T40" s="4">
        <f t="shared" si="5"/>
        <v>0</v>
      </c>
      <c r="U40" s="4">
        <f t="shared" si="6"/>
        <v>0</v>
      </c>
      <c r="V40" s="4"/>
      <c r="W40" s="4">
        <f t="shared" si="8"/>
        <v>0</v>
      </c>
      <c r="X40" s="4"/>
      <c r="Y40" s="4"/>
      <c r="Z40" s="4"/>
      <c r="AA40" s="3"/>
      <c r="AB40" s="3" t="s">
        <v>880</v>
      </c>
      <c r="AC40" s="3">
        <v>870000</v>
      </c>
    </row>
    <row r="41" spans="1:29" ht="30" customHeight="1">
      <c r="A41" s="3">
        <f t="shared" si="7"/>
        <v>37</v>
      </c>
      <c r="B41" s="3">
        <v>1967</v>
      </c>
      <c r="C41" s="3" t="s">
        <v>139</v>
      </c>
      <c r="D41" s="4">
        <v>12929000</v>
      </c>
      <c r="E41" s="4">
        <v>12929000</v>
      </c>
      <c r="F41" s="4">
        <f t="shared" si="0"/>
        <v>0</v>
      </c>
      <c r="G41" s="4">
        <v>12629000</v>
      </c>
      <c r="H41" s="4">
        <v>2502390</v>
      </c>
      <c r="I41" s="4">
        <v>42003</v>
      </c>
      <c r="J41" s="4">
        <v>8286242</v>
      </c>
      <c r="K41" s="4">
        <f>SUM(I41:J41)</f>
        <v>8328245</v>
      </c>
      <c r="L41" s="4">
        <f>K41+H41</f>
        <v>10830635</v>
      </c>
      <c r="M41" s="4">
        <f t="shared" si="9"/>
        <v>1798365</v>
      </c>
      <c r="N41" s="4">
        <v>300000</v>
      </c>
      <c r="O41" s="4">
        <f t="shared" si="2"/>
        <v>0</v>
      </c>
      <c r="P41" s="4">
        <f t="shared" si="3"/>
        <v>1798365</v>
      </c>
      <c r="Q41" s="4"/>
      <c r="R41" s="4"/>
      <c r="S41" s="4">
        <f t="shared" si="4"/>
        <v>0</v>
      </c>
      <c r="T41" s="4">
        <f t="shared" si="5"/>
        <v>0</v>
      </c>
      <c r="U41" s="4">
        <f t="shared" si="6"/>
        <v>300000</v>
      </c>
      <c r="V41" s="4"/>
      <c r="W41" s="4">
        <f t="shared" si="8"/>
        <v>300000</v>
      </c>
      <c r="X41" s="4"/>
      <c r="Y41" s="4"/>
      <c r="Z41" s="4"/>
      <c r="AA41" s="3"/>
      <c r="AB41" s="3" t="s">
        <v>882</v>
      </c>
      <c r="AC41" s="3">
        <v>810000</v>
      </c>
    </row>
    <row r="42" spans="1:29" ht="30" customHeight="1">
      <c r="A42" s="3">
        <f t="shared" si="7"/>
        <v>38</v>
      </c>
      <c r="B42" s="3">
        <v>1968</v>
      </c>
      <c r="C42" s="3" t="s">
        <v>140</v>
      </c>
      <c r="D42" s="4">
        <v>2170000</v>
      </c>
      <c r="E42" s="4">
        <v>2170000</v>
      </c>
      <c r="F42" s="4">
        <f t="shared" si="0"/>
        <v>0</v>
      </c>
      <c r="G42" s="4">
        <v>2170000</v>
      </c>
      <c r="H42" s="4">
        <v>1791791</v>
      </c>
      <c r="I42" s="4">
        <v>0</v>
      </c>
      <c r="J42" s="4">
        <v>28198</v>
      </c>
      <c r="K42" s="4">
        <f>SUM(I42:J42)</f>
        <v>28198</v>
      </c>
      <c r="L42" s="4">
        <f>K42+H42</f>
        <v>1819989</v>
      </c>
      <c r="M42" s="4">
        <f t="shared" si="9"/>
        <v>350011</v>
      </c>
      <c r="N42" s="4"/>
      <c r="O42" s="4">
        <f t="shared" si="2"/>
        <v>0</v>
      </c>
      <c r="P42" s="4">
        <f t="shared" si="3"/>
        <v>350011</v>
      </c>
      <c r="Q42" s="4"/>
      <c r="R42" s="4"/>
      <c r="S42" s="4">
        <f t="shared" si="4"/>
        <v>0</v>
      </c>
      <c r="T42" s="4">
        <f t="shared" si="5"/>
        <v>0</v>
      </c>
      <c r="U42" s="4">
        <f t="shared" si="6"/>
        <v>0</v>
      </c>
      <c r="V42" s="4"/>
      <c r="W42" s="4">
        <f t="shared" si="8"/>
        <v>0</v>
      </c>
      <c r="X42" s="4"/>
      <c r="Y42" s="4"/>
      <c r="Z42" s="4"/>
      <c r="AA42" s="3"/>
      <c r="AB42" s="502" t="s">
        <v>1277</v>
      </c>
      <c r="AC42" s="502">
        <v>848500</v>
      </c>
    </row>
    <row r="43" spans="1:29" ht="30" customHeight="1">
      <c r="A43" s="3">
        <f t="shared" si="7"/>
        <v>39</v>
      </c>
      <c r="B43" s="3">
        <v>1970</v>
      </c>
      <c r="C43" s="3" t="s">
        <v>149</v>
      </c>
      <c r="D43" s="4">
        <v>32500000</v>
      </c>
      <c r="E43" s="4">
        <v>32500000</v>
      </c>
      <c r="F43" s="4">
        <f t="shared" si="0"/>
        <v>0</v>
      </c>
      <c r="G43" s="4">
        <v>32500000</v>
      </c>
      <c r="H43" s="4">
        <v>31975060</v>
      </c>
      <c r="I43" s="4">
        <v>182915</v>
      </c>
      <c r="J43" s="4">
        <v>330025</v>
      </c>
      <c r="K43" s="4">
        <f>SUM(I43:J43)</f>
        <v>512940</v>
      </c>
      <c r="L43" s="4">
        <f>K43+H43</f>
        <v>32488000</v>
      </c>
      <c r="M43" s="4">
        <f t="shared" si="9"/>
        <v>12000</v>
      </c>
      <c r="N43" s="4"/>
      <c r="O43" s="4">
        <f t="shared" si="2"/>
        <v>0</v>
      </c>
      <c r="P43" s="4">
        <f t="shared" si="3"/>
        <v>12000</v>
      </c>
      <c r="Q43" s="4"/>
      <c r="R43" s="4"/>
      <c r="S43" s="4">
        <f t="shared" si="4"/>
        <v>0</v>
      </c>
      <c r="T43" s="4">
        <f t="shared" si="5"/>
        <v>0</v>
      </c>
      <c r="U43" s="4">
        <f t="shared" si="6"/>
        <v>0</v>
      </c>
      <c r="V43" s="4"/>
      <c r="W43" s="4">
        <f t="shared" si="8"/>
        <v>0</v>
      </c>
      <c r="X43" s="4"/>
      <c r="Y43" s="4"/>
      <c r="Z43" s="4"/>
      <c r="AA43" s="3"/>
      <c r="AB43" s="3" t="s">
        <v>1282</v>
      </c>
      <c r="AC43" s="3">
        <v>810000</v>
      </c>
    </row>
    <row r="44" spans="1:29" ht="30" customHeight="1">
      <c r="A44" s="3">
        <f t="shared" si="7"/>
        <v>40</v>
      </c>
      <c r="B44" s="3">
        <v>1973</v>
      </c>
      <c r="C44" s="3" t="s">
        <v>143</v>
      </c>
      <c r="D44" s="4">
        <v>2500000</v>
      </c>
      <c r="E44" s="4">
        <v>2500000</v>
      </c>
      <c r="F44" s="4">
        <f t="shared" si="0"/>
        <v>0</v>
      </c>
      <c r="G44" s="4">
        <v>1150000</v>
      </c>
      <c r="H44" s="4">
        <v>951066</v>
      </c>
      <c r="I44" s="4">
        <v>0</v>
      </c>
      <c r="J44" s="4">
        <v>198933</v>
      </c>
      <c r="K44" s="4">
        <f>I44+J44</f>
        <v>198933</v>
      </c>
      <c r="L44" s="4">
        <f>H44+K44</f>
        <v>1149999</v>
      </c>
      <c r="M44" s="4">
        <f t="shared" si="9"/>
        <v>1</v>
      </c>
      <c r="N44" s="4">
        <f>1000000-200000</f>
        <v>800000</v>
      </c>
      <c r="O44" s="4">
        <f t="shared" si="2"/>
        <v>550000</v>
      </c>
      <c r="P44" s="4">
        <f t="shared" si="3"/>
        <v>1</v>
      </c>
      <c r="Q44" s="4"/>
      <c r="R44" s="4"/>
      <c r="S44" s="4">
        <f t="shared" si="4"/>
        <v>0</v>
      </c>
      <c r="T44" s="4">
        <f t="shared" si="5"/>
        <v>0</v>
      </c>
      <c r="U44" s="4">
        <f t="shared" si="6"/>
        <v>800000</v>
      </c>
      <c r="V44" s="4"/>
      <c r="W44" s="161">
        <f t="shared" si="8"/>
        <v>800000</v>
      </c>
      <c r="X44" s="4"/>
      <c r="Y44" s="4"/>
      <c r="Z44" s="4"/>
      <c r="AA44" s="4"/>
      <c r="AB44" s="3" t="s">
        <v>760</v>
      </c>
      <c r="AC44" s="3">
        <v>742000</v>
      </c>
    </row>
    <row r="45" spans="1:29" ht="30" customHeight="1">
      <c r="A45" s="3">
        <f t="shared" si="7"/>
        <v>41</v>
      </c>
      <c r="B45" s="3">
        <v>1989</v>
      </c>
      <c r="C45" s="3" t="s">
        <v>444</v>
      </c>
      <c r="D45" s="4">
        <v>1070000</v>
      </c>
      <c r="E45" s="4">
        <v>1070000</v>
      </c>
      <c r="F45" s="4">
        <f t="shared" si="0"/>
        <v>0</v>
      </c>
      <c r="G45" s="4">
        <v>570000</v>
      </c>
      <c r="H45" s="4">
        <v>542461</v>
      </c>
      <c r="I45" s="4">
        <v>0</v>
      </c>
      <c r="J45" s="4">
        <v>26086</v>
      </c>
      <c r="K45" s="4">
        <f>I45+J45</f>
        <v>26086</v>
      </c>
      <c r="L45" s="4">
        <f>H45+K45</f>
        <v>568547</v>
      </c>
      <c r="M45" s="4">
        <f t="shared" si="9"/>
        <v>1453</v>
      </c>
      <c r="N45" s="4"/>
      <c r="O45" s="4">
        <f t="shared" si="2"/>
        <v>500000</v>
      </c>
      <c r="P45" s="4">
        <f t="shared" si="3"/>
        <v>1453</v>
      </c>
      <c r="Q45" s="4"/>
      <c r="R45" s="4"/>
      <c r="S45" s="4">
        <f t="shared" si="4"/>
        <v>0</v>
      </c>
      <c r="T45" s="4">
        <f t="shared" si="5"/>
        <v>0</v>
      </c>
      <c r="U45" s="4">
        <f t="shared" si="6"/>
        <v>0</v>
      </c>
      <c r="V45" s="4"/>
      <c r="W45" s="161">
        <f t="shared" si="8"/>
        <v>0</v>
      </c>
      <c r="X45" s="4"/>
      <c r="Y45" s="4"/>
      <c r="Z45" s="4"/>
      <c r="AA45" s="4"/>
      <c r="AB45" s="64" t="s">
        <v>2451</v>
      </c>
      <c r="AC45" s="3">
        <v>746000</v>
      </c>
    </row>
    <row r="46" spans="1:29" ht="30" customHeight="1">
      <c r="A46" s="3">
        <f t="shared" si="7"/>
        <v>42</v>
      </c>
      <c r="B46" s="3">
        <v>2001</v>
      </c>
      <c r="C46" s="3" t="s">
        <v>155</v>
      </c>
      <c r="D46" s="4">
        <v>18500000</v>
      </c>
      <c r="E46" s="4">
        <v>18500000</v>
      </c>
      <c r="F46" s="4">
        <f t="shared" si="0"/>
        <v>0</v>
      </c>
      <c r="G46" s="4">
        <v>8398700</v>
      </c>
      <c r="H46" s="4">
        <v>592347</v>
      </c>
      <c r="I46" s="4">
        <v>7007029</v>
      </c>
      <c r="J46" s="4">
        <v>35009</v>
      </c>
      <c r="K46" s="4">
        <f>SUM(I46:J46)</f>
        <v>7042038</v>
      </c>
      <c r="L46" s="4">
        <f>K46+H46</f>
        <v>7634385</v>
      </c>
      <c r="M46" s="4">
        <f t="shared" si="9"/>
        <v>764315</v>
      </c>
      <c r="N46" s="4"/>
      <c r="O46" s="4">
        <f t="shared" si="2"/>
        <v>10101300</v>
      </c>
      <c r="P46" s="4">
        <f t="shared" si="3"/>
        <v>764315</v>
      </c>
      <c r="Q46" s="4"/>
      <c r="R46" s="4"/>
      <c r="S46" s="4">
        <f t="shared" si="4"/>
        <v>0</v>
      </c>
      <c r="T46" s="4">
        <f t="shared" si="5"/>
        <v>0</v>
      </c>
      <c r="U46" s="4">
        <f t="shared" si="6"/>
        <v>0</v>
      </c>
      <c r="V46" s="4">
        <f>U46-AA46</f>
        <v>0</v>
      </c>
      <c r="W46" s="4"/>
      <c r="X46" s="4"/>
      <c r="Y46" s="4"/>
      <c r="Z46" s="4"/>
      <c r="AA46" s="4"/>
      <c r="AB46" s="3" t="s">
        <v>2353</v>
      </c>
      <c r="AC46" s="3">
        <v>810000</v>
      </c>
    </row>
    <row r="47" spans="1:29" ht="30" customHeight="1">
      <c r="A47" s="3">
        <f t="shared" si="7"/>
        <v>43</v>
      </c>
      <c r="B47" s="3">
        <v>2028</v>
      </c>
      <c r="C47" s="3" t="s">
        <v>345</v>
      </c>
      <c r="D47" s="4">
        <v>2435000</v>
      </c>
      <c r="E47" s="4">
        <v>2435000</v>
      </c>
      <c r="F47" s="4">
        <f t="shared" si="0"/>
        <v>0</v>
      </c>
      <c r="G47" s="4">
        <v>2435000</v>
      </c>
      <c r="H47" s="4">
        <v>2272968</v>
      </c>
      <c r="I47" s="4">
        <v>161556</v>
      </c>
      <c r="J47" s="4">
        <v>0</v>
      </c>
      <c r="K47" s="4">
        <f>SUM(I47:J47)</f>
        <v>161556</v>
      </c>
      <c r="L47" s="4">
        <f>K47+H47</f>
        <v>2434524</v>
      </c>
      <c r="M47" s="4">
        <f t="shared" si="9"/>
        <v>476</v>
      </c>
      <c r="N47" s="4"/>
      <c r="O47" s="4">
        <f t="shared" si="2"/>
        <v>0</v>
      </c>
      <c r="P47" s="4">
        <f t="shared" si="3"/>
        <v>476</v>
      </c>
      <c r="Q47" s="4"/>
      <c r="R47" s="4"/>
      <c r="S47" s="4">
        <f t="shared" si="4"/>
        <v>0</v>
      </c>
      <c r="T47" s="4">
        <f t="shared" si="5"/>
        <v>0</v>
      </c>
      <c r="U47" s="4">
        <f t="shared" si="6"/>
        <v>0</v>
      </c>
      <c r="V47" s="4"/>
      <c r="W47" s="4">
        <f t="shared" ref="W47:W87" si="10">U47-V47-AA47</f>
        <v>0</v>
      </c>
      <c r="X47" s="4"/>
      <c r="Y47" s="4"/>
      <c r="Z47" s="4"/>
      <c r="AA47" s="3"/>
      <c r="AB47" s="3" t="s">
        <v>534</v>
      </c>
      <c r="AC47" s="3">
        <v>810000</v>
      </c>
    </row>
    <row r="48" spans="1:29" ht="30" customHeight="1">
      <c r="A48" s="3">
        <f t="shared" si="7"/>
        <v>44</v>
      </c>
      <c r="B48" s="3">
        <v>2030</v>
      </c>
      <c r="C48" s="3" t="s">
        <v>289</v>
      </c>
      <c r="D48" s="4">
        <v>31500000</v>
      </c>
      <c r="E48" s="4">
        <v>31500000</v>
      </c>
      <c r="F48" s="4">
        <f t="shared" si="0"/>
        <v>0</v>
      </c>
      <c r="G48" s="4">
        <f>12000000+2500000</f>
        <v>14500000</v>
      </c>
      <c r="H48" s="4">
        <v>4808398</v>
      </c>
      <c r="I48" s="4">
        <v>5339146</v>
      </c>
      <c r="J48" s="4">
        <v>1541335</v>
      </c>
      <c r="K48" s="4">
        <f>SUM(I48:J48)</f>
        <v>6880481</v>
      </c>
      <c r="L48" s="4">
        <f>K48+H48</f>
        <v>11688879</v>
      </c>
      <c r="M48" s="4">
        <f t="shared" si="9"/>
        <v>811121</v>
      </c>
      <c r="N48" s="4">
        <f>4250000-500000</f>
        <v>3750000</v>
      </c>
      <c r="O48" s="4">
        <f t="shared" si="2"/>
        <v>15250000</v>
      </c>
      <c r="P48" s="4">
        <f t="shared" si="3"/>
        <v>2811121</v>
      </c>
      <c r="Q48" s="4">
        <f>10000000-10000000</f>
        <v>0</v>
      </c>
      <c r="R48" s="4">
        <f>-2400000+400000</f>
        <v>-2000000</v>
      </c>
      <c r="S48" s="4">
        <f t="shared" si="4"/>
        <v>-2000000</v>
      </c>
      <c r="T48" s="4">
        <f t="shared" si="5"/>
        <v>0</v>
      </c>
      <c r="U48" s="4">
        <f t="shared" si="6"/>
        <v>3750000</v>
      </c>
      <c r="V48" s="4">
        <v>1750000</v>
      </c>
      <c r="W48" s="4">
        <f t="shared" si="10"/>
        <v>0</v>
      </c>
      <c r="X48" s="4"/>
      <c r="Y48" s="4"/>
      <c r="Z48" s="4"/>
      <c r="AA48" s="4">
        <v>2000000</v>
      </c>
      <c r="AB48" s="3" t="s">
        <v>883</v>
      </c>
      <c r="AC48" s="3">
        <v>810000</v>
      </c>
    </row>
    <row r="49" spans="1:46" ht="30" customHeight="1">
      <c r="A49" s="3">
        <f t="shared" si="7"/>
        <v>45</v>
      </c>
      <c r="B49" s="3">
        <v>2037</v>
      </c>
      <c r="C49" s="3" t="s">
        <v>493</v>
      </c>
      <c r="D49" s="4">
        <v>5000000</v>
      </c>
      <c r="E49" s="4">
        <v>5000000</v>
      </c>
      <c r="F49" s="4">
        <f t="shared" si="0"/>
        <v>0</v>
      </c>
      <c r="G49" s="4">
        <v>800000</v>
      </c>
      <c r="H49" s="4">
        <v>549548</v>
      </c>
      <c r="I49" s="4">
        <v>0</v>
      </c>
      <c r="J49" s="4">
        <v>237729</v>
      </c>
      <c r="K49" s="4">
        <f t="shared" ref="K49:K56" si="11">I49+J49</f>
        <v>237729</v>
      </c>
      <c r="L49" s="4">
        <f t="shared" ref="L49:L56" si="12">H49+K49</f>
        <v>787277</v>
      </c>
      <c r="M49" s="4">
        <f t="shared" si="9"/>
        <v>12723</v>
      </c>
      <c r="N49" s="4">
        <f>300000+1000000-300000</f>
        <v>1000000</v>
      </c>
      <c r="O49" s="4">
        <f t="shared" si="2"/>
        <v>3200000</v>
      </c>
      <c r="P49" s="4">
        <f t="shared" si="3"/>
        <v>12723</v>
      </c>
      <c r="Q49" s="4"/>
      <c r="R49" s="4"/>
      <c r="S49" s="4">
        <f t="shared" si="4"/>
        <v>0</v>
      </c>
      <c r="T49" s="4">
        <f t="shared" si="5"/>
        <v>0</v>
      </c>
      <c r="U49" s="4">
        <f t="shared" si="6"/>
        <v>1000000</v>
      </c>
      <c r="V49" s="4">
        <v>500000</v>
      </c>
      <c r="W49" s="161">
        <f t="shared" si="10"/>
        <v>500000</v>
      </c>
      <c r="X49" s="4"/>
      <c r="Y49" s="4"/>
      <c r="Z49" s="4"/>
      <c r="AA49" s="4"/>
      <c r="AB49" s="3" t="s">
        <v>2354</v>
      </c>
      <c r="AC49" s="3">
        <v>870000</v>
      </c>
    </row>
    <row r="50" spans="1:46" ht="30" customHeight="1">
      <c r="A50" s="3">
        <f t="shared" si="7"/>
        <v>46</v>
      </c>
      <c r="B50" s="3">
        <v>2038</v>
      </c>
      <c r="C50" s="3" t="s">
        <v>554</v>
      </c>
      <c r="D50" s="4">
        <v>4950000</v>
      </c>
      <c r="E50" s="4">
        <v>4950000</v>
      </c>
      <c r="F50" s="4">
        <f t="shared" si="0"/>
        <v>0</v>
      </c>
      <c r="G50" s="4">
        <v>3450000</v>
      </c>
      <c r="H50" s="4">
        <v>2650756</v>
      </c>
      <c r="I50" s="4">
        <v>0</v>
      </c>
      <c r="J50" s="4">
        <v>683824</v>
      </c>
      <c r="K50" s="4">
        <f t="shared" si="11"/>
        <v>683824</v>
      </c>
      <c r="L50" s="4">
        <f t="shared" si="12"/>
        <v>3334580</v>
      </c>
      <c r="M50" s="4">
        <f t="shared" si="9"/>
        <v>115420</v>
      </c>
      <c r="N50" s="4">
        <f>1500000-500000</f>
        <v>1000000</v>
      </c>
      <c r="O50" s="4">
        <f t="shared" si="2"/>
        <v>500000</v>
      </c>
      <c r="P50" s="4">
        <f t="shared" si="3"/>
        <v>115420</v>
      </c>
      <c r="Q50" s="4"/>
      <c r="R50" s="4"/>
      <c r="S50" s="4">
        <f t="shared" si="4"/>
        <v>0</v>
      </c>
      <c r="T50" s="4">
        <f t="shared" si="5"/>
        <v>0</v>
      </c>
      <c r="U50" s="4">
        <f t="shared" si="6"/>
        <v>1000000</v>
      </c>
      <c r="V50" s="4">
        <v>500000</v>
      </c>
      <c r="W50" s="161">
        <f t="shared" si="10"/>
        <v>500000</v>
      </c>
      <c r="X50" s="4"/>
      <c r="Y50" s="4"/>
      <c r="Z50" s="4"/>
      <c r="AA50" s="4"/>
      <c r="AB50" s="3" t="s">
        <v>591</v>
      </c>
      <c r="AC50" s="3">
        <v>810000</v>
      </c>
    </row>
    <row r="51" spans="1:46" ht="30" customHeight="1">
      <c r="A51" s="3">
        <f t="shared" si="7"/>
        <v>47</v>
      </c>
      <c r="B51" s="3">
        <v>2039</v>
      </c>
      <c r="C51" s="3" t="s">
        <v>164</v>
      </c>
      <c r="D51" s="4">
        <v>535000</v>
      </c>
      <c r="E51" s="4">
        <v>535000</v>
      </c>
      <c r="F51" s="4">
        <f t="shared" si="0"/>
        <v>0</v>
      </c>
      <c r="G51" s="4">
        <v>35000</v>
      </c>
      <c r="H51" s="4">
        <v>34999</v>
      </c>
      <c r="I51" s="4">
        <v>0</v>
      </c>
      <c r="J51" s="4">
        <v>0</v>
      </c>
      <c r="K51" s="4">
        <f t="shared" si="11"/>
        <v>0</v>
      </c>
      <c r="L51" s="4">
        <f t="shared" si="12"/>
        <v>34999</v>
      </c>
      <c r="M51" s="4">
        <f t="shared" si="9"/>
        <v>1</v>
      </c>
      <c r="N51" s="4">
        <v>500000</v>
      </c>
      <c r="O51" s="4">
        <f t="shared" si="2"/>
        <v>0</v>
      </c>
      <c r="P51" s="4">
        <f t="shared" si="3"/>
        <v>1</v>
      </c>
      <c r="Q51" s="4"/>
      <c r="R51" s="4"/>
      <c r="S51" s="4">
        <f t="shared" si="4"/>
        <v>0</v>
      </c>
      <c r="T51" s="4">
        <f t="shared" si="5"/>
        <v>0</v>
      </c>
      <c r="U51" s="4">
        <f t="shared" si="6"/>
        <v>500000</v>
      </c>
      <c r="V51" s="4"/>
      <c r="W51" s="161">
        <f t="shared" si="10"/>
        <v>500000</v>
      </c>
      <c r="X51" s="4"/>
      <c r="Y51" s="4"/>
      <c r="Z51" s="4"/>
      <c r="AA51" s="4"/>
      <c r="AB51" s="64" t="s">
        <v>761</v>
      </c>
      <c r="AC51" s="3">
        <v>760000</v>
      </c>
    </row>
    <row r="52" spans="1:46" ht="30" customHeight="1">
      <c r="A52" s="3">
        <f t="shared" si="7"/>
        <v>48</v>
      </c>
      <c r="B52" s="3">
        <v>2040</v>
      </c>
      <c r="C52" s="3" t="s">
        <v>363</v>
      </c>
      <c r="D52" s="4">
        <f>1500000-290000</f>
        <v>1210000</v>
      </c>
      <c r="E52" s="4">
        <v>910000</v>
      </c>
      <c r="F52" s="4">
        <f t="shared" si="0"/>
        <v>300000</v>
      </c>
      <c r="G52" s="4">
        <v>910000</v>
      </c>
      <c r="H52" s="4">
        <v>832911</v>
      </c>
      <c r="I52" s="4">
        <v>0</v>
      </c>
      <c r="J52" s="4">
        <v>30442</v>
      </c>
      <c r="K52" s="4">
        <f t="shared" si="11"/>
        <v>30442</v>
      </c>
      <c r="L52" s="4">
        <f t="shared" si="12"/>
        <v>863353</v>
      </c>
      <c r="M52" s="4">
        <f t="shared" si="9"/>
        <v>46647</v>
      </c>
      <c r="N52" s="4">
        <f>500000-200000</f>
        <v>300000</v>
      </c>
      <c r="O52" s="4">
        <f t="shared" si="2"/>
        <v>0</v>
      </c>
      <c r="P52" s="4">
        <f t="shared" si="3"/>
        <v>46647</v>
      </c>
      <c r="Q52" s="4"/>
      <c r="R52" s="4"/>
      <c r="S52" s="4">
        <f t="shared" si="4"/>
        <v>0</v>
      </c>
      <c r="T52" s="4">
        <f t="shared" si="5"/>
        <v>0</v>
      </c>
      <c r="U52" s="4">
        <f t="shared" si="6"/>
        <v>300000</v>
      </c>
      <c r="V52" s="4"/>
      <c r="W52" s="161">
        <f t="shared" si="10"/>
        <v>300000</v>
      </c>
      <c r="X52" s="4"/>
      <c r="Y52" s="4"/>
      <c r="Z52" s="4"/>
      <c r="AA52" s="4"/>
      <c r="AB52" s="3" t="s">
        <v>781</v>
      </c>
      <c r="AC52" s="3">
        <v>829000</v>
      </c>
    </row>
    <row r="53" spans="1:46" ht="30" customHeight="1">
      <c r="A53" s="3">
        <f t="shared" si="7"/>
        <v>49</v>
      </c>
      <c r="B53" s="3">
        <v>2043</v>
      </c>
      <c r="C53" s="3" t="s">
        <v>563</v>
      </c>
      <c r="D53" s="4">
        <f>10000000-250000</f>
        <v>9750000</v>
      </c>
      <c r="E53" s="4">
        <v>7350000</v>
      </c>
      <c r="F53" s="4">
        <f t="shared" si="0"/>
        <v>2400000</v>
      </c>
      <c r="G53" s="4">
        <v>6750000</v>
      </c>
      <c r="H53" s="4">
        <v>6198991</v>
      </c>
      <c r="I53" s="4">
        <v>277159</v>
      </c>
      <c r="J53" s="4">
        <v>214042</v>
      </c>
      <c r="K53" s="4">
        <f t="shared" si="11"/>
        <v>491201</v>
      </c>
      <c r="L53" s="4">
        <f t="shared" si="12"/>
        <v>6690192</v>
      </c>
      <c r="M53" s="4">
        <f t="shared" si="9"/>
        <v>59808</v>
      </c>
      <c r="N53" s="4">
        <f>2000000+1000000</f>
        <v>3000000</v>
      </c>
      <c r="O53" s="4">
        <f t="shared" si="2"/>
        <v>0</v>
      </c>
      <c r="P53" s="4">
        <f t="shared" si="3"/>
        <v>59808</v>
      </c>
      <c r="Q53" s="4"/>
      <c r="R53" s="4"/>
      <c r="S53" s="4">
        <f t="shared" si="4"/>
        <v>0</v>
      </c>
      <c r="T53" s="4">
        <f t="shared" si="5"/>
        <v>0</v>
      </c>
      <c r="U53" s="4">
        <f t="shared" si="6"/>
        <v>3000000</v>
      </c>
      <c r="V53" s="4"/>
      <c r="W53" s="161">
        <f t="shared" si="10"/>
        <v>3000000</v>
      </c>
      <c r="X53" s="4"/>
      <c r="Y53" s="4"/>
      <c r="Z53" s="4"/>
      <c r="AA53" s="4"/>
      <c r="AB53" s="3" t="s">
        <v>2452</v>
      </c>
      <c r="AC53" s="3">
        <v>747000</v>
      </c>
    </row>
    <row r="54" spans="1:46" ht="30" customHeight="1">
      <c r="A54" s="3">
        <f t="shared" si="7"/>
        <v>50</v>
      </c>
      <c r="B54" s="3">
        <v>2044</v>
      </c>
      <c r="C54" s="3" t="s">
        <v>166</v>
      </c>
      <c r="D54" s="4">
        <v>105000</v>
      </c>
      <c r="E54" s="4">
        <v>105000</v>
      </c>
      <c r="F54" s="4">
        <f t="shared" si="0"/>
        <v>0</v>
      </c>
      <c r="G54" s="4">
        <v>105000</v>
      </c>
      <c r="H54" s="4">
        <v>56160</v>
      </c>
      <c r="I54" s="4">
        <v>0</v>
      </c>
      <c r="J54" s="4">
        <v>0</v>
      </c>
      <c r="K54" s="4">
        <f t="shared" si="11"/>
        <v>0</v>
      </c>
      <c r="L54" s="4">
        <f t="shared" si="12"/>
        <v>56160</v>
      </c>
      <c r="M54" s="4">
        <f t="shared" si="9"/>
        <v>48840</v>
      </c>
      <c r="N54" s="4"/>
      <c r="O54" s="4">
        <f t="shared" si="2"/>
        <v>0</v>
      </c>
      <c r="P54" s="4">
        <f t="shared" si="3"/>
        <v>48840</v>
      </c>
      <c r="Q54" s="4"/>
      <c r="R54" s="4"/>
      <c r="S54" s="4">
        <f t="shared" si="4"/>
        <v>0</v>
      </c>
      <c r="T54" s="4">
        <f t="shared" si="5"/>
        <v>0</v>
      </c>
      <c r="U54" s="4">
        <f t="shared" si="6"/>
        <v>0</v>
      </c>
      <c r="V54" s="4"/>
      <c r="W54" s="161">
        <f t="shared" si="10"/>
        <v>0</v>
      </c>
      <c r="X54" s="4"/>
      <c r="Y54" s="4"/>
      <c r="Z54" s="4"/>
      <c r="AA54" s="4"/>
      <c r="AB54" s="3" t="s">
        <v>845</v>
      </c>
      <c r="AC54" s="3">
        <v>747000</v>
      </c>
    </row>
    <row r="55" spans="1:46" ht="30" customHeight="1">
      <c r="A55" s="3">
        <f t="shared" si="7"/>
        <v>51</v>
      </c>
      <c r="B55" s="3">
        <v>2045</v>
      </c>
      <c r="C55" s="3" t="s">
        <v>366</v>
      </c>
      <c r="D55" s="4">
        <v>205000</v>
      </c>
      <c r="E55" s="4">
        <v>205000</v>
      </c>
      <c r="F55" s="4">
        <f t="shared" si="0"/>
        <v>0</v>
      </c>
      <c r="G55" s="4">
        <v>205000</v>
      </c>
      <c r="H55" s="4">
        <v>0</v>
      </c>
      <c r="I55" s="4">
        <v>184044</v>
      </c>
      <c r="J55" s="4">
        <v>0</v>
      </c>
      <c r="K55" s="4">
        <f t="shared" si="11"/>
        <v>184044</v>
      </c>
      <c r="L55" s="4">
        <f t="shared" si="12"/>
        <v>184044</v>
      </c>
      <c r="M55" s="4">
        <f t="shared" si="9"/>
        <v>20956</v>
      </c>
      <c r="N55" s="4"/>
      <c r="O55" s="4">
        <f t="shared" si="2"/>
        <v>0</v>
      </c>
      <c r="P55" s="4">
        <f t="shared" si="3"/>
        <v>20956</v>
      </c>
      <c r="Q55" s="4"/>
      <c r="R55" s="4"/>
      <c r="S55" s="4">
        <f t="shared" si="4"/>
        <v>0</v>
      </c>
      <c r="T55" s="4">
        <f t="shared" si="5"/>
        <v>0</v>
      </c>
      <c r="U55" s="4">
        <f t="shared" si="6"/>
        <v>0</v>
      </c>
      <c r="V55" s="4"/>
      <c r="W55" s="161">
        <f t="shared" si="10"/>
        <v>0</v>
      </c>
      <c r="X55" s="4"/>
      <c r="Y55" s="4"/>
      <c r="Z55" s="4"/>
      <c r="AA55" s="4"/>
      <c r="AB55" s="3" t="s">
        <v>846</v>
      </c>
      <c r="AC55" s="3">
        <v>747000</v>
      </c>
    </row>
    <row r="56" spans="1:46" ht="30" customHeight="1">
      <c r="A56" s="3">
        <f t="shared" si="7"/>
        <v>52</v>
      </c>
      <c r="B56" s="3">
        <v>2047</v>
      </c>
      <c r="C56" s="3" t="s">
        <v>367</v>
      </c>
      <c r="D56" s="4">
        <v>170000</v>
      </c>
      <c r="E56" s="4">
        <v>170000</v>
      </c>
      <c r="F56" s="4">
        <f t="shared" si="0"/>
        <v>0</v>
      </c>
      <c r="G56" s="4">
        <v>170000</v>
      </c>
      <c r="H56" s="4">
        <v>117000</v>
      </c>
      <c r="I56" s="4">
        <v>53000</v>
      </c>
      <c r="J56" s="4">
        <v>0</v>
      </c>
      <c r="K56" s="4">
        <f t="shared" si="11"/>
        <v>53000</v>
      </c>
      <c r="L56" s="4">
        <f t="shared" si="12"/>
        <v>170000</v>
      </c>
      <c r="M56" s="4">
        <f t="shared" si="9"/>
        <v>0</v>
      </c>
      <c r="N56" s="4"/>
      <c r="O56" s="4">
        <f t="shared" si="2"/>
        <v>0</v>
      </c>
      <c r="P56" s="4">
        <f t="shared" si="3"/>
        <v>0</v>
      </c>
      <c r="Q56" s="4"/>
      <c r="R56" s="4"/>
      <c r="S56" s="4">
        <f t="shared" si="4"/>
        <v>0</v>
      </c>
      <c r="T56" s="4">
        <f t="shared" si="5"/>
        <v>0</v>
      </c>
      <c r="U56" s="4">
        <f t="shared" si="6"/>
        <v>0</v>
      </c>
      <c r="V56" s="4"/>
      <c r="W56" s="161">
        <f t="shared" si="10"/>
        <v>0</v>
      </c>
      <c r="X56" s="4"/>
      <c r="Y56" s="4"/>
      <c r="Z56" s="4"/>
      <c r="AA56" s="4"/>
      <c r="AB56" s="3" t="s">
        <v>886</v>
      </c>
      <c r="AC56" s="3">
        <v>747000</v>
      </c>
    </row>
    <row r="57" spans="1:46" ht="30" customHeight="1">
      <c r="A57" s="3">
        <f t="shared" si="7"/>
        <v>53</v>
      </c>
      <c r="B57" s="3">
        <v>2063</v>
      </c>
      <c r="C57" s="3" t="s">
        <v>346</v>
      </c>
      <c r="D57" s="4">
        <v>2400000</v>
      </c>
      <c r="E57" s="4">
        <v>2400000</v>
      </c>
      <c r="F57" s="4">
        <f t="shared" si="0"/>
        <v>0</v>
      </c>
      <c r="G57" s="4">
        <v>2400000</v>
      </c>
      <c r="H57" s="4">
        <v>443126</v>
      </c>
      <c r="I57" s="4">
        <v>1724245</v>
      </c>
      <c r="J57" s="4">
        <v>13386</v>
      </c>
      <c r="K57" s="4">
        <f>SUM(I57:J57)</f>
        <v>1737631</v>
      </c>
      <c r="L57" s="4">
        <f>K57+H57</f>
        <v>2180757</v>
      </c>
      <c r="M57" s="4">
        <f t="shared" si="9"/>
        <v>219243</v>
      </c>
      <c r="N57" s="4"/>
      <c r="O57" s="4">
        <f t="shared" si="2"/>
        <v>0</v>
      </c>
      <c r="P57" s="4">
        <f t="shared" si="3"/>
        <v>219243</v>
      </c>
      <c r="Q57" s="4"/>
      <c r="R57" s="4"/>
      <c r="S57" s="4">
        <f t="shared" si="4"/>
        <v>0</v>
      </c>
      <c r="T57" s="4">
        <f t="shared" si="5"/>
        <v>0</v>
      </c>
      <c r="U57" s="4">
        <f t="shared" si="6"/>
        <v>0</v>
      </c>
      <c r="V57" s="4"/>
      <c r="W57" s="4">
        <f t="shared" si="10"/>
        <v>0</v>
      </c>
      <c r="X57" s="4"/>
      <c r="Y57" s="4"/>
      <c r="Z57" s="4"/>
      <c r="AA57" s="3"/>
      <c r="AB57" s="3" t="s">
        <v>775</v>
      </c>
      <c r="AC57" s="3">
        <v>810000</v>
      </c>
    </row>
    <row r="58" spans="1:46" ht="30" customHeight="1">
      <c r="A58" s="3">
        <f t="shared" si="7"/>
        <v>54</v>
      </c>
      <c r="B58" s="3">
        <v>2066</v>
      </c>
      <c r="C58" s="3" t="s">
        <v>364</v>
      </c>
      <c r="D58" s="4">
        <v>112500</v>
      </c>
      <c r="E58" s="4">
        <v>112500</v>
      </c>
      <c r="F58" s="4">
        <f t="shared" si="0"/>
        <v>0</v>
      </c>
      <c r="G58" s="4">
        <v>112500</v>
      </c>
      <c r="H58" s="4">
        <v>111299</v>
      </c>
      <c r="I58" s="4">
        <v>0</v>
      </c>
      <c r="J58" s="4">
        <v>0</v>
      </c>
      <c r="K58" s="4">
        <f>I58+J58</f>
        <v>0</v>
      </c>
      <c r="L58" s="4">
        <f>H58+K58</f>
        <v>111299</v>
      </c>
      <c r="M58" s="4">
        <f t="shared" si="9"/>
        <v>1201</v>
      </c>
      <c r="N58" s="4"/>
      <c r="O58" s="4">
        <f t="shared" si="2"/>
        <v>0</v>
      </c>
      <c r="P58" s="4">
        <f t="shared" si="3"/>
        <v>1201</v>
      </c>
      <c r="Q58" s="4"/>
      <c r="R58" s="4"/>
      <c r="S58" s="4">
        <f t="shared" si="4"/>
        <v>0</v>
      </c>
      <c r="T58" s="4">
        <f t="shared" si="5"/>
        <v>0</v>
      </c>
      <c r="U58" s="4">
        <f t="shared" si="6"/>
        <v>0</v>
      </c>
      <c r="V58" s="4"/>
      <c r="W58" s="161">
        <f t="shared" si="10"/>
        <v>0</v>
      </c>
      <c r="X58" s="4"/>
      <c r="Y58" s="4"/>
      <c r="Z58" s="4"/>
      <c r="AA58" s="4"/>
      <c r="AB58" s="64" t="s">
        <v>683</v>
      </c>
      <c r="AC58" s="3">
        <v>732000</v>
      </c>
    </row>
    <row r="59" spans="1:46" ht="30" customHeight="1">
      <c r="A59" s="3">
        <f t="shared" si="7"/>
        <v>55</v>
      </c>
      <c r="B59" s="253">
        <v>2071</v>
      </c>
      <c r="C59" s="3" t="s">
        <v>355</v>
      </c>
      <c r="D59" s="4">
        <v>300000</v>
      </c>
      <c r="E59" s="4">
        <v>300000</v>
      </c>
      <c r="F59" s="4">
        <f t="shared" si="0"/>
        <v>0</v>
      </c>
      <c r="G59" s="4">
        <v>300000</v>
      </c>
      <c r="H59" s="4">
        <v>270457</v>
      </c>
      <c r="I59" s="4">
        <v>0</v>
      </c>
      <c r="J59" s="4">
        <v>0</v>
      </c>
      <c r="K59" s="4">
        <f>SUM(I59:J59)</f>
        <v>0</v>
      </c>
      <c r="L59" s="4">
        <f>K59+H59</f>
        <v>270457</v>
      </c>
      <c r="M59" s="4">
        <f t="shared" si="9"/>
        <v>29543</v>
      </c>
      <c r="N59" s="4"/>
      <c r="O59" s="4">
        <f t="shared" si="2"/>
        <v>0</v>
      </c>
      <c r="P59" s="4">
        <f t="shared" si="3"/>
        <v>29543</v>
      </c>
      <c r="Q59" s="4"/>
      <c r="R59" s="4"/>
      <c r="S59" s="4">
        <f t="shared" si="4"/>
        <v>0</v>
      </c>
      <c r="T59" s="4">
        <f t="shared" si="5"/>
        <v>0</v>
      </c>
      <c r="U59" s="4">
        <f t="shared" si="6"/>
        <v>0</v>
      </c>
      <c r="V59" s="4"/>
      <c r="W59" s="4">
        <f t="shared" si="10"/>
        <v>0</v>
      </c>
      <c r="X59" s="4"/>
      <c r="Y59" s="4"/>
      <c r="Z59" s="4"/>
      <c r="AA59" s="3"/>
      <c r="AB59" s="3" t="s">
        <v>532</v>
      </c>
      <c r="AC59" s="3">
        <v>810000</v>
      </c>
    </row>
    <row r="60" spans="1:46" ht="30" customHeight="1">
      <c r="A60" s="3">
        <f t="shared" si="7"/>
        <v>56</v>
      </c>
      <c r="B60" s="3">
        <v>2074</v>
      </c>
      <c r="C60" s="3" t="s">
        <v>347</v>
      </c>
      <c r="D60" s="4">
        <f>2000000-500000</f>
        <v>1500000</v>
      </c>
      <c r="E60" s="4">
        <v>2000000</v>
      </c>
      <c r="F60" s="4">
        <f t="shared" si="0"/>
        <v>-500000</v>
      </c>
      <c r="G60" s="4">
        <v>1500000</v>
      </c>
      <c r="H60" s="4">
        <v>918775</v>
      </c>
      <c r="I60" s="4">
        <v>0</v>
      </c>
      <c r="J60" s="4">
        <v>201211</v>
      </c>
      <c r="K60" s="4">
        <f>SUM(I60:J60)</f>
        <v>201211</v>
      </c>
      <c r="L60" s="4">
        <f>K60+H60</f>
        <v>1119986</v>
      </c>
      <c r="M60" s="4">
        <f t="shared" si="9"/>
        <v>380014</v>
      </c>
      <c r="N60" s="4"/>
      <c r="O60" s="4">
        <f t="shared" si="2"/>
        <v>0</v>
      </c>
      <c r="P60" s="4">
        <f t="shared" si="3"/>
        <v>380014</v>
      </c>
      <c r="Q60" s="4"/>
      <c r="R60" s="4"/>
      <c r="S60" s="4">
        <f t="shared" si="4"/>
        <v>0</v>
      </c>
      <c r="T60" s="4">
        <f t="shared" si="5"/>
        <v>0</v>
      </c>
      <c r="U60" s="4">
        <f t="shared" si="6"/>
        <v>0</v>
      </c>
      <c r="V60" s="4"/>
      <c r="W60" s="4">
        <f t="shared" si="10"/>
        <v>0</v>
      </c>
      <c r="X60" s="4"/>
      <c r="Y60" s="4"/>
      <c r="Z60" s="4"/>
      <c r="AA60" s="3"/>
      <c r="AB60" s="3" t="s">
        <v>604</v>
      </c>
      <c r="AC60" s="3">
        <v>930000</v>
      </c>
    </row>
    <row r="61" spans="1:46" ht="30" customHeight="1">
      <c r="A61" s="3">
        <f t="shared" si="7"/>
        <v>57</v>
      </c>
      <c r="B61" s="30">
        <v>2088</v>
      </c>
      <c r="C61" s="3" t="s">
        <v>365</v>
      </c>
      <c r="D61" s="4">
        <v>1600000</v>
      </c>
      <c r="E61" s="4">
        <v>1600000</v>
      </c>
      <c r="F61" s="4">
        <f t="shared" si="0"/>
        <v>0</v>
      </c>
      <c r="G61" s="4">
        <v>1600000</v>
      </c>
      <c r="H61" s="4">
        <v>1328832</v>
      </c>
      <c r="I61" s="4">
        <v>0</v>
      </c>
      <c r="J61" s="4">
        <v>0</v>
      </c>
      <c r="K61" s="4">
        <f>I61+J61</f>
        <v>0</v>
      </c>
      <c r="L61" s="4">
        <f>H61+K61</f>
        <v>1328832</v>
      </c>
      <c r="M61" s="4">
        <f t="shared" si="9"/>
        <v>271168</v>
      </c>
      <c r="N61" s="4"/>
      <c r="O61" s="4">
        <f t="shared" si="2"/>
        <v>0</v>
      </c>
      <c r="P61" s="4">
        <f t="shared" si="3"/>
        <v>271168</v>
      </c>
      <c r="Q61" s="4"/>
      <c r="R61" s="4"/>
      <c r="S61" s="4">
        <f t="shared" si="4"/>
        <v>0</v>
      </c>
      <c r="T61" s="4">
        <f t="shared" si="5"/>
        <v>0</v>
      </c>
      <c r="U61" s="4">
        <f t="shared" si="6"/>
        <v>0</v>
      </c>
      <c r="V61" s="4"/>
      <c r="W61" s="161">
        <f t="shared" si="10"/>
        <v>0</v>
      </c>
      <c r="X61" s="4"/>
      <c r="Y61" s="4"/>
      <c r="Z61" s="4"/>
      <c r="AA61" s="4"/>
      <c r="AB61" s="3" t="s">
        <v>446</v>
      </c>
      <c r="AC61" s="3">
        <v>746000</v>
      </c>
    </row>
    <row r="62" spans="1:46" ht="30" customHeight="1">
      <c r="A62" s="3">
        <f t="shared" si="7"/>
        <v>58</v>
      </c>
      <c r="B62" s="272">
        <v>2094</v>
      </c>
      <c r="C62" s="160" t="s">
        <v>350</v>
      </c>
      <c r="D62" s="161">
        <f>1300000-300000</f>
        <v>1000000</v>
      </c>
      <c r="E62" s="161">
        <v>1000000</v>
      </c>
      <c r="F62" s="161">
        <f t="shared" si="0"/>
        <v>0</v>
      </c>
      <c r="G62" s="161">
        <v>300000</v>
      </c>
      <c r="H62" s="161">
        <v>224675</v>
      </c>
      <c r="I62" s="161">
        <v>0</v>
      </c>
      <c r="J62" s="161">
        <v>15210</v>
      </c>
      <c r="K62" s="161">
        <f>SUM(I62:J62)</f>
        <v>15210</v>
      </c>
      <c r="L62" s="161">
        <f>H62+K62</f>
        <v>239885</v>
      </c>
      <c r="M62" s="4">
        <f t="shared" si="9"/>
        <v>60115</v>
      </c>
      <c r="N62" s="161">
        <f>1000000-1000000</f>
        <v>0</v>
      </c>
      <c r="O62" s="4">
        <f t="shared" si="2"/>
        <v>700000</v>
      </c>
      <c r="P62" s="161">
        <f t="shared" si="3"/>
        <v>60115</v>
      </c>
      <c r="Q62" s="161"/>
      <c r="R62" s="161"/>
      <c r="S62" s="161">
        <f t="shared" si="4"/>
        <v>0</v>
      </c>
      <c r="T62" s="161">
        <f t="shared" si="5"/>
        <v>0</v>
      </c>
      <c r="U62" s="4">
        <f t="shared" si="6"/>
        <v>0</v>
      </c>
      <c r="V62" s="161"/>
      <c r="W62" s="161">
        <f t="shared" si="10"/>
        <v>0</v>
      </c>
      <c r="X62" s="161"/>
      <c r="Y62" s="161"/>
      <c r="Z62" s="161"/>
      <c r="AA62" s="160"/>
      <c r="AB62" s="268" t="s">
        <v>2392</v>
      </c>
      <c r="AC62" s="160">
        <v>720000</v>
      </c>
    </row>
    <row r="63" spans="1:46" s="498" customFormat="1" ht="30" customHeight="1">
      <c r="A63" s="3">
        <f t="shared" si="7"/>
        <v>59</v>
      </c>
      <c r="B63" s="3">
        <v>2095</v>
      </c>
      <c r="C63" s="3" t="s">
        <v>348</v>
      </c>
      <c r="D63" s="4">
        <f>260000-100000</f>
        <v>160000</v>
      </c>
      <c r="E63" s="4">
        <v>160000</v>
      </c>
      <c r="F63" s="4">
        <f t="shared" si="0"/>
        <v>0</v>
      </c>
      <c r="G63" s="4">
        <v>160000</v>
      </c>
      <c r="H63" s="4">
        <v>40365</v>
      </c>
      <c r="I63" s="4">
        <v>0</v>
      </c>
      <c r="J63" s="4">
        <v>0</v>
      </c>
      <c r="K63" s="4">
        <f>SUM(I63:J63)</f>
        <v>0</v>
      </c>
      <c r="L63" s="4">
        <f>K63+H63</f>
        <v>40365</v>
      </c>
      <c r="M63" s="4">
        <f t="shared" si="9"/>
        <v>119635</v>
      </c>
      <c r="N63" s="4">
        <f>50000-50000</f>
        <v>0</v>
      </c>
      <c r="O63" s="4">
        <f t="shared" si="2"/>
        <v>0</v>
      </c>
      <c r="P63" s="4">
        <f t="shared" si="3"/>
        <v>119635</v>
      </c>
      <c r="Q63" s="4"/>
      <c r="R63" s="4"/>
      <c r="S63" s="4">
        <f t="shared" si="4"/>
        <v>0</v>
      </c>
      <c r="T63" s="4">
        <f t="shared" si="5"/>
        <v>0</v>
      </c>
      <c r="U63" s="4">
        <f t="shared" si="6"/>
        <v>0</v>
      </c>
      <c r="V63" s="4"/>
      <c r="W63" s="4">
        <f t="shared" si="10"/>
        <v>0</v>
      </c>
      <c r="X63" s="4"/>
      <c r="Y63" s="4"/>
      <c r="Z63" s="4"/>
      <c r="AA63" s="3"/>
      <c r="AB63" s="3" t="s">
        <v>776</v>
      </c>
      <c r="AC63" s="3">
        <v>610000</v>
      </c>
      <c r="AD63" s="462"/>
      <c r="AE63" s="462"/>
      <c r="AF63" s="462"/>
      <c r="AG63" s="462"/>
      <c r="AH63" s="462"/>
      <c r="AI63" s="462"/>
      <c r="AJ63" s="462"/>
      <c r="AK63" s="462"/>
      <c r="AL63" s="462"/>
      <c r="AM63" s="462"/>
      <c r="AN63" s="462"/>
      <c r="AO63" s="462"/>
      <c r="AP63" s="462"/>
      <c r="AQ63" s="462"/>
      <c r="AR63" s="462"/>
      <c r="AS63" s="462"/>
      <c r="AT63" s="462"/>
    </row>
    <row r="64" spans="1:46" ht="30" customHeight="1">
      <c r="A64" s="3">
        <f t="shared" si="7"/>
        <v>60</v>
      </c>
      <c r="B64" s="3">
        <v>2096</v>
      </c>
      <c r="C64" s="3" t="s">
        <v>349</v>
      </c>
      <c r="D64" s="4">
        <v>1215000</v>
      </c>
      <c r="E64" s="4">
        <v>1215000</v>
      </c>
      <c r="F64" s="4">
        <f t="shared" si="0"/>
        <v>0</v>
      </c>
      <c r="G64" s="4">
        <v>1215000</v>
      </c>
      <c r="H64" s="4">
        <v>559349</v>
      </c>
      <c r="I64" s="4">
        <v>0</v>
      </c>
      <c r="J64" s="4">
        <v>654072</v>
      </c>
      <c r="K64" s="4">
        <f>SUM(I64:J64)</f>
        <v>654072</v>
      </c>
      <c r="L64" s="4">
        <f>K64+H64</f>
        <v>1213421</v>
      </c>
      <c r="M64" s="4">
        <f t="shared" si="9"/>
        <v>1579</v>
      </c>
      <c r="N64" s="4"/>
      <c r="O64" s="4">
        <f t="shared" si="2"/>
        <v>0</v>
      </c>
      <c r="P64" s="4">
        <f t="shared" si="3"/>
        <v>1579</v>
      </c>
      <c r="Q64" s="4"/>
      <c r="R64" s="4"/>
      <c r="S64" s="4">
        <f t="shared" si="4"/>
        <v>0</v>
      </c>
      <c r="T64" s="4">
        <f t="shared" si="5"/>
        <v>0</v>
      </c>
      <c r="U64" s="4">
        <f t="shared" si="6"/>
        <v>0</v>
      </c>
      <c r="V64" s="4"/>
      <c r="W64" s="4">
        <f t="shared" si="10"/>
        <v>-167615</v>
      </c>
      <c r="X64" s="4"/>
      <c r="Y64" s="4"/>
      <c r="Z64" s="4"/>
      <c r="AA64" s="4">
        <v>167615</v>
      </c>
      <c r="AB64" s="3" t="s">
        <v>777</v>
      </c>
      <c r="AC64" s="3">
        <v>930000</v>
      </c>
    </row>
    <row r="65" spans="1:46" ht="30" customHeight="1">
      <c r="A65" s="3">
        <f t="shared" si="7"/>
        <v>61</v>
      </c>
      <c r="B65" s="30">
        <v>2125</v>
      </c>
      <c r="C65" s="3" t="s">
        <v>368</v>
      </c>
      <c r="D65" s="4">
        <v>146923</v>
      </c>
      <c r="E65" s="4">
        <v>146923</v>
      </c>
      <c r="F65" s="4">
        <f t="shared" si="0"/>
        <v>0</v>
      </c>
      <c r="G65" s="4">
        <v>146923</v>
      </c>
      <c r="H65" s="4">
        <v>121136</v>
      </c>
      <c r="I65" s="4">
        <v>0</v>
      </c>
      <c r="J65" s="4">
        <v>25787</v>
      </c>
      <c r="K65" s="4">
        <f>I65+J65</f>
        <v>25787</v>
      </c>
      <c r="L65" s="4">
        <f>H65+K65</f>
        <v>146923</v>
      </c>
      <c r="M65" s="4">
        <f t="shared" si="9"/>
        <v>0</v>
      </c>
      <c r="N65" s="4"/>
      <c r="O65" s="4">
        <f t="shared" si="2"/>
        <v>0</v>
      </c>
      <c r="P65" s="4">
        <f t="shared" si="3"/>
        <v>0</v>
      </c>
      <c r="Q65" s="4"/>
      <c r="R65" s="4"/>
      <c r="S65" s="4">
        <f t="shared" si="4"/>
        <v>0</v>
      </c>
      <c r="T65" s="4">
        <f t="shared" si="5"/>
        <v>0</v>
      </c>
      <c r="U65" s="4">
        <f t="shared" si="6"/>
        <v>0</v>
      </c>
      <c r="V65" s="4"/>
      <c r="W65" s="161">
        <f t="shared" si="10"/>
        <v>0</v>
      </c>
      <c r="X65" s="4"/>
      <c r="Y65" s="4"/>
      <c r="Z65" s="4"/>
      <c r="AA65" s="4"/>
      <c r="AB65" s="3" t="s">
        <v>847</v>
      </c>
      <c r="AC65" s="3">
        <v>747000</v>
      </c>
    </row>
    <row r="66" spans="1:46" ht="30" customHeight="1">
      <c r="A66" s="3">
        <f t="shared" si="7"/>
        <v>62</v>
      </c>
      <c r="B66" s="3">
        <v>2131</v>
      </c>
      <c r="C66" s="3" t="s">
        <v>594</v>
      </c>
      <c r="D66" s="4">
        <v>7500000</v>
      </c>
      <c r="E66" s="4">
        <v>7500000</v>
      </c>
      <c r="F66" s="4">
        <f t="shared" si="0"/>
        <v>0</v>
      </c>
      <c r="G66" s="4">
        <v>4020000</v>
      </c>
      <c r="H66" s="4">
        <v>2699413</v>
      </c>
      <c r="I66" s="4">
        <v>696330</v>
      </c>
      <c r="J66" s="4">
        <v>483349</v>
      </c>
      <c r="K66" s="4">
        <f>SUM(I66:J66)</f>
        <v>1179679</v>
      </c>
      <c r="L66" s="4">
        <f>K66+H66</f>
        <v>3879092</v>
      </c>
      <c r="M66" s="4">
        <f t="shared" si="9"/>
        <v>140908</v>
      </c>
      <c r="N66" s="4">
        <f>2500000+700000+280000-3480000</f>
        <v>0</v>
      </c>
      <c r="O66" s="4">
        <f t="shared" si="2"/>
        <v>3480000</v>
      </c>
      <c r="P66" s="4">
        <f t="shared" si="3"/>
        <v>140908</v>
      </c>
      <c r="Q66" s="4"/>
      <c r="R66" s="4"/>
      <c r="S66" s="4">
        <f t="shared" si="4"/>
        <v>0</v>
      </c>
      <c r="T66" s="4">
        <f t="shared" si="5"/>
        <v>0</v>
      </c>
      <c r="U66" s="4">
        <f t="shared" si="6"/>
        <v>0</v>
      </c>
      <c r="V66" s="4"/>
      <c r="W66" s="4">
        <f t="shared" si="10"/>
        <v>0</v>
      </c>
      <c r="X66" s="4"/>
      <c r="Y66" s="4"/>
      <c r="Z66" s="4"/>
      <c r="AA66" s="3"/>
      <c r="AB66" s="3" t="s">
        <v>843</v>
      </c>
      <c r="AC66" s="3">
        <v>870000</v>
      </c>
    </row>
    <row r="67" spans="1:46" ht="30" customHeight="1">
      <c r="A67" s="3">
        <f t="shared" si="7"/>
        <v>63</v>
      </c>
      <c r="B67" s="3">
        <v>2133</v>
      </c>
      <c r="C67" s="3" t="s">
        <v>500</v>
      </c>
      <c r="D67" s="4">
        <f>8000000-850000-2000000</f>
        <v>5150000</v>
      </c>
      <c r="E67" s="4">
        <v>3150000</v>
      </c>
      <c r="F67" s="4">
        <f t="shared" si="0"/>
        <v>2000000</v>
      </c>
      <c r="G67" s="4">
        <v>3150000</v>
      </c>
      <c r="H67" s="4">
        <v>1399843</v>
      </c>
      <c r="I67" s="4">
        <v>0</v>
      </c>
      <c r="J67" s="4">
        <v>827984</v>
      </c>
      <c r="K67" s="4">
        <f>SUM(I67:J67)</f>
        <v>827984</v>
      </c>
      <c r="L67" s="4">
        <f>K67+H67</f>
        <v>2227827</v>
      </c>
      <c r="M67" s="4">
        <f t="shared" si="9"/>
        <v>922173</v>
      </c>
      <c r="N67" s="4">
        <f>4850000-850000-2000000</f>
        <v>2000000</v>
      </c>
      <c r="O67" s="4">
        <f t="shared" si="2"/>
        <v>0</v>
      </c>
      <c r="P67" s="4">
        <f t="shared" si="3"/>
        <v>922173</v>
      </c>
      <c r="Q67" s="4"/>
      <c r="R67" s="4"/>
      <c r="S67" s="4">
        <f t="shared" si="4"/>
        <v>0</v>
      </c>
      <c r="T67" s="4">
        <f t="shared" si="5"/>
        <v>0</v>
      </c>
      <c r="U67" s="4">
        <f t="shared" si="6"/>
        <v>2000000</v>
      </c>
      <c r="V67" s="4"/>
      <c r="W67" s="4">
        <f t="shared" si="10"/>
        <v>2000000</v>
      </c>
      <c r="X67" s="4"/>
      <c r="Y67" s="4"/>
      <c r="Z67" s="4"/>
      <c r="AA67" s="3"/>
      <c r="AB67" s="3" t="s">
        <v>2355</v>
      </c>
      <c r="AC67" s="3">
        <v>930000</v>
      </c>
    </row>
    <row r="68" spans="1:46" ht="30" customHeight="1">
      <c r="A68" s="3">
        <f t="shared" si="7"/>
        <v>64</v>
      </c>
      <c r="B68" s="30">
        <v>2136</v>
      </c>
      <c r="C68" s="3" t="s">
        <v>508</v>
      </c>
      <c r="D68" s="4">
        <v>55226</v>
      </c>
      <c r="E68" s="4">
        <v>55226</v>
      </c>
      <c r="F68" s="4">
        <f t="shared" si="0"/>
        <v>0</v>
      </c>
      <c r="G68" s="4">
        <v>55226</v>
      </c>
      <c r="H68" s="4">
        <v>55226</v>
      </c>
      <c r="I68" s="4">
        <v>0</v>
      </c>
      <c r="J68" s="4">
        <v>0</v>
      </c>
      <c r="K68" s="4">
        <f>I68+J68</f>
        <v>0</v>
      </c>
      <c r="L68" s="4">
        <f>H68+K68</f>
        <v>55226</v>
      </c>
      <c r="M68" s="4">
        <f t="shared" si="9"/>
        <v>0</v>
      </c>
      <c r="N68" s="4"/>
      <c r="O68" s="4">
        <f t="shared" si="2"/>
        <v>0</v>
      </c>
      <c r="P68" s="4">
        <f t="shared" si="3"/>
        <v>0</v>
      </c>
      <c r="Q68" s="4"/>
      <c r="R68" s="4"/>
      <c r="S68" s="4">
        <f t="shared" si="4"/>
        <v>0</v>
      </c>
      <c r="T68" s="4">
        <f t="shared" si="5"/>
        <v>0</v>
      </c>
      <c r="U68" s="4">
        <f t="shared" si="6"/>
        <v>0</v>
      </c>
      <c r="V68" s="4"/>
      <c r="W68" s="161">
        <f t="shared" si="10"/>
        <v>0</v>
      </c>
      <c r="X68" s="4"/>
      <c r="Y68" s="4"/>
      <c r="Z68" s="4"/>
      <c r="AA68" s="4"/>
      <c r="AB68" s="3" t="s">
        <v>848</v>
      </c>
      <c r="AC68" s="3">
        <v>747000</v>
      </c>
    </row>
    <row r="69" spans="1:46" ht="30" customHeight="1">
      <c r="A69" s="3">
        <f t="shared" si="7"/>
        <v>65</v>
      </c>
      <c r="B69" s="30">
        <v>2137</v>
      </c>
      <c r="C69" s="3" t="s">
        <v>509</v>
      </c>
      <c r="D69" s="4">
        <v>50000</v>
      </c>
      <c r="E69" s="4">
        <v>50000</v>
      </c>
      <c r="F69" s="4">
        <f t="shared" ref="F69:F126" si="13">D69-E69</f>
        <v>0</v>
      </c>
      <c r="G69" s="4">
        <v>50000</v>
      </c>
      <c r="H69" s="4">
        <v>5664</v>
      </c>
      <c r="I69" s="4">
        <v>0</v>
      </c>
      <c r="J69" s="4">
        <v>34515</v>
      </c>
      <c r="K69" s="4">
        <f>I69+J69</f>
        <v>34515</v>
      </c>
      <c r="L69" s="4">
        <f>H69+K69</f>
        <v>40179</v>
      </c>
      <c r="M69" s="4">
        <f t="shared" si="9"/>
        <v>9821</v>
      </c>
      <c r="N69" s="4"/>
      <c r="O69" s="4">
        <f t="shared" ref="O69:O126" si="14">D69-L69-M69-N69</f>
        <v>0</v>
      </c>
      <c r="P69" s="4">
        <f t="shared" ref="P69:P119" si="15">G69-L69</f>
        <v>9821</v>
      </c>
      <c r="Q69" s="4"/>
      <c r="R69" s="4"/>
      <c r="S69" s="4">
        <f t="shared" ref="S69:S98" si="16">SUM(Q69:R69)</f>
        <v>0</v>
      </c>
      <c r="T69" s="4">
        <f t="shared" ref="T69:T98" si="17">P69-M69+S69</f>
        <v>0</v>
      </c>
      <c r="U69" s="4">
        <f t="shared" ref="U69:U126" si="18">N69-T69</f>
        <v>0</v>
      </c>
      <c r="V69" s="4"/>
      <c r="W69" s="161">
        <f t="shared" si="10"/>
        <v>0</v>
      </c>
      <c r="X69" s="4"/>
      <c r="Y69" s="4"/>
      <c r="Z69" s="4"/>
      <c r="AA69" s="4"/>
      <c r="AB69" s="3" t="s">
        <v>849</v>
      </c>
      <c r="AC69" s="3">
        <v>747000</v>
      </c>
    </row>
    <row r="70" spans="1:46" ht="30" customHeight="1">
      <c r="A70" s="3">
        <f t="shared" ref="A70:A126" si="19">A69+1</f>
        <v>66</v>
      </c>
      <c r="B70" s="30">
        <v>2138</v>
      </c>
      <c r="C70" s="3" t="s">
        <v>510</v>
      </c>
      <c r="D70" s="4">
        <v>80000</v>
      </c>
      <c r="E70" s="4">
        <v>80000</v>
      </c>
      <c r="F70" s="4">
        <f t="shared" si="13"/>
        <v>0</v>
      </c>
      <c r="G70" s="4">
        <v>80000</v>
      </c>
      <c r="H70" s="4">
        <v>0</v>
      </c>
      <c r="I70" s="4">
        <v>0</v>
      </c>
      <c r="J70" s="4">
        <v>79750</v>
      </c>
      <c r="K70" s="4">
        <f>I70+J70</f>
        <v>79750</v>
      </c>
      <c r="L70" s="4">
        <f>H70+K70</f>
        <v>79750</v>
      </c>
      <c r="M70" s="4">
        <f t="shared" si="9"/>
        <v>250</v>
      </c>
      <c r="N70" s="4"/>
      <c r="O70" s="4">
        <f t="shared" si="14"/>
        <v>0</v>
      </c>
      <c r="P70" s="4">
        <f t="shared" si="15"/>
        <v>250</v>
      </c>
      <c r="Q70" s="4"/>
      <c r="R70" s="4"/>
      <c r="S70" s="4">
        <f t="shared" si="16"/>
        <v>0</v>
      </c>
      <c r="T70" s="4">
        <f t="shared" si="17"/>
        <v>0</v>
      </c>
      <c r="U70" s="4">
        <f t="shared" si="18"/>
        <v>0</v>
      </c>
      <c r="V70" s="4"/>
      <c r="W70" s="161">
        <f t="shared" si="10"/>
        <v>0</v>
      </c>
      <c r="X70" s="4"/>
      <c r="Y70" s="4"/>
      <c r="Z70" s="4"/>
      <c r="AA70" s="4"/>
      <c r="AB70" s="3" t="s">
        <v>849</v>
      </c>
      <c r="AC70" s="3">
        <v>747000</v>
      </c>
    </row>
    <row r="71" spans="1:46" ht="30" customHeight="1">
      <c r="A71" s="3">
        <f t="shared" si="19"/>
        <v>67</v>
      </c>
      <c r="B71" s="3">
        <v>2140</v>
      </c>
      <c r="C71" s="3" t="s">
        <v>632</v>
      </c>
      <c r="D71" s="4">
        <v>360000</v>
      </c>
      <c r="E71" s="4">
        <v>360000</v>
      </c>
      <c r="F71" s="4">
        <f t="shared" si="13"/>
        <v>0</v>
      </c>
      <c r="G71" s="4">
        <v>360000</v>
      </c>
      <c r="H71" s="4">
        <v>283122</v>
      </c>
      <c r="I71" s="4">
        <v>0</v>
      </c>
      <c r="J71" s="4">
        <v>0</v>
      </c>
      <c r="K71" s="4">
        <f>SUM(I71:J71)</f>
        <v>0</v>
      </c>
      <c r="L71" s="4">
        <f>K71+H71</f>
        <v>283122</v>
      </c>
      <c r="M71" s="4">
        <f t="shared" si="9"/>
        <v>76878</v>
      </c>
      <c r="N71" s="4"/>
      <c r="O71" s="4">
        <f t="shared" si="14"/>
        <v>0</v>
      </c>
      <c r="P71" s="4">
        <f t="shared" si="15"/>
        <v>76878</v>
      </c>
      <c r="Q71" s="4"/>
      <c r="R71" s="4"/>
      <c r="S71" s="4">
        <f t="shared" si="16"/>
        <v>0</v>
      </c>
      <c r="T71" s="4">
        <f t="shared" si="17"/>
        <v>0</v>
      </c>
      <c r="U71" s="4">
        <f t="shared" si="18"/>
        <v>0</v>
      </c>
      <c r="V71" s="4"/>
      <c r="W71" s="4">
        <f t="shared" si="10"/>
        <v>0</v>
      </c>
      <c r="X71" s="4"/>
      <c r="Y71" s="4"/>
      <c r="Z71" s="4"/>
      <c r="AA71" s="3"/>
      <c r="AB71" s="3" t="s">
        <v>663</v>
      </c>
      <c r="AC71" s="3">
        <v>810000</v>
      </c>
    </row>
    <row r="72" spans="1:46" ht="30" customHeight="1">
      <c r="A72" s="3">
        <f t="shared" si="19"/>
        <v>68</v>
      </c>
      <c r="B72" s="3">
        <v>2154</v>
      </c>
      <c r="C72" s="3" t="s">
        <v>633</v>
      </c>
      <c r="D72" s="4">
        <v>10500000</v>
      </c>
      <c r="E72" s="4">
        <v>10500000</v>
      </c>
      <c r="F72" s="4">
        <f t="shared" si="13"/>
        <v>0</v>
      </c>
      <c r="G72" s="4">
        <v>750000</v>
      </c>
      <c r="H72" s="4">
        <v>65899</v>
      </c>
      <c r="I72" s="4">
        <v>0</v>
      </c>
      <c r="J72" s="4">
        <v>129959</v>
      </c>
      <c r="K72" s="4">
        <f>SUM(I72:J72)</f>
        <v>129959</v>
      </c>
      <c r="L72" s="4">
        <f>K72+H72</f>
        <v>195858</v>
      </c>
      <c r="M72" s="4">
        <f t="shared" si="9"/>
        <v>2304142</v>
      </c>
      <c r="N72" s="4">
        <f>500000-500000</f>
        <v>0</v>
      </c>
      <c r="O72" s="4">
        <f t="shared" si="14"/>
        <v>8000000</v>
      </c>
      <c r="P72" s="4">
        <f t="shared" si="15"/>
        <v>554142</v>
      </c>
      <c r="Q72" s="4">
        <v>1750000</v>
      </c>
      <c r="R72" s="4"/>
      <c r="S72" s="4">
        <f t="shared" si="16"/>
        <v>1750000</v>
      </c>
      <c r="T72" s="4">
        <f t="shared" si="17"/>
        <v>0</v>
      </c>
      <c r="U72" s="4">
        <f t="shared" si="18"/>
        <v>0</v>
      </c>
      <c r="V72" s="4"/>
      <c r="W72" s="4">
        <f t="shared" si="10"/>
        <v>0</v>
      </c>
      <c r="X72" s="4"/>
      <c r="Y72" s="4"/>
      <c r="Z72" s="4"/>
      <c r="AA72" s="4"/>
      <c r="AB72" s="3" t="s">
        <v>539</v>
      </c>
      <c r="AC72" s="3">
        <v>870000</v>
      </c>
    </row>
    <row r="73" spans="1:46" ht="30" customHeight="1">
      <c r="A73" s="3">
        <f t="shared" si="19"/>
        <v>69</v>
      </c>
      <c r="B73" s="3">
        <v>2155</v>
      </c>
      <c r="C73" s="3" t="s">
        <v>540</v>
      </c>
      <c r="D73" s="4">
        <v>700000</v>
      </c>
      <c r="E73" s="4">
        <v>700000</v>
      </c>
      <c r="F73" s="4">
        <f t="shared" si="13"/>
        <v>0</v>
      </c>
      <c r="G73" s="4">
        <v>0</v>
      </c>
      <c r="H73" s="4">
        <v>0</v>
      </c>
      <c r="I73" s="4">
        <v>0</v>
      </c>
      <c r="J73" s="4">
        <v>0</v>
      </c>
      <c r="K73" s="4">
        <f>SUM(I73:J73)</f>
        <v>0</v>
      </c>
      <c r="L73" s="4">
        <f>K73+H73</f>
        <v>0</v>
      </c>
      <c r="M73" s="4">
        <f t="shared" si="9"/>
        <v>0</v>
      </c>
      <c r="N73" s="4">
        <f>700000-700000</f>
        <v>0</v>
      </c>
      <c r="O73" s="4">
        <f t="shared" si="14"/>
        <v>700000</v>
      </c>
      <c r="P73" s="4">
        <f t="shared" si="15"/>
        <v>0</v>
      </c>
      <c r="Q73" s="4"/>
      <c r="R73" s="4"/>
      <c r="S73" s="4">
        <f t="shared" si="16"/>
        <v>0</v>
      </c>
      <c r="T73" s="4">
        <f t="shared" si="17"/>
        <v>0</v>
      </c>
      <c r="U73" s="4">
        <f t="shared" si="18"/>
        <v>0</v>
      </c>
      <c r="V73" s="4"/>
      <c r="W73" s="4">
        <f t="shared" si="10"/>
        <v>0</v>
      </c>
      <c r="X73" s="4"/>
      <c r="Y73" s="4"/>
      <c r="Z73" s="4"/>
      <c r="AA73" s="3"/>
      <c r="AB73" s="3" t="s">
        <v>541</v>
      </c>
      <c r="AC73" s="3">
        <v>746000</v>
      </c>
    </row>
    <row r="74" spans="1:46" s="418" customFormat="1" ht="30" customHeight="1">
      <c r="A74" s="3">
        <f t="shared" si="19"/>
        <v>70</v>
      </c>
      <c r="B74" s="3">
        <v>2156</v>
      </c>
      <c r="C74" s="3" t="s">
        <v>542</v>
      </c>
      <c r="D74" s="4">
        <v>1600000</v>
      </c>
      <c r="E74" s="4">
        <v>1600000</v>
      </c>
      <c r="F74" s="4">
        <f t="shared" si="13"/>
        <v>0</v>
      </c>
      <c r="G74" s="4">
        <v>400000</v>
      </c>
      <c r="H74" s="4">
        <v>23556</v>
      </c>
      <c r="I74" s="4">
        <v>0</v>
      </c>
      <c r="J74" s="4">
        <v>5976</v>
      </c>
      <c r="K74" s="4">
        <f>SUM(I74:J74)</f>
        <v>5976</v>
      </c>
      <c r="L74" s="4">
        <f>K74+H74</f>
        <v>29532</v>
      </c>
      <c r="M74" s="4">
        <f t="shared" si="9"/>
        <v>370468</v>
      </c>
      <c r="N74" s="4">
        <f>750000-250000</f>
        <v>500000</v>
      </c>
      <c r="O74" s="4">
        <f t="shared" si="14"/>
        <v>700000</v>
      </c>
      <c r="P74" s="4">
        <f t="shared" si="15"/>
        <v>370468</v>
      </c>
      <c r="Q74" s="4"/>
      <c r="R74" s="4"/>
      <c r="S74" s="4">
        <f t="shared" si="16"/>
        <v>0</v>
      </c>
      <c r="T74" s="4">
        <f t="shared" si="17"/>
        <v>0</v>
      </c>
      <c r="U74" s="4">
        <f t="shared" si="18"/>
        <v>500000</v>
      </c>
      <c r="V74" s="4"/>
      <c r="W74" s="4">
        <f t="shared" si="10"/>
        <v>500000</v>
      </c>
      <c r="X74" s="4"/>
      <c r="Y74" s="4"/>
      <c r="Z74" s="4"/>
      <c r="AA74" s="3"/>
      <c r="AB74" s="3" t="s">
        <v>1346</v>
      </c>
      <c r="AC74" s="3">
        <v>720000</v>
      </c>
      <c r="AD74" s="462"/>
      <c r="AE74" s="462"/>
      <c r="AF74" s="462"/>
      <c r="AG74" s="462"/>
      <c r="AH74" s="462"/>
      <c r="AI74" s="462"/>
      <c r="AJ74" s="462"/>
      <c r="AK74" s="462"/>
      <c r="AL74" s="462"/>
      <c r="AM74" s="462"/>
      <c r="AN74" s="462"/>
      <c r="AO74" s="462"/>
      <c r="AP74" s="462"/>
      <c r="AQ74" s="462"/>
      <c r="AR74" s="462"/>
      <c r="AS74" s="462"/>
      <c r="AT74" s="462"/>
    </row>
    <row r="75" spans="1:46" ht="30" customHeight="1">
      <c r="A75" s="3">
        <f t="shared" si="19"/>
        <v>71</v>
      </c>
      <c r="B75" s="3">
        <v>2157</v>
      </c>
      <c r="C75" s="3" t="s">
        <v>634</v>
      </c>
      <c r="D75" s="4">
        <v>5200000</v>
      </c>
      <c r="E75" s="4">
        <v>5200000</v>
      </c>
      <c r="F75" s="4">
        <f t="shared" si="13"/>
        <v>0</v>
      </c>
      <c r="G75" s="4">
        <v>150000</v>
      </c>
      <c r="H75" s="4">
        <v>0</v>
      </c>
      <c r="I75" s="4">
        <v>0</v>
      </c>
      <c r="J75" s="4">
        <v>0</v>
      </c>
      <c r="K75" s="4">
        <f>SUM(I75:J75)</f>
        <v>0</v>
      </c>
      <c r="L75" s="4">
        <f>K75+H75</f>
        <v>0</v>
      </c>
      <c r="M75" s="4">
        <f t="shared" si="9"/>
        <v>150000</v>
      </c>
      <c r="N75" s="4">
        <f>1050000-550000</f>
        <v>500000</v>
      </c>
      <c r="O75" s="4">
        <f t="shared" si="14"/>
        <v>4550000</v>
      </c>
      <c r="P75" s="4">
        <f t="shared" si="15"/>
        <v>150000</v>
      </c>
      <c r="Q75" s="4"/>
      <c r="R75" s="4"/>
      <c r="S75" s="4">
        <f t="shared" si="16"/>
        <v>0</v>
      </c>
      <c r="T75" s="4">
        <f t="shared" si="17"/>
        <v>0</v>
      </c>
      <c r="U75" s="4">
        <f t="shared" si="18"/>
        <v>500000</v>
      </c>
      <c r="V75" s="4"/>
      <c r="W75" s="4">
        <f t="shared" si="10"/>
        <v>500000</v>
      </c>
      <c r="X75" s="4"/>
      <c r="Y75" s="4"/>
      <c r="Z75" s="4"/>
      <c r="AA75" s="3"/>
      <c r="AB75" s="3" t="s">
        <v>593</v>
      </c>
      <c r="AC75" s="3">
        <v>810000</v>
      </c>
    </row>
    <row r="76" spans="1:46" ht="30" customHeight="1">
      <c r="A76" s="3">
        <f t="shared" si="19"/>
        <v>72</v>
      </c>
      <c r="B76" s="30">
        <v>2164</v>
      </c>
      <c r="C76" s="3" t="s">
        <v>555</v>
      </c>
      <c r="D76" s="4">
        <v>300000</v>
      </c>
      <c r="E76" s="4">
        <v>300000</v>
      </c>
      <c r="F76" s="4">
        <f t="shared" si="13"/>
        <v>0</v>
      </c>
      <c r="G76" s="4">
        <f>300000</f>
        <v>300000</v>
      </c>
      <c r="H76" s="4">
        <v>0</v>
      </c>
      <c r="I76" s="4">
        <v>0</v>
      </c>
      <c r="J76" s="4">
        <v>0</v>
      </c>
      <c r="K76" s="4">
        <f>I76+J76</f>
        <v>0</v>
      </c>
      <c r="L76" s="4">
        <f>H76+K76</f>
        <v>0</v>
      </c>
      <c r="M76" s="4">
        <f t="shared" si="9"/>
        <v>300000</v>
      </c>
      <c r="N76" s="4"/>
      <c r="O76" s="4">
        <f t="shared" si="14"/>
        <v>0</v>
      </c>
      <c r="P76" s="4">
        <f t="shared" si="15"/>
        <v>300000</v>
      </c>
      <c r="Q76" s="4"/>
      <c r="R76" s="4">
        <f>300000-300000</f>
        <v>0</v>
      </c>
      <c r="S76" s="4">
        <f t="shared" si="16"/>
        <v>0</v>
      </c>
      <c r="T76" s="4">
        <f t="shared" si="17"/>
        <v>0</v>
      </c>
      <c r="U76" s="4">
        <f t="shared" si="18"/>
        <v>0</v>
      </c>
      <c r="V76" s="4"/>
      <c r="W76" s="161">
        <f t="shared" si="10"/>
        <v>0</v>
      </c>
      <c r="X76" s="4"/>
      <c r="Y76" s="4"/>
      <c r="Z76" s="4"/>
      <c r="AA76" s="4"/>
      <c r="AB76" s="3" t="s">
        <v>556</v>
      </c>
      <c r="AC76" s="3">
        <v>742000</v>
      </c>
    </row>
    <row r="77" spans="1:46" s="498" customFormat="1" ht="30" customHeight="1">
      <c r="A77" s="3">
        <f t="shared" si="19"/>
        <v>73</v>
      </c>
      <c r="B77" s="30">
        <v>2165</v>
      </c>
      <c r="C77" s="3" t="s">
        <v>1359</v>
      </c>
      <c r="D77" s="4">
        <f>24072000+28000-23060000</f>
        <v>1040000</v>
      </c>
      <c r="E77" s="4">
        <v>1040000</v>
      </c>
      <c r="F77" s="4">
        <f t="shared" si="13"/>
        <v>0</v>
      </c>
      <c r="G77" s="4">
        <v>0</v>
      </c>
      <c r="H77" s="4">
        <v>0</v>
      </c>
      <c r="I77" s="4">
        <v>0</v>
      </c>
      <c r="J77" s="4">
        <v>0</v>
      </c>
      <c r="K77" s="4">
        <f>I77+J77</f>
        <v>0</v>
      </c>
      <c r="L77" s="4">
        <f>H77+K77</f>
        <v>0</v>
      </c>
      <c r="M77" s="4">
        <f t="shared" si="9"/>
        <v>0</v>
      </c>
      <c r="N77" s="4">
        <f>4000000-4000000</f>
        <v>0</v>
      </c>
      <c r="O77" s="4">
        <f t="shared" si="14"/>
        <v>1040000</v>
      </c>
      <c r="P77" s="4">
        <f t="shared" si="15"/>
        <v>0</v>
      </c>
      <c r="Q77" s="4"/>
      <c r="R77" s="4"/>
      <c r="S77" s="4">
        <f t="shared" si="16"/>
        <v>0</v>
      </c>
      <c r="T77" s="4">
        <f t="shared" si="17"/>
        <v>0</v>
      </c>
      <c r="U77" s="4">
        <f t="shared" si="18"/>
        <v>0</v>
      </c>
      <c r="V77" s="4"/>
      <c r="W77" s="161">
        <f t="shared" si="10"/>
        <v>0</v>
      </c>
      <c r="X77" s="4"/>
      <c r="Y77" s="4"/>
      <c r="Z77" s="4"/>
      <c r="AA77" s="4"/>
      <c r="AB77" s="3" t="s">
        <v>2356</v>
      </c>
      <c r="AC77" s="3">
        <v>746000</v>
      </c>
      <c r="AD77" s="462"/>
      <c r="AE77" s="462"/>
      <c r="AF77" s="462"/>
      <c r="AG77" s="462"/>
      <c r="AH77" s="462"/>
      <c r="AI77" s="462"/>
      <c r="AJ77" s="462"/>
      <c r="AK77" s="462"/>
      <c r="AL77" s="462"/>
      <c r="AM77" s="462"/>
      <c r="AN77" s="462"/>
      <c r="AO77" s="462"/>
      <c r="AP77" s="462"/>
      <c r="AQ77" s="462"/>
      <c r="AR77" s="462"/>
      <c r="AS77" s="462"/>
      <c r="AT77" s="462"/>
    </row>
    <row r="78" spans="1:46" ht="30" customHeight="1">
      <c r="A78" s="3">
        <f t="shared" si="19"/>
        <v>74</v>
      </c>
      <c r="B78" s="30">
        <v>2166</v>
      </c>
      <c r="C78" s="3" t="s">
        <v>558</v>
      </c>
      <c r="D78" s="4">
        <v>500000</v>
      </c>
      <c r="E78" s="4">
        <v>500000</v>
      </c>
      <c r="F78" s="4">
        <f t="shared" si="13"/>
        <v>0</v>
      </c>
      <c r="G78" s="4">
        <v>0</v>
      </c>
      <c r="H78" s="4">
        <v>0</v>
      </c>
      <c r="I78" s="4">
        <v>0</v>
      </c>
      <c r="J78" s="4">
        <v>0</v>
      </c>
      <c r="K78" s="4">
        <f>I78+J78</f>
        <v>0</v>
      </c>
      <c r="L78" s="4">
        <f>H78+K78</f>
        <v>0</v>
      </c>
      <c r="M78" s="4">
        <f t="shared" si="9"/>
        <v>0</v>
      </c>
      <c r="N78" s="4">
        <v>500000</v>
      </c>
      <c r="O78" s="4">
        <f t="shared" si="14"/>
        <v>0</v>
      </c>
      <c r="P78" s="4">
        <f t="shared" si="15"/>
        <v>0</v>
      </c>
      <c r="Q78" s="4"/>
      <c r="R78" s="4"/>
      <c r="S78" s="4">
        <f t="shared" si="16"/>
        <v>0</v>
      </c>
      <c r="T78" s="4">
        <f t="shared" si="17"/>
        <v>0</v>
      </c>
      <c r="U78" s="4">
        <f t="shared" si="18"/>
        <v>500000</v>
      </c>
      <c r="V78" s="4"/>
      <c r="W78" s="161">
        <f t="shared" si="10"/>
        <v>500000</v>
      </c>
      <c r="X78" s="4"/>
      <c r="Y78" s="4"/>
      <c r="Z78" s="4"/>
      <c r="AA78" s="4"/>
      <c r="AB78" s="3" t="s">
        <v>2357</v>
      </c>
      <c r="AC78" s="3">
        <v>746000</v>
      </c>
    </row>
    <row r="79" spans="1:46" ht="30" customHeight="1">
      <c r="A79" s="3">
        <f t="shared" si="19"/>
        <v>75</v>
      </c>
      <c r="B79" s="30">
        <v>2167</v>
      </c>
      <c r="C79" s="3" t="s">
        <v>560</v>
      </c>
      <c r="D79" s="4">
        <v>1400000</v>
      </c>
      <c r="E79" s="4">
        <v>1400000</v>
      </c>
      <c r="F79" s="4">
        <f t="shared" si="13"/>
        <v>0</v>
      </c>
      <c r="G79" s="4">
        <v>100000</v>
      </c>
      <c r="H79" s="4">
        <v>0</v>
      </c>
      <c r="I79" s="4">
        <v>0</v>
      </c>
      <c r="J79" s="4">
        <v>0</v>
      </c>
      <c r="K79" s="4">
        <f>I79+J79</f>
        <v>0</v>
      </c>
      <c r="L79" s="4">
        <f>H79+K79</f>
        <v>0</v>
      </c>
      <c r="M79" s="4">
        <f t="shared" si="9"/>
        <v>100000</v>
      </c>
      <c r="N79" s="4">
        <v>270000</v>
      </c>
      <c r="O79" s="4">
        <f t="shared" si="14"/>
        <v>1030000</v>
      </c>
      <c r="P79" s="4">
        <f t="shared" si="15"/>
        <v>100000</v>
      </c>
      <c r="Q79" s="4"/>
      <c r="R79" s="4"/>
      <c r="S79" s="4">
        <f t="shared" si="16"/>
        <v>0</v>
      </c>
      <c r="T79" s="4">
        <f t="shared" si="17"/>
        <v>0</v>
      </c>
      <c r="U79" s="4">
        <f t="shared" si="18"/>
        <v>270000</v>
      </c>
      <c r="V79" s="4"/>
      <c r="W79" s="161">
        <f t="shared" si="10"/>
        <v>270000</v>
      </c>
      <c r="X79" s="4"/>
      <c r="Y79" s="4"/>
      <c r="Z79" s="4"/>
      <c r="AA79" s="4"/>
      <c r="AB79" s="3" t="s">
        <v>2358</v>
      </c>
      <c r="AC79" s="3">
        <v>742000</v>
      </c>
    </row>
    <row r="80" spans="1:46" ht="30" customHeight="1">
      <c r="A80" s="3">
        <f t="shared" si="19"/>
        <v>76</v>
      </c>
      <c r="B80" s="30">
        <v>2168</v>
      </c>
      <c r="C80" s="3" t="s">
        <v>561</v>
      </c>
      <c r="D80" s="4">
        <f>240000-140000</f>
        <v>100000</v>
      </c>
      <c r="E80" s="4">
        <v>240000</v>
      </c>
      <c r="F80" s="4">
        <f t="shared" si="13"/>
        <v>-140000</v>
      </c>
      <c r="G80" s="4">
        <v>100000</v>
      </c>
      <c r="H80" s="4">
        <v>0</v>
      </c>
      <c r="I80" s="4">
        <v>0</v>
      </c>
      <c r="J80" s="4">
        <v>0</v>
      </c>
      <c r="K80" s="4">
        <f>I80+J80</f>
        <v>0</v>
      </c>
      <c r="L80" s="4">
        <f>H80+K80</f>
        <v>0</v>
      </c>
      <c r="M80" s="4">
        <f t="shared" si="9"/>
        <v>100000</v>
      </c>
      <c r="N80" s="4">
        <f>80000-80000</f>
        <v>0</v>
      </c>
      <c r="O80" s="4">
        <f t="shared" si="14"/>
        <v>0</v>
      </c>
      <c r="P80" s="4">
        <f t="shared" si="15"/>
        <v>100000</v>
      </c>
      <c r="Q80" s="4"/>
      <c r="R80" s="4"/>
      <c r="S80" s="4">
        <f t="shared" si="16"/>
        <v>0</v>
      </c>
      <c r="T80" s="4">
        <f t="shared" si="17"/>
        <v>0</v>
      </c>
      <c r="U80" s="254">
        <f t="shared" si="18"/>
        <v>0</v>
      </c>
      <c r="V80" s="4"/>
      <c r="W80" s="161">
        <f t="shared" si="10"/>
        <v>0</v>
      </c>
      <c r="X80" s="4"/>
      <c r="Y80" s="4"/>
      <c r="Z80" s="4"/>
      <c r="AA80" s="4"/>
      <c r="AB80" s="3" t="s">
        <v>782</v>
      </c>
      <c r="AC80" s="3">
        <v>746000</v>
      </c>
    </row>
    <row r="81" spans="1:46" ht="30" customHeight="1">
      <c r="A81" s="3">
        <f t="shared" si="19"/>
        <v>77</v>
      </c>
      <c r="B81" s="3">
        <v>2177</v>
      </c>
      <c r="C81" s="3" t="s">
        <v>908</v>
      </c>
      <c r="D81" s="4">
        <v>12500000</v>
      </c>
      <c r="E81" s="4">
        <f>9500000+2000000+1000000</f>
        <v>12500000</v>
      </c>
      <c r="F81" s="4">
        <f t="shared" si="13"/>
        <v>0</v>
      </c>
      <c r="G81" s="4">
        <f>9500000+2000000</f>
        <v>11500000</v>
      </c>
      <c r="H81" s="4">
        <v>4466072</v>
      </c>
      <c r="I81" s="4">
        <v>254817</v>
      </c>
      <c r="J81" s="4">
        <v>6637456</v>
      </c>
      <c r="K81" s="4">
        <f>SUM(I81:J81)</f>
        <v>6892273</v>
      </c>
      <c r="L81" s="4">
        <f>K81+H81</f>
        <v>11358345</v>
      </c>
      <c r="M81" s="4">
        <f t="shared" si="9"/>
        <v>1141655</v>
      </c>
      <c r="N81" s="4"/>
      <c r="O81" s="4">
        <f t="shared" si="14"/>
        <v>0</v>
      </c>
      <c r="P81" s="4">
        <f t="shared" si="15"/>
        <v>141655</v>
      </c>
      <c r="Q81" s="4"/>
      <c r="R81" s="4">
        <f>3000000-2000000</f>
        <v>1000000</v>
      </c>
      <c r="S81" s="4">
        <f t="shared" si="16"/>
        <v>1000000</v>
      </c>
      <c r="T81" s="4">
        <f t="shared" si="17"/>
        <v>0</v>
      </c>
      <c r="U81" s="4">
        <f t="shared" si="18"/>
        <v>0</v>
      </c>
      <c r="V81" s="4"/>
      <c r="W81" s="4">
        <f t="shared" si="10"/>
        <v>0</v>
      </c>
      <c r="X81" s="4"/>
      <c r="Y81" s="4"/>
      <c r="Z81" s="4"/>
      <c r="AA81" s="3"/>
      <c r="AB81" s="3" t="s">
        <v>2359</v>
      </c>
      <c r="AC81" s="3">
        <v>810000</v>
      </c>
    </row>
    <row r="82" spans="1:46" ht="30" customHeight="1">
      <c r="A82" s="3">
        <f t="shared" si="19"/>
        <v>78</v>
      </c>
      <c r="B82" s="3">
        <v>2178</v>
      </c>
      <c r="C82" s="3" t="s">
        <v>635</v>
      </c>
      <c r="D82" s="4">
        <f>3100000-1000000</f>
        <v>2100000</v>
      </c>
      <c r="E82" s="4">
        <f>3100000-1000000</f>
        <v>2100000</v>
      </c>
      <c r="F82" s="4">
        <f t="shared" si="13"/>
        <v>0</v>
      </c>
      <c r="G82" s="4">
        <v>3100000</v>
      </c>
      <c r="H82" s="4">
        <v>1415462</v>
      </c>
      <c r="I82" s="4">
        <v>159611</v>
      </c>
      <c r="J82" s="4">
        <v>311123</v>
      </c>
      <c r="K82" s="4">
        <f>SUM(I82:J82)</f>
        <v>470734</v>
      </c>
      <c r="L82" s="4">
        <f>K82+H82</f>
        <v>1886196</v>
      </c>
      <c r="M82" s="4">
        <f t="shared" si="9"/>
        <v>213804</v>
      </c>
      <c r="N82" s="4"/>
      <c r="O82" s="4">
        <f t="shared" si="14"/>
        <v>0</v>
      </c>
      <c r="P82" s="4">
        <f t="shared" si="15"/>
        <v>1213804</v>
      </c>
      <c r="Q82" s="4"/>
      <c r="R82" s="4">
        <v>-1000000</v>
      </c>
      <c r="S82" s="4">
        <f t="shared" si="16"/>
        <v>-1000000</v>
      </c>
      <c r="T82" s="4">
        <f t="shared" si="17"/>
        <v>0</v>
      </c>
      <c r="U82" s="4">
        <f t="shared" si="18"/>
        <v>0</v>
      </c>
      <c r="V82" s="4">
        <v>-210000</v>
      </c>
      <c r="W82" s="4">
        <f t="shared" si="10"/>
        <v>0</v>
      </c>
      <c r="X82" s="4"/>
      <c r="Y82" s="4"/>
      <c r="Z82" s="4"/>
      <c r="AA82" s="4">
        <v>210000</v>
      </c>
      <c r="AB82" s="3" t="s">
        <v>2360</v>
      </c>
      <c r="AC82" s="3">
        <v>810000</v>
      </c>
    </row>
    <row r="83" spans="1:46" ht="30" customHeight="1">
      <c r="A83" s="3">
        <f t="shared" si="19"/>
        <v>79</v>
      </c>
      <c r="B83" s="30">
        <v>2181</v>
      </c>
      <c r="C83" s="3" t="s">
        <v>637</v>
      </c>
      <c r="D83" s="4">
        <v>1259000</v>
      </c>
      <c r="E83" s="4">
        <v>1259000</v>
      </c>
      <c r="F83" s="4">
        <f t="shared" si="13"/>
        <v>0</v>
      </c>
      <c r="G83" s="4">
        <v>1259000</v>
      </c>
      <c r="H83" s="4">
        <v>1191759</v>
      </c>
      <c r="I83" s="4">
        <v>0</v>
      </c>
      <c r="J83" s="4">
        <v>0</v>
      </c>
      <c r="K83" s="4">
        <f>I83+J83</f>
        <v>0</v>
      </c>
      <c r="L83" s="4">
        <f>H83+K83</f>
        <v>1191759</v>
      </c>
      <c r="M83" s="4">
        <f t="shared" si="9"/>
        <v>67241</v>
      </c>
      <c r="N83" s="4"/>
      <c r="O83" s="4">
        <f t="shared" si="14"/>
        <v>0</v>
      </c>
      <c r="P83" s="4">
        <f t="shared" si="15"/>
        <v>67241</v>
      </c>
      <c r="Q83" s="4"/>
      <c r="R83" s="4"/>
      <c r="S83" s="4">
        <f t="shared" si="16"/>
        <v>0</v>
      </c>
      <c r="T83" s="4">
        <f t="shared" si="17"/>
        <v>0</v>
      </c>
      <c r="U83" s="4">
        <f t="shared" si="18"/>
        <v>0</v>
      </c>
      <c r="V83" s="4"/>
      <c r="W83" s="161">
        <f t="shared" si="10"/>
        <v>0</v>
      </c>
      <c r="X83" s="4"/>
      <c r="Y83" s="4"/>
      <c r="Z83" s="4"/>
      <c r="AA83" s="4"/>
      <c r="AB83" s="3" t="s">
        <v>684</v>
      </c>
      <c r="AC83" s="3">
        <v>747000</v>
      </c>
    </row>
    <row r="84" spans="1:46" ht="30" customHeight="1">
      <c r="A84" s="3">
        <f t="shared" si="19"/>
        <v>80</v>
      </c>
      <c r="B84" s="3">
        <v>2184</v>
      </c>
      <c r="C84" s="3" t="s">
        <v>636</v>
      </c>
      <c r="D84" s="4">
        <f>3000000-820000</f>
        <v>2180000</v>
      </c>
      <c r="E84" s="4">
        <v>2180000</v>
      </c>
      <c r="F84" s="4">
        <f t="shared" si="13"/>
        <v>0</v>
      </c>
      <c r="G84" s="4">
        <v>560000</v>
      </c>
      <c r="H84" s="4">
        <v>38078</v>
      </c>
      <c r="I84" s="4">
        <v>0</v>
      </c>
      <c r="J84" s="4">
        <v>5354</v>
      </c>
      <c r="K84" s="4">
        <f t="shared" ref="K84:K102" si="20">SUM(I84:J84)</f>
        <v>5354</v>
      </c>
      <c r="L84" s="4">
        <f t="shared" ref="L84:L89" si="21">K84+H84</f>
        <v>43432</v>
      </c>
      <c r="M84" s="4">
        <f t="shared" si="9"/>
        <v>516568</v>
      </c>
      <c r="N84" s="4">
        <f>2440000-2440000</f>
        <v>0</v>
      </c>
      <c r="O84" s="4">
        <f t="shared" si="14"/>
        <v>1620000</v>
      </c>
      <c r="P84" s="4">
        <f t="shared" si="15"/>
        <v>516568</v>
      </c>
      <c r="Q84" s="4"/>
      <c r="R84" s="4"/>
      <c r="S84" s="4">
        <f t="shared" si="16"/>
        <v>0</v>
      </c>
      <c r="T84" s="4">
        <f t="shared" si="17"/>
        <v>0</v>
      </c>
      <c r="U84" s="4">
        <f t="shared" si="18"/>
        <v>0</v>
      </c>
      <c r="V84" s="4"/>
      <c r="W84" s="4">
        <f t="shared" si="10"/>
        <v>0</v>
      </c>
      <c r="X84" s="4"/>
      <c r="Y84" s="4"/>
      <c r="Z84" s="4"/>
      <c r="AA84" s="3"/>
      <c r="AB84" s="3" t="s">
        <v>778</v>
      </c>
      <c r="AC84" s="3">
        <v>930000</v>
      </c>
    </row>
    <row r="85" spans="1:46" ht="30" customHeight="1">
      <c r="A85" s="3">
        <f t="shared" si="19"/>
        <v>81</v>
      </c>
      <c r="B85" s="3">
        <v>2187</v>
      </c>
      <c r="C85" s="3" t="s">
        <v>660</v>
      </c>
      <c r="D85" s="4">
        <f>9100000+2000000+500000-1000000</f>
        <v>10600000</v>
      </c>
      <c r="E85" s="4">
        <v>9100000</v>
      </c>
      <c r="F85" s="4">
        <f t="shared" si="13"/>
        <v>1500000</v>
      </c>
      <c r="G85" s="4">
        <v>9100000</v>
      </c>
      <c r="H85" s="4">
        <v>3736923</v>
      </c>
      <c r="I85" s="4">
        <v>4756370</v>
      </c>
      <c r="J85" s="4">
        <v>606586</v>
      </c>
      <c r="K85" s="4">
        <f t="shared" si="20"/>
        <v>5362956</v>
      </c>
      <c r="L85" s="4">
        <f t="shared" si="21"/>
        <v>9099879</v>
      </c>
      <c r="M85" s="4">
        <f t="shared" si="9"/>
        <v>121</v>
      </c>
      <c r="N85" s="4">
        <f>2500000-1000000</f>
        <v>1500000</v>
      </c>
      <c r="O85" s="4">
        <f t="shared" si="14"/>
        <v>0</v>
      </c>
      <c r="P85" s="4">
        <f t="shared" si="15"/>
        <v>121</v>
      </c>
      <c r="Q85" s="4"/>
      <c r="R85" s="4"/>
      <c r="S85" s="4">
        <f t="shared" si="16"/>
        <v>0</v>
      </c>
      <c r="T85" s="4">
        <f t="shared" si="17"/>
        <v>0</v>
      </c>
      <c r="U85" s="4">
        <f t="shared" si="18"/>
        <v>1500000</v>
      </c>
      <c r="V85" s="4">
        <v>1500000</v>
      </c>
      <c r="W85" s="4">
        <f t="shared" si="10"/>
        <v>0</v>
      </c>
      <c r="X85" s="4"/>
      <c r="Y85" s="4"/>
      <c r="Z85" s="4"/>
      <c r="AA85" s="3"/>
      <c r="AB85" s="3" t="s">
        <v>661</v>
      </c>
      <c r="AC85" s="3">
        <v>810000</v>
      </c>
    </row>
    <row r="86" spans="1:46" s="464" customFormat="1" ht="45">
      <c r="A86" s="3">
        <f t="shared" si="19"/>
        <v>82</v>
      </c>
      <c r="B86" s="253">
        <v>2211</v>
      </c>
      <c r="C86" s="3" t="s">
        <v>1388</v>
      </c>
      <c r="D86" s="4">
        <v>800000</v>
      </c>
      <c r="E86" s="841">
        <v>800000</v>
      </c>
      <c r="F86" s="4">
        <f t="shared" si="13"/>
        <v>0</v>
      </c>
      <c r="G86" s="841">
        <v>800000</v>
      </c>
      <c r="H86" s="841">
        <v>0</v>
      </c>
      <c r="I86" s="841">
        <v>442254</v>
      </c>
      <c r="J86" s="841">
        <v>57166</v>
      </c>
      <c r="K86" s="4">
        <f t="shared" si="20"/>
        <v>499420</v>
      </c>
      <c r="L86" s="4">
        <f t="shared" si="21"/>
        <v>499420</v>
      </c>
      <c r="M86" s="4">
        <f t="shared" si="9"/>
        <v>300580</v>
      </c>
      <c r="N86" s="4"/>
      <c r="O86" s="4">
        <f t="shared" si="14"/>
        <v>0</v>
      </c>
      <c r="P86" s="4">
        <f t="shared" si="15"/>
        <v>300580</v>
      </c>
      <c r="Q86" s="841"/>
      <c r="R86" s="841"/>
      <c r="S86" s="4">
        <f t="shared" si="16"/>
        <v>0</v>
      </c>
      <c r="T86" s="4">
        <f t="shared" si="17"/>
        <v>0</v>
      </c>
      <c r="U86" s="4">
        <f t="shared" si="18"/>
        <v>0</v>
      </c>
      <c r="V86" s="4"/>
      <c r="W86" s="4">
        <f t="shared" si="10"/>
        <v>0</v>
      </c>
      <c r="X86" s="253"/>
      <c r="Y86" s="253"/>
      <c r="Z86" s="253"/>
      <c r="AA86" s="253"/>
      <c r="AB86" s="3" t="s">
        <v>2437</v>
      </c>
      <c r="AC86" s="3">
        <v>810000</v>
      </c>
      <c r="AD86" s="463"/>
      <c r="AE86" s="463"/>
      <c r="AF86" s="463"/>
      <c r="AG86" s="463"/>
      <c r="AH86" s="463"/>
      <c r="AI86" s="463"/>
      <c r="AJ86" s="463"/>
      <c r="AK86" s="463"/>
      <c r="AL86" s="463"/>
      <c r="AM86" s="463"/>
      <c r="AN86" s="463"/>
      <c r="AO86" s="463"/>
      <c r="AP86" s="463"/>
      <c r="AQ86" s="463"/>
      <c r="AR86" s="463"/>
      <c r="AS86" s="463"/>
      <c r="AT86" s="463"/>
    </row>
    <row r="87" spans="1:46" ht="30" customHeight="1">
      <c r="A87" s="3">
        <f t="shared" si="19"/>
        <v>83</v>
      </c>
      <c r="B87" s="253">
        <v>2212</v>
      </c>
      <c r="C87" s="3" t="s">
        <v>664</v>
      </c>
      <c r="D87" s="4">
        <v>8000000</v>
      </c>
      <c r="E87" s="4">
        <v>8000000</v>
      </c>
      <c r="F87" s="4">
        <f t="shared" si="13"/>
        <v>0</v>
      </c>
      <c r="G87" s="510">
        <v>1000000</v>
      </c>
      <c r="H87" s="510">
        <v>1586</v>
      </c>
      <c r="I87" s="510">
        <v>0</v>
      </c>
      <c r="J87" s="510">
        <v>300000</v>
      </c>
      <c r="K87" s="4">
        <f t="shared" si="20"/>
        <v>300000</v>
      </c>
      <c r="L87" s="4">
        <f t="shared" si="21"/>
        <v>301586</v>
      </c>
      <c r="M87" s="4">
        <f t="shared" si="9"/>
        <v>698414</v>
      </c>
      <c r="N87" s="4">
        <f>300000-300000</f>
        <v>0</v>
      </c>
      <c r="O87" s="4">
        <f t="shared" si="14"/>
        <v>7000000</v>
      </c>
      <c r="P87" s="4">
        <f t="shared" si="15"/>
        <v>698414</v>
      </c>
      <c r="Q87" s="19"/>
      <c r="R87" s="4"/>
      <c r="S87" s="4">
        <f t="shared" si="16"/>
        <v>0</v>
      </c>
      <c r="T87" s="4">
        <f t="shared" si="17"/>
        <v>0</v>
      </c>
      <c r="U87" s="4">
        <f t="shared" si="18"/>
        <v>0</v>
      </c>
      <c r="V87" s="4"/>
      <c r="W87" s="4">
        <f t="shared" si="10"/>
        <v>0</v>
      </c>
      <c r="X87" s="4"/>
      <c r="Y87" s="4"/>
      <c r="Z87" s="4"/>
      <c r="AA87" s="4"/>
      <c r="AB87" s="3" t="s">
        <v>1391</v>
      </c>
      <c r="AC87" s="3">
        <v>810000</v>
      </c>
    </row>
    <row r="88" spans="1:46" ht="30" customHeight="1">
      <c r="A88" s="3">
        <f t="shared" si="19"/>
        <v>84</v>
      </c>
      <c r="B88" s="253">
        <v>2214</v>
      </c>
      <c r="C88" s="3" t="s">
        <v>666</v>
      </c>
      <c r="D88" s="4">
        <v>200000</v>
      </c>
      <c r="E88" s="4">
        <v>200000</v>
      </c>
      <c r="F88" s="4">
        <f t="shared" si="13"/>
        <v>0</v>
      </c>
      <c r="G88" s="19">
        <v>200000</v>
      </c>
      <c r="H88" s="19">
        <v>26395</v>
      </c>
      <c r="I88" s="19">
        <v>0</v>
      </c>
      <c r="J88" s="19">
        <v>33474</v>
      </c>
      <c r="K88" s="4">
        <f t="shared" si="20"/>
        <v>33474</v>
      </c>
      <c r="L88" s="4">
        <f t="shared" si="21"/>
        <v>59869</v>
      </c>
      <c r="M88" s="4">
        <f t="shared" si="9"/>
        <v>140131</v>
      </c>
      <c r="N88" s="4"/>
      <c r="O88" s="4">
        <f t="shared" si="14"/>
        <v>0</v>
      </c>
      <c r="P88" s="4">
        <f t="shared" si="15"/>
        <v>140131</v>
      </c>
      <c r="Q88" s="19"/>
      <c r="R88" s="19"/>
      <c r="S88" s="4">
        <f t="shared" si="16"/>
        <v>0</v>
      </c>
      <c r="T88" s="4">
        <f t="shared" si="17"/>
        <v>0</v>
      </c>
      <c r="U88" s="4">
        <f t="shared" si="18"/>
        <v>0</v>
      </c>
      <c r="V88" s="4"/>
      <c r="W88" s="4">
        <f>U88-V88-AA88</f>
        <v>0</v>
      </c>
      <c r="X88" s="4"/>
      <c r="Y88" s="4"/>
      <c r="Z88" s="4"/>
      <c r="AA88" s="4"/>
      <c r="AB88" s="3" t="s">
        <v>667</v>
      </c>
      <c r="AC88" s="3">
        <v>930000</v>
      </c>
    </row>
    <row r="89" spans="1:46" ht="30" customHeight="1">
      <c r="A89" s="3">
        <f t="shared" si="19"/>
        <v>85</v>
      </c>
      <c r="B89" s="253">
        <v>2215</v>
      </c>
      <c r="C89" s="3" t="s">
        <v>668</v>
      </c>
      <c r="D89" s="4">
        <v>420000</v>
      </c>
      <c r="E89" s="4">
        <v>420000</v>
      </c>
      <c r="F89" s="4">
        <f t="shared" si="13"/>
        <v>0</v>
      </c>
      <c r="G89" s="19">
        <v>420000</v>
      </c>
      <c r="H89" s="19">
        <v>243161</v>
      </c>
      <c r="I89" s="19">
        <v>0</v>
      </c>
      <c r="J89" s="19">
        <v>48330</v>
      </c>
      <c r="K89" s="4">
        <f t="shared" si="20"/>
        <v>48330</v>
      </c>
      <c r="L89" s="4">
        <f t="shared" si="21"/>
        <v>291491</v>
      </c>
      <c r="M89" s="4">
        <f t="shared" si="9"/>
        <v>128509</v>
      </c>
      <c r="N89" s="4"/>
      <c r="O89" s="4">
        <f t="shared" si="14"/>
        <v>0</v>
      </c>
      <c r="P89" s="4">
        <f t="shared" si="15"/>
        <v>128509</v>
      </c>
      <c r="Q89" s="19"/>
      <c r="R89" s="19"/>
      <c r="S89" s="4">
        <f t="shared" si="16"/>
        <v>0</v>
      </c>
      <c r="T89" s="4">
        <f t="shared" si="17"/>
        <v>0</v>
      </c>
      <c r="U89" s="4">
        <f t="shared" si="18"/>
        <v>0</v>
      </c>
      <c r="V89" s="4"/>
      <c r="W89" s="4">
        <f>U89-V89-AA89</f>
        <v>0</v>
      </c>
      <c r="X89" s="4"/>
      <c r="Y89" s="4"/>
      <c r="Z89" s="4"/>
      <c r="AA89" s="4"/>
      <c r="AB89" s="3" t="s">
        <v>669</v>
      </c>
      <c r="AC89" s="3">
        <v>810000</v>
      </c>
    </row>
    <row r="90" spans="1:46" ht="30" customHeight="1">
      <c r="A90" s="3">
        <f t="shared" si="19"/>
        <v>86</v>
      </c>
      <c r="B90" s="30">
        <v>2216</v>
      </c>
      <c r="C90" s="3" t="s">
        <v>674</v>
      </c>
      <c r="D90" s="4">
        <v>2600000</v>
      </c>
      <c r="E90" s="4">
        <v>2600000</v>
      </c>
      <c r="F90" s="4">
        <f t="shared" si="13"/>
        <v>0</v>
      </c>
      <c r="G90" s="4">
        <v>300000</v>
      </c>
      <c r="H90" s="4">
        <v>7139</v>
      </c>
      <c r="I90" s="4">
        <v>0</v>
      </c>
      <c r="J90" s="4">
        <v>0</v>
      </c>
      <c r="K90" s="4">
        <f t="shared" si="20"/>
        <v>0</v>
      </c>
      <c r="L90" s="4">
        <f>H90+K90</f>
        <v>7139</v>
      </c>
      <c r="M90" s="4">
        <f t="shared" si="9"/>
        <v>292861</v>
      </c>
      <c r="N90" s="4">
        <f>2300000-1800000-200000</f>
        <v>300000</v>
      </c>
      <c r="O90" s="4">
        <f t="shared" si="14"/>
        <v>2000000</v>
      </c>
      <c r="P90" s="4">
        <f t="shared" si="15"/>
        <v>292861</v>
      </c>
      <c r="Q90" s="4"/>
      <c r="R90" s="4"/>
      <c r="S90" s="4">
        <f t="shared" si="16"/>
        <v>0</v>
      </c>
      <c r="T90" s="4">
        <f t="shared" si="17"/>
        <v>0</v>
      </c>
      <c r="U90" s="4">
        <f t="shared" si="18"/>
        <v>300000</v>
      </c>
      <c r="V90" s="4">
        <f>U90-AA90-W90-Z90</f>
        <v>300000</v>
      </c>
      <c r="W90" s="4"/>
      <c r="X90" s="4"/>
      <c r="Y90" s="4"/>
      <c r="Z90" s="4"/>
      <c r="AA90" s="4"/>
      <c r="AB90" s="3" t="s">
        <v>675</v>
      </c>
      <c r="AC90" s="3">
        <v>810000</v>
      </c>
    </row>
    <row r="91" spans="1:46" ht="30" customHeight="1">
      <c r="A91" s="3">
        <f t="shared" si="19"/>
        <v>87</v>
      </c>
      <c r="B91" s="30">
        <v>2221</v>
      </c>
      <c r="C91" s="3" t="s">
        <v>688</v>
      </c>
      <c r="D91" s="4">
        <v>91304</v>
      </c>
      <c r="E91" s="4">
        <v>91304</v>
      </c>
      <c r="F91" s="4">
        <f t="shared" si="13"/>
        <v>0</v>
      </c>
      <c r="G91" s="4">
        <v>91304</v>
      </c>
      <c r="H91" s="4">
        <v>0</v>
      </c>
      <c r="I91" s="4">
        <v>0</v>
      </c>
      <c r="J91" s="4">
        <v>61850</v>
      </c>
      <c r="K91" s="4">
        <f t="shared" si="20"/>
        <v>61850</v>
      </c>
      <c r="L91" s="4">
        <f>H91+K91</f>
        <v>61850</v>
      </c>
      <c r="M91" s="4">
        <f t="shared" ref="M91:M116" si="22">P91+S91</f>
        <v>29454</v>
      </c>
      <c r="N91" s="4"/>
      <c r="O91" s="4">
        <f t="shared" si="14"/>
        <v>0</v>
      </c>
      <c r="P91" s="4">
        <f t="shared" si="15"/>
        <v>29454</v>
      </c>
      <c r="Q91" s="4"/>
      <c r="R91" s="4"/>
      <c r="S91" s="4">
        <f t="shared" si="16"/>
        <v>0</v>
      </c>
      <c r="T91" s="4">
        <f t="shared" si="17"/>
        <v>0</v>
      </c>
      <c r="U91" s="4">
        <f t="shared" si="18"/>
        <v>0</v>
      </c>
      <c r="V91" s="4"/>
      <c r="W91" s="161">
        <f>U91-V91-AA91</f>
        <v>0</v>
      </c>
      <c r="X91" s="4"/>
      <c r="Y91" s="4"/>
      <c r="Z91" s="4"/>
      <c r="AA91" s="4"/>
      <c r="AB91" s="3" t="s">
        <v>689</v>
      </c>
      <c r="AC91" s="3">
        <v>747000</v>
      </c>
    </row>
    <row r="92" spans="1:46" ht="30" customHeight="1">
      <c r="A92" s="3">
        <f t="shared" si="19"/>
        <v>88</v>
      </c>
      <c r="B92" s="30">
        <v>2225</v>
      </c>
      <c r="C92" s="3" t="s">
        <v>668</v>
      </c>
      <c r="D92" s="4">
        <v>150000</v>
      </c>
      <c r="E92" s="4">
        <v>150000</v>
      </c>
      <c r="F92" s="4">
        <f t="shared" si="13"/>
        <v>0</v>
      </c>
      <c r="G92" s="4">
        <v>150000</v>
      </c>
      <c r="H92" s="4">
        <v>68711</v>
      </c>
      <c r="I92" s="4">
        <v>0</v>
      </c>
      <c r="J92" s="4">
        <v>0</v>
      </c>
      <c r="K92" s="4">
        <f t="shared" si="20"/>
        <v>0</v>
      </c>
      <c r="L92" s="4">
        <f>H92+K92</f>
        <v>68711</v>
      </c>
      <c r="M92" s="4">
        <f t="shared" si="22"/>
        <v>81289</v>
      </c>
      <c r="N92" s="4"/>
      <c r="O92" s="4">
        <f t="shared" si="14"/>
        <v>0</v>
      </c>
      <c r="P92" s="4">
        <f t="shared" si="15"/>
        <v>81289</v>
      </c>
      <c r="Q92" s="4"/>
      <c r="R92" s="4"/>
      <c r="S92" s="4">
        <f t="shared" si="16"/>
        <v>0</v>
      </c>
      <c r="T92" s="4">
        <f t="shared" si="17"/>
        <v>0</v>
      </c>
      <c r="U92" s="4">
        <f t="shared" si="18"/>
        <v>0</v>
      </c>
      <c r="V92" s="4">
        <f>U92-AA92-W92-Z92</f>
        <v>0</v>
      </c>
      <c r="W92" s="4"/>
      <c r="X92" s="4"/>
      <c r="Y92" s="4"/>
      <c r="Z92" s="4"/>
      <c r="AA92" s="4"/>
      <c r="AB92" s="3" t="s">
        <v>2476</v>
      </c>
      <c r="AC92" s="3">
        <v>810000</v>
      </c>
    </row>
    <row r="93" spans="1:46" ht="30" customHeight="1">
      <c r="A93" s="3">
        <f t="shared" si="19"/>
        <v>89</v>
      </c>
      <c r="B93" s="30">
        <v>2226</v>
      </c>
      <c r="C93" s="3" t="s">
        <v>901</v>
      </c>
      <c r="D93" s="4">
        <v>91304</v>
      </c>
      <c r="E93" s="4">
        <v>91304</v>
      </c>
      <c r="F93" s="4">
        <f t="shared" si="13"/>
        <v>0</v>
      </c>
      <c r="G93" s="4">
        <v>91304</v>
      </c>
      <c r="H93" s="4">
        <v>0</v>
      </c>
      <c r="I93" s="4">
        <v>0</v>
      </c>
      <c r="J93" s="4">
        <v>91304</v>
      </c>
      <c r="K93" s="4">
        <f t="shared" si="20"/>
        <v>91304</v>
      </c>
      <c r="L93" s="4">
        <f>H93+K93</f>
        <v>91304</v>
      </c>
      <c r="M93" s="4">
        <f t="shared" si="22"/>
        <v>0</v>
      </c>
      <c r="N93" s="4"/>
      <c r="O93" s="4">
        <f t="shared" si="14"/>
        <v>0</v>
      </c>
      <c r="P93" s="4">
        <f t="shared" si="15"/>
        <v>0</v>
      </c>
      <c r="Q93" s="4"/>
      <c r="R93" s="4"/>
      <c r="S93" s="4">
        <f t="shared" si="16"/>
        <v>0</v>
      </c>
      <c r="T93" s="4">
        <f t="shared" si="17"/>
        <v>0</v>
      </c>
      <c r="U93" s="4">
        <f t="shared" si="18"/>
        <v>0</v>
      </c>
      <c r="V93" s="4"/>
      <c r="W93" s="161">
        <f>U93-V93-AA93</f>
        <v>0</v>
      </c>
      <c r="X93" s="4"/>
      <c r="Y93" s="4"/>
      <c r="Z93" s="4"/>
      <c r="AA93" s="4"/>
      <c r="AB93" s="3" t="s">
        <v>689</v>
      </c>
      <c r="AC93" s="3">
        <v>747000</v>
      </c>
    </row>
    <row r="94" spans="1:46" ht="60">
      <c r="A94" s="3">
        <f t="shared" si="19"/>
        <v>90</v>
      </c>
      <c r="B94" s="30">
        <v>2228</v>
      </c>
      <c r="C94" s="3" t="s">
        <v>2361</v>
      </c>
      <c r="D94" s="4">
        <v>1700000</v>
      </c>
      <c r="E94" s="4">
        <v>1700000</v>
      </c>
      <c r="F94" s="4">
        <f t="shared" si="13"/>
        <v>0</v>
      </c>
      <c r="G94" s="4">
        <v>1700000</v>
      </c>
      <c r="H94" s="4">
        <v>806754</v>
      </c>
      <c r="I94" s="4">
        <v>0</v>
      </c>
      <c r="J94" s="4">
        <v>893179</v>
      </c>
      <c r="K94" s="4">
        <f t="shared" si="20"/>
        <v>893179</v>
      </c>
      <c r="L94" s="4">
        <f>H94+K94</f>
        <v>1699933</v>
      </c>
      <c r="M94" s="4">
        <f t="shared" si="22"/>
        <v>67</v>
      </c>
      <c r="N94" s="4"/>
      <c r="O94" s="4">
        <f t="shared" si="14"/>
        <v>0</v>
      </c>
      <c r="P94" s="4">
        <f t="shared" si="15"/>
        <v>67</v>
      </c>
      <c r="Q94" s="4"/>
      <c r="R94" s="4"/>
      <c r="S94" s="4">
        <f t="shared" si="16"/>
        <v>0</v>
      </c>
      <c r="T94" s="4">
        <f t="shared" si="17"/>
        <v>0</v>
      </c>
      <c r="U94" s="4">
        <f t="shared" si="18"/>
        <v>0</v>
      </c>
      <c r="V94" s="4">
        <f>U94-AA94-W94-Z94</f>
        <v>0</v>
      </c>
      <c r="W94" s="4"/>
      <c r="X94" s="4"/>
      <c r="Y94" s="4"/>
      <c r="Z94" s="4"/>
      <c r="AA94" s="4"/>
      <c r="AB94" s="3" t="s">
        <v>915</v>
      </c>
      <c r="AC94" s="3">
        <v>742000</v>
      </c>
    </row>
    <row r="95" spans="1:46" ht="30" customHeight="1">
      <c r="A95" s="3">
        <f t="shared" si="19"/>
        <v>91</v>
      </c>
      <c r="B95" s="253">
        <v>2229</v>
      </c>
      <c r="C95" s="3" t="s">
        <v>911</v>
      </c>
      <c r="D95" s="4">
        <v>350000</v>
      </c>
      <c r="E95" s="4">
        <v>350000</v>
      </c>
      <c r="F95" s="4">
        <f t="shared" si="13"/>
        <v>0</v>
      </c>
      <c r="G95" s="19">
        <v>350000</v>
      </c>
      <c r="H95" s="19">
        <v>0</v>
      </c>
      <c r="I95" s="19">
        <v>0</v>
      </c>
      <c r="J95" s="19">
        <v>0</v>
      </c>
      <c r="K95" s="4">
        <f t="shared" si="20"/>
        <v>0</v>
      </c>
      <c r="L95" s="4">
        <f>K95+H95</f>
        <v>0</v>
      </c>
      <c r="M95" s="4">
        <f t="shared" si="22"/>
        <v>350000</v>
      </c>
      <c r="N95" s="4"/>
      <c r="O95" s="4">
        <f t="shared" si="14"/>
        <v>0</v>
      </c>
      <c r="P95" s="4">
        <f t="shared" si="15"/>
        <v>350000</v>
      </c>
      <c r="Q95" s="19"/>
      <c r="R95" s="19"/>
      <c r="S95" s="4">
        <f t="shared" si="16"/>
        <v>0</v>
      </c>
      <c r="T95" s="4">
        <f t="shared" si="17"/>
        <v>0</v>
      </c>
      <c r="U95" s="4">
        <f t="shared" si="18"/>
        <v>0</v>
      </c>
      <c r="V95" s="4"/>
      <c r="W95" s="4">
        <f>U95-V95-AA95</f>
        <v>0</v>
      </c>
      <c r="X95" s="4"/>
      <c r="Y95" s="4"/>
      <c r="Z95" s="4"/>
      <c r="AA95" s="4"/>
      <c r="AB95" s="3" t="s">
        <v>916</v>
      </c>
      <c r="AC95" s="3">
        <v>930000</v>
      </c>
    </row>
    <row r="96" spans="1:46" ht="30" customHeight="1">
      <c r="A96" s="3">
        <f t="shared" si="19"/>
        <v>92</v>
      </c>
      <c r="B96" s="30">
        <v>2230</v>
      </c>
      <c r="C96" s="3" t="s">
        <v>912</v>
      </c>
      <c r="D96" s="4">
        <v>370000</v>
      </c>
      <c r="E96" s="4">
        <v>370000</v>
      </c>
      <c r="F96" s="4">
        <f t="shared" si="13"/>
        <v>0</v>
      </c>
      <c r="G96" s="4">
        <v>370000</v>
      </c>
      <c r="H96" s="4">
        <v>220393</v>
      </c>
      <c r="I96" s="4">
        <v>0</v>
      </c>
      <c r="J96" s="4">
        <v>148297</v>
      </c>
      <c r="K96" s="4">
        <f t="shared" si="20"/>
        <v>148297</v>
      </c>
      <c r="L96" s="4">
        <f t="shared" ref="L96:L102" si="23">H96+K96</f>
        <v>368690</v>
      </c>
      <c r="M96" s="4">
        <f t="shared" si="22"/>
        <v>1310</v>
      </c>
      <c r="N96" s="4"/>
      <c r="O96" s="4">
        <f t="shared" si="14"/>
        <v>0</v>
      </c>
      <c r="P96" s="4">
        <f t="shared" si="15"/>
        <v>1310</v>
      </c>
      <c r="Q96" s="4"/>
      <c r="R96" s="4"/>
      <c r="S96" s="4">
        <f t="shared" si="16"/>
        <v>0</v>
      </c>
      <c r="T96" s="4">
        <f t="shared" si="17"/>
        <v>0</v>
      </c>
      <c r="U96" s="4">
        <f t="shared" si="18"/>
        <v>0</v>
      </c>
      <c r="V96" s="4">
        <f t="shared" ref="V96:V103" si="24">U96-AA96-W96-Z96</f>
        <v>0</v>
      </c>
      <c r="W96" s="4"/>
      <c r="X96" s="4"/>
      <c r="Y96" s="4"/>
      <c r="Z96" s="4"/>
      <c r="AA96" s="4"/>
      <c r="AB96" s="3" t="s">
        <v>917</v>
      </c>
      <c r="AC96" s="3">
        <v>840000</v>
      </c>
    </row>
    <row r="97" spans="1:46" ht="30" customHeight="1">
      <c r="A97" s="3">
        <f t="shared" si="19"/>
        <v>93</v>
      </c>
      <c r="B97" s="30">
        <v>2234</v>
      </c>
      <c r="C97" s="3" t="s">
        <v>913</v>
      </c>
      <c r="D97" s="4">
        <v>270000</v>
      </c>
      <c r="E97" s="4">
        <v>270000</v>
      </c>
      <c r="F97" s="4">
        <f t="shared" si="13"/>
        <v>0</v>
      </c>
      <c r="G97" s="4">
        <f>270000</f>
        <v>270000</v>
      </c>
      <c r="H97" s="4">
        <v>0</v>
      </c>
      <c r="I97" s="4">
        <v>0</v>
      </c>
      <c r="J97" s="4">
        <v>18552</v>
      </c>
      <c r="K97" s="4">
        <f t="shared" si="20"/>
        <v>18552</v>
      </c>
      <c r="L97" s="4">
        <f t="shared" si="23"/>
        <v>18552</v>
      </c>
      <c r="M97" s="4">
        <f t="shared" si="22"/>
        <v>251448</v>
      </c>
      <c r="N97" s="4"/>
      <c r="O97" s="4">
        <f t="shared" si="14"/>
        <v>0</v>
      </c>
      <c r="P97" s="4">
        <f t="shared" si="15"/>
        <v>251448</v>
      </c>
      <c r="Q97" s="4"/>
      <c r="R97" s="4"/>
      <c r="S97" s="4">
        <f t="shared" si="16"/>
        <v>0</v>
      </c>
      <c r="T97" s="4">
        <f t="shared" si="17"/>
        <v>0</v>
      </c>
      <c r="U97" s="4">
        <f t="shared" si="18"/>
        <v>0</v>
      </c>
      <c r="V97" s="4">
        <f t="shared" si="24"/>
        <v>0</v>
      </c>
      <c r="W97" s="4"/>
      <c r="X97" s="4"/>
      <c r="Y97" s="4"/>
      <c r="Z97" s="4"/>
      <c r="AA97" s="4"/>
      <c r="AB97" s="3" t="s">
        <v>918</v>
      </c>
      <c r="AC97" s="3">
        <v>810000</v>
      </c>
    </row>
    <row r="98" spans="1:46" ht="30" customHeight="1">
      <c r="A98" s="3">
        <f t="shared" si="19"/>
        <v>94</v>
      </c>
      <c r="B98" s="30">
        <v>2235</v>
      </c>
      <c r="C98" s="3" t="s">
        <v>914</v>
      </c>
      <c r="D98" s="4">
        <v>1400000</v>
      </c>
      <c r="E98" s="4">
        <v>1400000</v>
      </c>
      <c r="F98" s="4">
        <f t="shared" si="13"/>
        <v>0</v>
      </c>
      <c r="G98" s="4">
        <f>1400000</f>
        <v>1400000</v>
      </c>
      <c r="H98" s="4">
        <v>11249</v>
      </c>
      <c r="I98" s="4">
        <v>0</v>
      </c>
      <c r="J98" s="4">
        <v>19873</v>
      </c>
      <c r="K98" s="4">
        <f t="shared" si="20"/>
        <v>19873</v>
      </c>
      <c r="L98" s="4">
        <f t="shared" si="23"/>
        <v>31122</v>
      </c>
      <c r="M98" s="4">
        <f t="shared" si="22"/>
        <v>1368878</v>
      </c>
      <c r="N98" s="4"/>
      <c r="O98" s="4">
        <f t="shared" si="14"/>
        <v>0</v>
      </c>
      <c r="P98" s="4">
        <f t="shared" si="15"/>
        <v>1368878</v>
      </c>
      <c r="Q98" s="4"/>
      <c r="R98" s="4"/>
      <c r="S98" s="4">
        <f t="shared" si="16"/>
        <v>0</v>
      </c>
      <c r="T98" s="4">
        <f t="shared" si="17"/>
        <v>0</v>
      </c>
      <c r="U98" s="4">
        <f t="shared" si="18"/>
        <v>0</v>
      </c>
      <c r="V98" s="4">
        <f t="shared" si="24"/>
        <v>0</v>
      </c>
      <c r="W98" s="4"/>
      <c r="X98" s="4"/>
      <c r="Y98" s="4"/>
      <c r="Z98" s="4"/>
      <c r="AA98" s="4"/>
      <c r="AB98" s="3" t="s">
        <v>919</v>
      </c>
      <c r="AC98" s="3">
        <v>829000</v>
      </c>
    </row>
    <row r="99" spans="1:46" ht="30" customHeight="1">
      <c r="A99" s="3">
        <f t="shared" si="19"/>
        <v>95</v>
      </c>
      <c r="B99" s="30">
        <v>2236</v>
      </c>
      <c r="C99" s="3" t="s">
        <v>913</v>
      </c>
      <c r="D99" s="4">
        <f>150000+30000</f>
        <v>180000</v>
      </c>
      <c r="E99" s="4">
        <v>150000</v>
      </c>
      <c r="F99" s="4">
        <f t="shared" si="13"/>
        <v>30000</v>
      </c>
      <c r="G99" s="4">
        <v>150000</v>
      </c>
      <c r="H99" s="4">
        <v>0</v>
      </c>
      <c r="I99" s="4">
        <v>0</v>
      </c>
      <c r="J99" s="4">
        <v>4638</v>
      </c>
      <c r="K99" s="4">
        <f t="shared" si="20"/>
        <v>4638</v>
      </c>
      <c r="L99" s="4">
        <f t="shared" si="23"/>
        <v>4638</v>
      </c>
      <c r="M99" s="4">
        <f t="shared" si="22"/>
        <v>145362</v>
      </c>
      <c r="N99" s="4">
        <v>30000</v>
      </c>
      <c r="O99" s="4">
        <f t="shared" si="14"/>
        <v>0</v>
      </c>
      <c r="P99" s="4">
        <f t="shared" si="15"/>
        <v>145362</v>
      </c>
      <c r="Q99" s="4"/>
      <c r="R99" s="4"/>
      <c r="S99" s="4"/>
      <c r="T99" s="4"/>
      <c r="U99" s="4">
        <f t="shared" si="18"/>
        <v>30000</v>
      </c>
      <c r="V99" s="4">
        <f t="shared" si="24"/>
        <v>0</v>
      </c>
      <c r="W99" s="4"/>
      <c r="X99" s="4"/>
      <c r="Y99" s="4"/>
      <c r="Z99" s="4"/>
      <c r="AA99" s="4">
        <v>30000</v>
      </c>
      <c r="AB99" s="3" t="s">
        <v>1409</v>
      </c>
      <c r="AC99" s="3">
        <v>810000</v>
      </c>
    </row>
    <row r="100" spans="1:46" ht="30" customHeight="1">
      <c r="A100" s="3">
        <f t="shared" si="19"/>
        <v>96</v>
      </c>
      <c r="B100" s="30">
        <v>2237</v>
      </c>
      <c r="C100" s="3" t="s">
        <v>1413</v>
      </c>
      <c r="D100" s="4">
        <v>1700000</v>
      </c>
      <c r="E100" s="4">
        <v>1700000</v>
      </c>
      <c r="F100" s="4">
        <f t="shared" si="13"/>
        <v>0</v>
      </c>
      <c r="G100" s="4">
        <v>600000</v>
      </c>
      <c r="H100" s="4">
        <v>0</v>
      </c>
      <c r="I100" s="4">
        <v>0</v>
      </c>
      <c r="J100" s="4">
        <v>0</v>
      </c>
      <c r="K100" s="4">
        <f t="shared" si="20"/>
        <v>0</v>
      </c>
      <c r="L100" s="4">
        <f t="shared" si="23"/>
        <v>0</v>
      </c>
      <c r="M100" s="4">
        <f t="shared" si="22"/>
        <v>600000</v>
      </c>
      <c r="N100" s="4">
        <v>1100000</v>
      </c>
      <c r="O100" s="4">
        <f t="shared" si="14"/>
        <v>0</v>
      </c>
      <c r="P100" s="4">
        <f t="shared" si="15"/>
        <v>600000</v>
      </c>
      <c r="Q100" s="4"/>
      <c r="R100" s="4">
        <f>1100000-1100000</f>
        <v>0</v>
      </c>
      <c r="S100" s="4"/>
      <c r="T100" s="4"/>
      <c r="U100" s="4">
        <f t="shared" si="18"/>
        <v>1100000</v>
      </c>
      <c r="V100" s="4">
        <f t="shared" si="24"/>
        <v>1100000</v>
      </c>
      <c r="W100" s="4"/>
      <c r="X100" s="4"/>
      <c r="Y100" s="4"/>
      <c r="Z100" s="4"/>
      <c r="AA100" s="4"/>
      <c r="AB100" s="3" t="s">
        <v>2420</v>
      </c>
      <c r="AC100" s="3">
        <v>742000</v>
      </c>
    </row>
    <row r="101" spans="1:46" ht="30" customHeight="1">
      <c r="A101" s="3">
        <f t="shared" si="19"/>
        <v>97</v>
      </c>
      <c r="B101" s="30">
        <v>2238</v>
      </c>
      <c r="C101" s="3" t="s">
        <v>1414</v>
      </c>
      <c r="D101" s="4">
        <f>3100000+2000000</f>
        <v>5100000</v>
      </c>
      <c r="E101" s="4">
        <v>3100000</v>
      </c>
      <c r="F101" s="4">
        <f t="shared" si="13"/>
        <v>2000000</v>
      </c>
      <c r="G101" s="4">
        <v>3100000</v>
      </c>
      <c r="H101" s="4">
        <v>561258</v>
      </c>
      <c r="I101" s="4">
        <v>0</v>
      </c>
      <c r="J101" s="4">
        <v>560353</v>
      </c>
      <c r="K101" s="4">
        <f t="shared" si="20"/>
        <v>560353</v>
      </c>
      <c r="L101" s="4">
        <f t="shared" si="23"/>
        <v>1121611</v>
      </c>
      <c r="M101" s="4">
        <f t="shared" si="22"/>
        <v>1978389</v>
      </c>
      <c r="N101" s="4">
        <v>2000000</v>
      </c>
      <c r="O101" s="4">
        <f t="shared" si="14"/>
        <v>0</v>
      </c>
      <c r="P101" s="4">
        <f t="shared" si="15"/>
        <v>1978389</v>
      </c>
      <c r="Q101" s="4"/>
      <c r="R101" s="4"/>
      <c r="S101" s="4"/>
      <c r="T101" s="4"/>
      <c r="U101" s="4">
        <f t="shared" si="18"/>
        <v>2000000</v>
      </c>
      <c r="V101" s="4">
        <f t="shared" si="24"/>
        <v>2000000</v>
      </c>
      <c r="W101" s="4"/>
      <c r="X101" s="4"/>
      <c r="Y101" s="4"/>
      <c r="Z101" s="4"/>
      <c r="AA101" s="4"/>
      <c r="AB101" s="3" t="s">
        <v>2421</v>
      </c>
      <c r="AC101" s="3">
        <v>747000</v>
      </c>
    </row>
    <row r="102" spans="1:46" ht="30" customHeight="1">
      <c r="A102" s="3">
        <f t="shared" si="19"/>
        <v>98</v>
      </c>
      <c r="B102" s="30">
        <v>2239</v>
      </c>
      <c r="C102" s="3" t="s">
        <v>1418</v>
      </c>
      <c r="D102" s="4">
        <v>30000000</v>
      </c>
      <c r="E102" s="4">
        <v>4700000</v>
      </c>
      <c r="F102" s="4">
        <f t="shared" si="13"/>
        <v>25300000</v>
      </c>
      <c r="G102" s="4">
        <v>0</v>
      </c>
      <c r="H102" s="4">
        <v>0</v>
      </c>
      <c r="I102" s="4">
        <v>0</v>
      </c>
      <c r="J102" s="4">
        <v>0</v>
      </c>
      <c r="K102" s="4">
        <f t="shared" si="20"/>
        <v>0</v>
      </c>
      <c r="L102" s="4">
        <f t="shared" si="23"/>
        <v>0</v>
      </c>
      <c r="M102" s="4">
        <f t="shared" si="22"/>
        <v>2000000</v>
      </c>
      <c r="N102" s="4">
        <f>12700000-4700000-1000000-2000000-2500000-1000000</f>
        <v>1500000</v>
      </c>
      <c r="O102" s="4">
        <f t="shared" si="14"/>
        <v>26500000</v>
      </c>
      <c r="P102" s="4">
        <f t="shared" si="15"/>
        <v>0</v>
      </c>
      <c r="Q102" s="4"/>
      <c r="R102" s="4">
        <v>2000000</v>
      </c>
      <c r="S102" s="4">
        <f>SUM(Q102:R102)</f>
        <v>2000000</v>
      </c>
      <c r="T102" s="4">
        <f>P102-M102+S102</f>
        <v>0</v>
      </c>
      <c r="U102" s="4">
        <f t="shared" si="18"/>
        <v>1500000</v>
      </c>
      <c r="V102" s="4">
        <f t="shared" si="24"/>
        <v>1500000</v>
      </c>
      <c r="W102" s="4"/>
      <c r="X102" s="4"/>
      <c r="Y102" s="4"/>
      <c r="Z102" s="4"/>
      <c r="AA102" s="4"/>
      <c r="AB102" s="3" t="s">
        <v>2362</v>
      </c>
      <c r="AC102" s="3">
        <v>742000</v>
      </c>
    </row>
    <row r="103" spans="1:46" s="464" customFormat="1" ht="30" customHeight="1">
      <c r="A103" s="3">
        <f t="shared" si="19"/>
        <v>99</v>
      </c>
      <c r="B103" s="30">
        <v>2240</v>
      </c>
      <c r="C103" s="3" t="s">
        <v>1422</v>
      </c>
      <c r="D103" s="4">
        <v>13200000</v>
      </c>
      <c r="E103" s="4">
        <v>9000000</v>
      </c>
      <c r="F103" s="4">
        <f t="shared" si="13"/>
        <v>4200000</v>
      </c>
      <c r="G103" s="4"/>
      <c r="H103" s="4"/>
      <c r="I103" s="4"/>
      <c r="J103" s="4"/>
      <c r="K103" s="4"/>
      <c r="L103" s="4"/>
      <c r="M103" s="4">
        <f t="shared" si="22"/>
        <v>100000</v>
      </c>
      <c r="N103" s="4">
        <f>7200000-1000000</f>
        <v>6200000</v>
      </c>
      <c r="O103" s="4">
        <f t="shared" si="14"/>
        <v>6900000</v>
      </c>
      <c r="P103" s="4">
        <f t="shared" si="15"/>
        <v>0</v>
      </c>
      <c r="Q103" s="4"/>
      <c r="R103" s="4">
        <v>100000</v>
      </c>
      <c r="S103" s="4">
        <f>SUM(Q103:R103)</f>
        <v>100000</v>
      </c>
      <c r="T103" s="4">
        <f>P103-M103+S103</f>
        <v>0</v>
      </c>
      <c r="U103" s="4">
        <f t="shared" si="18"/>
        <v>6200000</v>
      </c>
      <c r="V103" s="4">
        <f t="shared" si="24"/>
        <v>2800000</v>
      </c>
      <c r="W103" s="4"/>
      <c r="X103" s="4"/>
      <c r="Y103" s="4"/>
      <c r="Z103" s="4"/>
      <c r="AA103" s="4">
        <v>3400000</v>
      </c>
      <c r="AB103" s="3" t="s">
        <v>2453</v>
      </c>
      <c r="AC103" s="3">
        <v>720000</v>
      </c>
      <c r="AD103" s="462"/>
      <c r="AE103" s="462"/>
      <c r="AF103" s="462"/>
      <c r="AG103" s="462"/>
      <c r="AH103" s="462"/>
      <c r="AI103" s="462"/>
      <c r="AJ103" s="462"/>
      <c r="AK103" s="462"/>
      <c r="AL103" s="462"/>
      <c r="AM103" s="462"/>
      <c r="AN103" s="462"/>
      <c r="AO103" s="462"/>
      <c r="AP103" s="462"/>
      <c r="AQ103" s="462"/>
      <c r="AR103" s="462"/>
      <c r="AS103" s="462"/>
      <c r="AT103" s="462"/>
    </row>
    <row r="104" spans="1:46" ht="30" customHeight="1">
      <c r="A104" s="3">
        <f t="shared" si="19"/>
        <v>100</v>
      </c>
      <c r="B104" s="30">
        <v>2241</v>
      </c>
      <c r="C104" s="3" t="s">
        <v>1467</v>
      </c>
      <c r="D104" s="4">
        <v>600000</v>
      </c>
      <c r="E104" s="4">
        <v>600000</v>
      </c>
      <c r="F104" s="4">
        <f>D104-E104</f>
        <v>0</v>
      </c>
      <c r="G104" s="4"/>
      <c r="H104" s="4"/>
      <c r="I104" s="4"/>
      <c r="J104" s="4"/>
      <c r="K104" s="4"/>
      <c r="L104" s="4"/>
      <c r="M104" s="4">
        <f>P104+S104</f>
        <v>200000</v>
      </c>
      <c r="N104" s="4">
        <f>600000-200000</f>
        <v>400000</v>
      </c>
      <c r="O104" s="4">
        <f>D104-L104-M104-N104</f>
        <v>0</v>
      </c>
      <c r="P104" s="4">
        <f>G104-L104</f>
        <v>0</v>
      </c>
      <c r="Q104" s="4"/>
      <c r="R104" s="4">
        <v>200000</v>
      </c>
      <c r="S104" s="4">
        <f>SUM(Q104:R104)</f>
        <v>200000</v>
      </c>
      <c r="T104" s="4">
        <f>P104-M104+S104</f>
        <v>0</v>
      </c>
      <c r="U104" s="4">
        <f>N104-T104</f>
        <v>400000</v>
      </c>
      <c r="V104" s="4">
        <v>300000</v>
      </c>
      <c r="W104" s="4">
        <f>U104-V104-AA104</f>
        <v>100000</v>
      </c>
      <c r="X104" s="4"/>
      <c r="Y104" s="4"/>
      <c r="Z104" s="4"/>
      <c r="AA104" s="4"/>
      <c r="AB104" s="3" t="s">
        <v>1468</v>
      </c>
      <c r="AC104" s="3">
        <v>840000</v>
      </c>
    </row>
    <row r="105" spans="1:46" ht="30" customHeight="1">
      <c r="A105" s="3">
        <f t="shared" si="19"/>
        <v>101</v>
      </c>
      <c r="B105" s="30">
        <v>20019</v>
      </c>
      <c r="C105" s="3" t="s">
        <v>1426</v>
      </c>
      <c r="D105" s="4">
        <v>100000</v>
      </c>
      <c r="E105" s="4"/>
      <c r="F105" s="4">
        <f t="shared" si="13"/>
        <v>100000</v>
      </c>
      <c r="G105" s="4"/>
      <c r="H105" s="4"/>
      <c r="I105" s="4"/>
      <c r="J105" s="4"/>
      <c r="K105" s="4"/>
      <c r="L105" s="4"/>
      <c r="M105" s="4">
        <f t="shared" si="22"/>
        <v>0</v>
      </c>
      <c r="N105" s="4">
        <v>100000</v>
      </c>
      <c r="O105" s="4">
        <f t="shared" si="14"/>
        <v>0</v>
      </c>
      <c r="P105" s="4">
        <f t="shared" si="15"/>
        <v>0</v>
      </c>
      <c r="Q105" s="4"/>
      <c r="R105" s="4"/>
      <c r="S105" s="4">
        <f t="shared" ref="S105:S119" si="25">SUM(Q105:R105)</f>
        <v>0</v>
      </c>
      <c r="T105" s="4">
        <f t="shared" ref="T105:T119" si="26">P105-M105+S105</f>
        <v>0</v>
      </c>
      <c r="U105" s="4">
        <f t="shared" si="18"/>
        <v>100000</v>
      </c>
      <c r="V105" s="4"/>
      <c r="W105" s="4">
        <f>U105-V105-AA105</f>
        <v>100000</v>
      </c>
      <c r="X105" s="4"/>
      <c r="Y105" s="4"/>
      <c r="Z105" s="4"/>
      <c r="AA105" s="4"/>
      <c r="AB105" s="3" t="s">
        <v>2436</v>
      </c>
      <c r="AC105" s="3">
        <v>870000</v>
      </c>
    </row>
    <row r="106" spans="1:46" ht="30" customHeight="1">
      <c r="A106" s="3">
        <f t="shared" si="19"/>
        <v>102</v>
      </c>
      <c r="B106" s="30">
        <v>20020</v>
      </c>
      <c r="C106" s="3" t="s">
        <v>1430</v>
      </c>
      <c r="D106" s="4">
        <v>300000</v>
      </c>
      <c r="E106" s="4"/>
      <c r="F106" s="4">
        <f t="shared" si="13"/>
        <v>300000</v>
      </c>
      <c r="G106" s="4"/>
      <c r="H106" s="4"/>
      <c r="I106" s="4"/>
      <c r="J106" s="4"/>
      <c r="K106" s="4"/>
      <c r="L106" s="4"/>
      <c r="M106" s="4">
        <f t="shared" si="22"/>
        <v>0</v>
      </c>
      <c r="N106" s="4">
        <v>300000</v>
      </c>
      <c r="O106" s="4">
        <f t="shared" si="14"/>
        <v>0</v>
      </c>
      <c r="P106" s="4">
        <f t="shared" si="15"/>
        <v>0</v>
      </c>
      <c r="Q106" s="4"/>
      <c r="R106" s="4"/>
      <c r="S106" s="4">
        <f t="shared" si="25"/>
        <v>0</v>
      </c>
      <c r="T106" s="4">
        <f t="shared" si="26"/>
        <v>0</v>
      </c>
      <c r="U106" s="4">
        <f t="shared" si="18"/>
        <v>300000</v>
      </c>
      <c r="V106" s="4"/>
      <c r="W106" s="4">
        <f>U106-V106-AA106</f>
        <v>300000</v>
      </c>
      <c r="X106" s="4"/>
      <c r="Y106" s="4"/>
      <c r="Z106" s="4"/>
      <c r="AA106" s="4"/>
      <c r="AB106" s="486" t="s">
        <v>1431</v>
      </c>
      <c r="AC106" s="3">
        <v>720000</v>
      </c>
    </row>
    <row r="107" spans="1:46" ht="30" customHeight="1">
      <c r="A107" s="3">
        <f t="shared" si="19"/>
        <v>103</v>
      </c>
      <c r="B107" s="30">
        <v>20021</v>
      </c>
      <c r="C107" s="3" t="s">
        <v>1434</v>
      </c>
      <c r="D107" s="4">
        <f>10000000-2000000</f>
        <v>8000000</v>
      </c>
      <c r="E107" s="4"/>
      <c r="F107" s="4">
        <f t="shared" si="13"/>
        <v>8000000</v>
      </c>
      <c r="G107" s="4"/>
      <c r="H107" s="4"/>
      <c r="I107" s="4"/>
      <c r="J107" s="4"/>
      <c r="K107" s="4"/>
      <c r="L107" s="4"/>
      <c r="M107" s="4">
        <f t="shared" si="22"/>
        <v>0</v>
      </c>
      <c r="N107" s="4">
        <f>5000000-2000000</f>
        <v>3000000</v>
      </c>
      <c r="O107" s="4">
        <f t="shared" si="14"/>
        <v>5000000</v>
      </c>
      <c r="P107" s="4">
        <f t="shared" si="15"/>
        <v>0</v>
      </c>
      <c r="Q107" s="4"/>
      <c r="R107" s="4"/>
      <c r="S107" s="4">
        <f t="shared" si="25"/>
        <v>0</v>
      </c>
      <c r="T107" s="4">
        <f t="shared" si="26"/>
        <v>0</v>
      </c>
      <c r="U107" s="4">
        <f t="shared" si="18"/>
        <v>3000000</v>
      </c>
      <c r="V107" s="4">
        <f>U107-AA107-W107-Z107</f>
        <v>3000000</v>
      </c>
      <c r="W107" s="4"/>
      <c r="X107" s="4"/>
      <c r="Y107" s="4"/>
      <c r="Z107" s="4"/>
      <c r="AA107" s="4"/>
      <c r="AB107" s="3" t="s">
        <v>1435</v>
      </c>
      <c r="AC107" s="3">
        <v>742000</v>
      </c>
    </row>
    <row r="108" spans="1:46" ht="30" customHeight="1">
      <c r="A108" s="3">
        <f t="shared" si="19"/>
        <v>104</v>
      </c>
      <c r="B108" s="30">
        <v>20022</v>
      </c>
      <c r="C108" s="3" t="s">
        <v>1438</v>
      </c>
      <c r="D108" s="4">
        <v>180000</v>
      </c>
      <c r="E108" s="4"/>
      <c r="F108" s="4">
        <f t="shared" si="13"/>
        <v>180000</v>
      </c>
      <c r="G108" s="4"/>
      <c r="H108" s="4"/>
      <c r="I108" s="4"/>
      <c r="J108" s="4"/>
      <c r="K108" s="4"/>
      <c r="L108" s="4"/>
      <c r="M108" s="4">
        <f t="shared" si="22"/>
        <v>0</v>
      </c>
      <c r="N108" s="4">
        <v>180000</v>
      </c>
      <c r="O108" s="4">
        <f t="shared" si="14"/>
        <v>0</v>
      </c>
      <c r="P108" s="4">
        <f t="shared" si="15"/>
        <v>0</v>
      </c>
      <c r="Q108" s="4"/>
      <c r="R108" s="4"/>
      <c r="S108" s="4">
        <f t="shared" si="25"/>
        <v>0</v>
      </c>
      <c r="T108" s="4">
        <f t="shared" si="26"/>
        <v>0</v>
      </c>
      <c r="U108" s="4">
        <f t="shared" si="18"/>
        <v>180000</v>
      </c>
      <c r="V108" s="4"/>
      <c r="W108" s="4">
        <f t="shared" ref="W108:W115" si="27">U108-V108-AA108</f>
        <v>180000</v>
      </c>
      <c r="X108" s="4"/>
      <c r="Y108" s="4"/>
      <c r="Z108" s="4"/>
      <c r="AA108" s="4"/>
      <c r="AB108" s="3" t="s">
        <v>2363</v>
      </c>
      <c r="AC108" s="3">
        <v>747000</v>
      </c>
    </row>
    <row r="109" spans="1:46" ht="30" customHeight="1">
      <c r="A109" s="3">
        <f t="shared" si="19"/>
        <v>105</v>
      </c>
      <c r="B109" s="30">
        <v>20023</v>
      </c>
      <c r="C109" s="3" t="s">
        <v>1440</v>
      </c>
      <c r="D109" s="4">
        <v>200000</v>
      </c>
      <c r="E109" s="4"/>
      <c r="F109" s="4">
        <f t="shared" si="13"/>
        <v>200000</v>
      </c>
      <c r="G109" s="4"/>
      <c r="H109" s="4"/>
      <c r="I109" s="4"/>
      <c r="J109" s="4"/>
      <c r="K109" s="4"/>
      <c r="L109" s="4"/>
      <c r="M109" s="4">
        <f t="shared" si="22"/>
        <v>0</v>
      </c>
      <c r="N109" s="4">
        <v>200000</v>
      </c>
      <c r="O109" s="4">
        <f t="shared" si="14"/>
        <v>0</v>
      </c>
      <c r="P109" s="4">
        <f t="shared" si="15"/>
        <v>0</v>
      </c>
      <c r="Q109" s="4"/>
      <c r="R109" s="4"/>
      <c r="S109" s="4">
        <f t="shared" si="25"/>
        <v>0</v>
      </c>
      <c r="T109" s="4">
        <f t="shared" si="26"/>
        <v>0</v>
      </c>
      <c r="U109" s="4">
        <f t="shared" si="18"/>
        <v>200000</v>
      </c>
      <c r="V109" s="4"/>
      <c r="W109" s="4">
        <f t="shared" si="27"/>
        <v>0</v>
      </c>
      <c r="X109" s="4"/>
      <c r="Y109" s="4"/>
      <c r="Z109" s="4"/>
      <c r="AA109" s="4">
        <v>200000</v>
      </c>
      <c r="AB109" s="3" t="s">
        <v>2364</v>
      </c>
      <c r="AC109" s="3">
        <v>747000</v>
      </c>
    </row>
    <row r="110" spans="1:46" ht="30" customHeight="1">
      <c r="A110" s="3">
        <f t="shared" si="19"/>
        <v>106</v>
      </c>
      <c r="B110" s="30">
        <v>20024</v>
      </c>
      <c r="C110" s="3" t="s">
        <v>2454</v>
      </c>
      <c r="D110" s="4">
        <f>400000+400000</f>
        <v>800000</v>
      </c>
      <c r="E110" s="4"/>
      <c r="F110" s="4">
        <f t="shared" si="13"/>
        <v>800000</v>
      </c>
      <c r="G110" s="4"/>
      <c r="H110" s="4"/>
      <c r="I110" s="4"/>
      <c r="J110" s="4"/>
      <c r="K110" s="4"/>
      <c r="L110" s="4"/>
      <c r="M110" s="4">
        <f t="shared" si="22"/>
        <v>0</v>
      </c>
      <c r="N110" s="4">
        <f>800000-400000</f>
        <v>400000</v>
      </c>
      <c r="O110" s="4">
        <f t="shared" si="14"/>
        <v>400000</v>
      </c>
      <c r="P110" s="4">
        <f t="shared" si="15"/>
        <v>0</v>
      </c>
      <c r="Q110" s="4"/>
      <c r="R110" s="4"/>
      <c r="S110" s="4">
        <f t="shared" si="25"/>
        <v>0</v>
      </c>
      <c r="T110" s="4">
        <f t="shared" si="26"/>
        <v>0</v>
      </c>
      <c r="U110" s="4">
        <f t="shared" si="18"/>
        <v>400000</v>
      </c>
      <c r="V110" s="4"/>
      <c r="W110" s="4">
        <f t="shared" si="27"/>
        <v>230000</v>
      </c>
      <c r="X110" s="4"/>
      <c r="Y110" s="4"/>
      <c r="Z110" s="4"/>
      <c r="AA110" s="4">
        <f>170000*2-170000</f>
        <v>170000</v>
      </c>
      <c r="AB110" s="3" t="s">
        <v>2455</v>
      </c>
      <c r="AC110" s="3">
        <v>747000</v>
      </c>
    </row>
    <row r="111" spans="1:46" ht="30" customHeight="1">
      <c r="A111" s="3">
        <f t="shared" si="19"/>
        <v>107</v>
      </c>
      <c r="B111" s="30">
        <v>20025</v>
      </c>
      <c r="C111" s="3" t="s">
        <v>1446</v>
      </c>
      <c r="D111" s="4">
        <v>50000</v>
      </c>
      <c r="E111" s="4"/>
      <c r="F111" s="4">
        <f t="shared" si="13"/>
        <v>50000</v>
      </c>
      <c r="G111" s="4"/>
      <c r="H111" s="4"/>
      <c r="I111" s="4"/>
      <c r="J111" s="4"/>
      <c r="K111" s="4"/>
      <c r="L111" s="4"/>
      <c r="M111" s="4">
        <f t="shared" si="22"/>
        <v>0</v>
      </c>
      <c r="N111" s="4">
        <v>50000</v>
      </c>
      <c r="O111" s="4">
        <f t="shared" si="14"/>
        <v>0</v>
      </c>
      <c r="P111" s="4">
        <f t="shared" si="15"/>
        <v>0</v>
      </c>
      <c r="Q111" s="4"/>
      <c r="R111" s="4"/>
      <c r="S111" s="4">
        <f t="shared" si="25"/>
        <v>0</v>
      </c>
      <c r="T111" s="4">
        <f t="shared" si="26"/>
        <v>0</v>
      </c>
      <c r="U111" s="4">
        <f t="shared" si="18"/>
        <v>50000</v>
      </c>
      <c r="V111" s="4"/>
      <c r="W111" s="4">
        <f t="shared" si="27"/>
        <v>0</v>
      </c>
      <c r="X111" s="4"/>
      <c r="Y111" s="4"/>
      <c r="Z111" s="4"/>
      <c r="AA111" s="4">
        <v>50000</v>
      </c>
      <c r="AB111" s="3" t="s">
        <v>689</v>
      </c>
      <c r="AC111" s="3">
        <v>747000</v>
      </c>
    </row>
    <row r="112" spans="1:46" ht="30" customHeight="1">
      <c r="A112" s="3">
        <f t="shared" si="19"/>
        <v>108</v>
      </c>
      <c r="B112" s="30">
        <v>20026</v>
      </c>
      <c r="C112" s="3" t="s">
        <v>1448</v>
      </c>
      <c r="D112" s="4">
        <v>50000</v>
      </c>
      <c r="E112" s="4"/>
      <c r="F112" s="4">
        <f t="shared" si="13"/>
        <v>50000</v>
      </c>
      <c r="G112" s="4"/>
      <c r="H112" s="4"/>
      <c r="I112" s="4"/>
      <c r="J112" s="4"/>
      <c r="K112" s="4"/>
      <c r="L112" s="4"/>
      <c r="M112" s="4">
        <f t="shared" si="22"/>
        <v>0</v>
      </c>
      <c r="N112" s="4">
        <v>50000</v>
      </c>
      <c r="O112" s="4">
        <f t="shared" si="14"/>
        <v>0</v>
      </c>
      <c r="P112" s="4">
        <f t="shared" si="15"/>
        <v>0</v>
      </c>
      <c r="Q112" s="4"/>
      <c r="R112" s="4"/>
      <c r="S112" s="4">
        <f t="shared" si="25"/>
        <v>0</v>
      </c>
      <c r="T112" s="4">
        <f t="shared" si="26"/>
        <v>0</v>
      </c>
      <c r="U112" s="4">
        <f t="shared" si="18"/>
        <v>50000</v>
      </c>
      <c r="V112" s="4"/>
      <c r="W112" s="4">
        <f t="shared" si="27"/>
        <v>0</v>
      </c>
      <c r="X112" s="4"/>
      <c r="Y112" s="4"/>
      <c r="Z112" s="4"/>
      <c r="AA112" s="4">
        <v>50000</v>
      </c>
      <c r="AB112" s="3" t="s">
        <v>689</v>
      </c>
      <c r="AC112" s="3">
        <v>747000</v>
      </c>
    </row>
    <row r="113" spans="1:46" ht="30" customHeight="1">
      <c r="A113" s="3">
        <f t="shared" si="19"/>
        <v>109</v>
      </c>
      <c r="B113" s="30">
        <v>20027</v>
      </c>
      <c r="C113" s="3" t="s">
        <v>1449</v>
      </c>
      <c r="D113" s="4">
        <v>82800</v>
      </c>
      <c r="E113" s="4"/>
      <c r="F113" s="4">
        <f t="shared" si="13"/>
        <v>82800</v>
      </c>
      <c r="G113" s="4">
        <v>0</v>
      </c>
      <c r="H113" s="4">
        <v>0</v>
      </c>
      <c r="I113" s="4">
        <v>0</v>
      </c>
      <c r="J113" s="4">
        <v>0</v>
      </c>
      <c r="K113" s="4">
        <f>SUM(I113:J113)</f>
        <v>0</v>
      </c>
      <c r="L113" s="4">
        <f>H113+K113</f>
        <v>0</v>
      </c>
      <c r="M113" s="4">
        <f t="shared" si="22"/>
        <v>0</v>
      </c>
      <c r="N113" s="4">
        <v>82800</v>
      </c>
      <c r="O113" s="4">
        <f t="shared" si="14"/>
        <v>0</v>
      </c>
      <c r="P113" s="4">
        <f t="shared" si="15"/>
        <v>0</v>
      </c>
      <c r="Q113" s="4"/>
      <c r="R113" s="4"/>
      <c r="S113" s="4">
        <f t="shared" si="25"/>
        <v>0</v>
      </c>
      <c r="T113" s="4">
        <f t="shared" si="26"/>
        <v>0</v>
      </c>
      <c r="U113" s="4">
        <f t="shared" si="18"/>
        <v>82800</v>
      </c>
      <c r="V113" s="4"/>
      <c r="W113" s="4">
        <f t="shared" si="27"/>
        <v>0</v>
      </c>
      <c r="X113" s="4"/>
      <c r="Y113" s="4"/>
      <c r="Z113" s="4"/>
      <c r="AA113" s="4">
        <v>82800</v>
      </c>
      <c r="AB113" s="3" t="s">
        <v>689</v>
      </c>
      <c r="AC113" s="3">
        <v>747000</v>
      </c>
    </row>
    <row r="114" spans="1:46" ht="30" customHeight="1">
      <c r="A114" s="3">
        <f t="shared" si="19"/>
        <v>110</v>
      </c>
      <c r="B114" s="30">
        <v>20028</v>
      </c>
      <c r="C114" s="3" t="s">
        <v>2225</v>
      </c>
      <c r="D114" s="4">
        <f>270000+350000</f>
        <v>620000</v>
      </c>
      <c r="E114" s="4"/>
      <c r="F114" s="4">
        <f t="shared" si="13"/>
        <v>620000</v>
      </c>
      <c r="G114" s="4"/>
      <c r="H114" s="4"/>
      <c r="I114" s="4"/>
      <c r="J114" s="4"/>
      <c r="K114" s="4"/>
      <c r="L114" s="4"/>
      <c r="M114" s="4">
        <f t="shared" si="22"/>
        <v>0</v>
      </c>
      <c r="N114" s="4">
        <v>620000</v>
      </c>
      <c r="O114" s="4">
        <f t="shared" si="14"/>
        <v>0</v>
      </c>
      <c r="P114" s="4">
        <f t="shared" si="15"/>
        <v>0</v>
      </c>
      <c r="Q114" s="4"/>
      <c r="R114" s="4"/>
      <c r="S114" s="4">
        <f t="shared" si="25"/>
        <v>0</v>
      </c>
      <c r="T114" s="4">
        <f t="shared" si="26"/>
        <v>0</v>
      </c>
      <c r="U114" s="4">
        <f t="shared" si="18"/>
        <v>620000</v>
      </c>
      <c r="V114" s="4"/>
      <c r="W114" s="4">
        <f t="shared" si="27"/>
        <v>620000</v>
      </c>
      <c r="X114" s="4"/>
      <c r="Y114" s="4"/>
      <c r="Z114" s="4"/>
      <c r="AA114" s="4"/>
      <c r="AB114" s="3" t="s">
        <v>1817</v>
      </c>
      <c r="AC114" s="3">
        <v>810000</v>
      </c>
    </row>
    <row r="115" spans="1:46" ht="30" customHeight="1">
      <c r="A115" s="3">
        <f t="shared" si="19"/>
        <v>111</v>
      </c>
      <c r="B115" s="30">
        <v>20029</v>
      </c>
      <c r="C115" s="3" t="s">
        <v>1452</v>
      </c>
      <c r="D115" s="4">
        <v>2000000</v>
      </c>
      <c r="E115" s="4"/>
      <c r="F115" s="4">
        <f t="shared" si="13"/>
        <v>2000000</v>
      </c>
      <c r="G115" s="4"/>
      <c r="H115" s="4"/>
      <c r="I115" s="4"/>
      <c r="J115" s="4"/>
      <c r="K115" s="4"/>
      <c r="L115" s="4"/>
      <c r="M115" s="4">
        <f t="shared" si="22"/>
        <v>0</v>
      </c>
      <c r="N115" s="4">
        <f>2000000-1000000</f>
        <v>1000000</v>
      </c>
      <c r="O115" s="4">
        <f t="shared" si="14"/>
        <v>1000000</v>
      </c>
      <c r="P115" s="4">
        <f t="shared" si="15"/>
        <v>0</v>
      </c>
      <c r="Q115" s="4"/>
      <c r="R115" s="4"/>
      <c r="S115" s="4">
        <f t="shared" si="25"/>
        <v>0</v>
      </c>
      <c r="T115" s="4">
        <f t="shared" si="26"/>
        <v>0</v>
      </c>
      <c r="U115" s="4">
        <f t="shared" si="18"/>
        <v>1000000</v>
      </c>
      <c r="V115" s="4"/>
      <c r="W115" s="4">
        <f t="shared" si="27"/>
        <v>1000000</v>
      </c>
      <c r="X115" s="4"/>
      <c r="Y115" s="4"/>
      <c r="Z115" s="4"/>
      <c r="AA115" s="4"/>
      <c r="AB115" s="30" t="s">
        <v>2365</v>
      </c>
      <c r="AC115" s="3">
        <v>848000</v>
      </c>
    </row>
    <row r="116" spans="1:46" ht="30" customHeight="1">
      <c r="A116" s="3">
        <f t="shared" si="19"/>
        <v>112</v>
      </c>
      <c r="B116" s="30">
        <v>20030</v>
      </c>
      <c r="C116" s="3" t="s">
        <v>1457</v>
      </c>
      <c r="D116" s="4">
        <f>6000000+2700000</f>
        <v>8700000</v>
      </c>
      <c r="E116" s="4"/>
      <c r="F116" s="4">
        <f t="shared" si="13"/>
        <v>8700000</v>
      </c>
      <c r="G116" s="4">
        <v>0</v>
      </c>
      <c r="H116" s="4">
        <v>0</v>
      </c>
      <c r="I116" s="4">
        <v>0</v>
      </c>
      <c r="J116" s="4">
        <v>0</v>
      </c>
      <c r="K116" s="4">
        <f>SUM(I116:J116)</f>
        <v>0</v>
      </c>
      <c r="L116" s="4">
        <f>H116+K116</f>
        <v>0</v>
      </c>
      <c r="M116" s="4">
        <f t="shared" si="22"/>
        <v>0</v>
      </c>
      <c r="N116" s="4">
        <f>6000000+2700000-2200000</f>
        <v>6500000</v>
      </c>
      <c r="O116" s="4">
        <f t="shared" si="14"/>
        <v>2200000</v>
      </c>
      <c r="P116" s="4">
        <f t="shared" si="15"/>
        <v>0</v>
      </c>
      <c r="Q116" s="4"/>
      <c r="R116" s="4"/>
      <c r="S116" s="4">
        <f t="shared" si="25"/>
        <v>0</v>
      </c>
      <c r="T116" s="4">
        <f t="shared" si="26"/>
        <v>0</v>
      </c>
      <c r="U116" s="4">
        <f t="shared" si="18"/>
        <v>6500000</v>
      </c>
      <c r="V116" s="4">
        <f>U116-AA116-W116-Z116</f>
        <v>3000000</v>
      </c>
      <c r="W116" s="4">
        <v>3500000</v>
      </c>
      <c r="X116" s="4"/>
      <c r="Y116" s="4"/>
      <c r="Z116" s="4"/>
      <c r="AA116" s="4"/>
      <c r="AB116" s="3" t="s">
        <v>1458</v>
      </c>
      <c r="AC116" s="3">
        <v>810000</v>
      </c>
    </row>
    <row r="117" spans="1:46" ht="30" customHeight="1">
      <c r="A117" s="3">
        <f t="shared" si="19"/>
        <v>113</v>
      </c>
      <c r="B117" s="30">
        <v>20031</v>
      </c>
      <c r="C117" s="3" t="s">
        <v>1462</v>
      </c>
      <c r="D117" s="4">
        <f>500000-300000</f>
        <v>200000</v>
      </c>
      <c r="E117" s="4"/>
      <c r="F117" s="4">
        <f t="shared" si="13"/>
        <v>200000</v>
      </c>
      <c r="G117" s="4"/>
      <c r="H117" s="4"/>
      <c r="I117" s="4"/>
      <c r="J117" s="4"/>
      <c r="K117" s="4"/>
      <c r="L117" s="4"/>
      <c r="M117" s="4"/>
      <c r="N117" s="4">
        <f>500000-300000</f>
        <v>200000</v>
      </c>
      <c r="O117" s="4">
        <f t="shared" si="14"/>
        <v>0</v>
      </c>
      <c r="P117" s="4">
        <f t="shared" si="15"/>
        <v>0</v>
      </c>
      <c r="Q117" s="4"/>
      <c r="R117" s="4"/>
      <c r="S117" s="4">
        <f t="shared" si="25"/>
        <v>0</v>
      </c>
      <c r="T117" s="4">
        <f t="shared" si="26"/>
        <v>0</v>
      </c>
      <c r="U117" s="4">
        <f t="shared" si="18"/>
        <v>200000</v>
      </c>
      <c r="V117" s="4">
        <f>U117-AA117-W117-Z117</f>
        <v>200000</v>
      </c>
      <c r="W117" s="4"/>
      <c r="X117" s="4"/>
      <c r="Y117" s="4"/>
      <c r="Z117" s="4"/>
      <c r="AA117" s="4"/>
      <c r="AB117" s="3" t="s">
        <v>1463</v>
      </c>
      <c r="AC117" s="3">
        <v>810000</v>
      </c>
    </row>
    <row r="118" spans="1:46" ht="30" customHeight="1">
      <c r="A118" s="3">
        <f t="shared" si="19"/>
        <v>114</v>
      </c>
      <c r="B118" s="30">
        <v>20032</v>
      </c>
      <c r="C118" s="3" t="s">
        <v>1473</v>
      </c>
      <c r="D118" s="4">
        <v>4850000</v>
      </c>
      <c r="E118" s="4"/>
      <c r="F118" s="4">
        <f t="shared" si="13"/>
        <v>4850000</v>
      </c>
      <c r="G118" s="4"/>
      <c r="H118" s="4"/>
      <c r="I118" s="4"/>
      <c r="J118" s="4"/>
      <c r="K118" s="4"/>
      <c r="L118" s="4"/>
      <c r="M118" s="4">
        <f>P118+S118</f>
        <v>0</v>
      </c>
      <c r="N118" s="4">
        <f>4850000-2350000-1500000-500000</f>
        <v>500000</v>
      </c>
      <c r="O118" s="4">
        <f t="shared" si="14"/>
        <v>4350000</v>
      </c>
      <c r="P118" s="4">
        <f t="shared" si="15"/>
        <v>0</v>
      </c>
      <c r="Q118" s="4"/>
      <c r="R118" s="4"/>
      <c r="S118" s="4">
        <f t="shared" si="25"/>
        <v>0</v>
      </c>
      <c r="T118" s="4">
        <f t="shared" si="26"/>
        <v>0</v>
      </c>
      <c r="U118" s="4">
        <f t="shared" si="18"/>
        <v>500000</v>
      </c>
      <c r="V118" s="4">
        <f>U118-AA118-W118-Z118</f>
        <v>500000</v>
      </c>
      <c r="W118" s="4"/>
      <c r="X118" s="4"/>
      <c r="Y118" s="4"/>
      <c r="Z118" s="4"/>
      <c r="AA118" s="4"/>
      <c r="AB118" s="3" t="s">
        <v>1474</v>
      </c>
      <c r="AC118" s="3">
        <v>829000</v>
      </c>
    </row>
    <row r="119" spans="1:46" ht="30" customHeight="1">
      <c r="A119" s="3">
        <f t="shared" si="19"/>
        <v>115</v>
      </c>
      <c r="B119" s="30">
        <v>20033</v>
      </c>
      <c r="C119" s="3" t="s">
        <v>1479</v>
      </c>
      <c r="D119" s="4">
        <v>910000</v>
      </c>
      <c r="E119" s="4"/>
      <c r="F119" s="4">
        <f t="shared" si="13"/>
        <v>910000</v>
      </c>
      <c r="G119" s="4"/>
      <c r="H119" s="4"/>
      <c r="I119" s="4"/>
      <c r="J119" s="4"/>
      <c r="K119" s="4"/>
      <c r="L119" s="4"/>
      <c r="M119" s="4">
        <f>P119+S119</f>
        <v>0</v>
      </c>
      <c r="N119" s="4">
        <v>910000</v>
      </c>
      <c r="O119" s="4">
        <f t="shared" si="14"/>
        <v>0</v>
      </c>
      <c r="P119" s="4">
        <f t="shared" si="15"/>
        <v>0</v>
      </c>
      <c r="Q119" s="4"/>
      <c r="R119" s="4"/>
      <c r="S119" s="4">
        <f t="shared" si="25"/>
        <v>0</v>
      </c>
      <c r="T119" s="4">
        <f t="shared" si="26"/>
        <v>0</v>
      </c>
      <c r="U119" s="4">
        <f t="shared" si="18"/>
        <v>910000</v>
      </c>
      <c r="V119" s="4">
        <f>U119-AA119-W119-Z119</f>
        <v>910000</v>
      </c>
      <c r="W119" s="4"/>
      <c r="X119" s="4"/>
      <c r="Y119" s="4"/>
      <c r="Z119" s="4"/>
      <c r="AA119" s="4"/>
      <c r="AB119" s="3" t="s">
        <v>2456</v>
      </c>
      <c r="AC119" s="3">
        <v>829000</v>
      </c>
    </row>
    <row r="120" spans="1:46" ht="30" customHeight="1">
      <c r="A120" s="3">
        <f t="shared" si="19"/>
        <v>116</v>
      </c>
      <c r="B120" s="30">
        <v>20034</v>
      </c>
      <c r="C120" s="3" t="s">
        <v>1482</v>
      </c>
      <c r="D120" s="4">
        <v>2000000</v>
      </c>
      <c r="E120" s="4"/>
      <c r="F120" s="4">
        <f t="shared" si="13"/>
        <v>2000000</v>
      </c>
      <c r="G120" s="4"/>
      <c r="H120" s="4"/>
      <c r="I120" s="4"/>
      <c r="J120" s="4"/>
      <c r="K120" s="4"/>
      <c r="L120" s="4"/>
      <c r="M120" s="4"/>
      <c r="N120" s="4">
        <v>2000000</v>
      </c>
      <c r="O120" s="4">
        <f t="shared" si="14"/>
        <v>0</v>
      </c>
      <c r="P120" s="4"/>
      <c r="Q120" s="4"/>
      <c r="R120" s="4"/>
      <c r="S120" s="4"/>
      <c r="T120" s="4"/>
      <c r="U120" s="4">
        <f t="shared" si="18"/>
        <v>2000000</v>
      </c>
      <c r="V120" s="4"/>
      <c r="W120" s="4">
        <f t="shared" ref="W120:W125" si="28">U120-V120-AA120</f>
        <v>1000000</v>
      </c>
      <c r="X120" s="4"/>
      <c r="Y120" s="4"/>
      <c r="Z120" s="4"/>
      <c r="AA120" s="4">
        <v>1000000</v>
      </c>
      <c r="AB120" s="3" t="s">
        <v>2329</v>
      </c>
      <c r="AC120" s="3">
        <v>828000</v>
      </c>
    </row>
    <row r="121" spans="1:46" ht="30" customHeight="1">
      <c r="A121" s="3">
        <f t="shared" si="19"/>
        <v>117</v>
      </c>
      <c r="B121" s="30">
        <v>20035</v>
      </c>
      <c r="C121" s="3" t="s">
        <v>1484</v>
      </c>
      <c r="D121" s="4">
        <v>3000000</v>
      </c>
      <c r="E121" s="4"/>
      <c r="F121" s="4">
        <f t="shared" si="13"/>
        <v>3000000</v>
      </c>
      <c r="G121" s="4"/>
      <c r="H121" s="4"/>
      <c r="I121" s="4"/>
      <c r="J121" s="4"/>
      <c r="K121" s="4"/>
      <c r="L121" s="4"/>
      <c r="M121" s="4"/>
      <c r="N121" s="4">
        <f>3000000-1000000-500000-500000</f>
        <v>1000000</v>
      </c>
      <c r="O121" s="4">
        <f t="shared" si="14"/>
        <v>2000000</v>
      </c>
      <c r="P121" s="4"/>
      <c r="Q121" s="4"/>
      <c r="R121" s="4"/>
      <c r="S121" s="4"/>
      <c r="T121" s="4"/>
      <c r="U121" s="4">
        <f t="shared" si="18"/>
        <v>1000000</v>
      </c>
      <c r="V121" s="4"/>
      <c r="W121" s="4">
        <f t="shared" si="28"/>
        <v>1000000</v>
      </c>
      <c r="X121" s="4"/>
      <c r="Y121" s="4"/>
      <c r="Z121" s="4"/>
      <c r="AA121" s="4"/>
      <c r="AB121" s="3" t="s">
        <v>2310</v>
      </c>
      <c r="AC121" s="3">
        <v>828000</v>
      </c>
    </row>
    <row r="122" spans="1:46" s="418" customFormat="1" ht="30" customHeight="1">
      <c r="A122" s="3">
        <f t="shared" si="19"/>
        <v>118</v>
      </c>
      <c r="B122" s="30">
        <v>20036</v>
      </c>
      <c r="C122" s="3" t="s">
        <v>1488</v>
      </c>
      <c r="D122" s="4">
        <v>7800000</v>
      </c>
      <c r="E122" s="4"/>
      <c r="F122" s="4">
        <f t="shared" si="13"/>
        <v>7800000</v>
      </c>
      <c r="G122" s="4"/>
      <c r="H122" s="4"/>
      <c r="I122" s="4"/>
      <c r="J122" s="4"/>
      <c r="K122" s="4"/>
      <c r="L122" s="4"/>
      <c r="M122" s="4"/>
      <c r="N122" s="4">
        <f>500000-300000</f>
        <v>200000</v>
      </c>
      <c r="O122" s="4">
        <f t="shared" si="14"/>
        <v>7600000</v>
      </c>
      <c r="P122" s="4"/>
      <c r="Q122" s="4"/>
      <c r="R122" s="4"/>
      <c r="S122" s="4"/>
      <c r="T122" s="4"/>
      <c r="U122" s="4">
        <f t="shared" si="18"/>
        <v>200000</v>
      </c>
      <c r="V122" s="4"/>
      <c r="W122" s="4">
        <f t="shared" si="28"/>
        <v>200000</v>
      </c>
      <c r="X122" s="4"/>
      <c r="Y122" s="4"/>
      <c r="Z122" s="4"/>
      <c r="AA122" s="4"/>
      <c r="AB122" s="3" t="s">
        <v>2309</v>
      </c>
      <c r="AC122" s="3">
        <v>810000</v>
      </c>
      <c r="AD122" s="462"/>
      <c r="AE122" s="462"/>
      <c r="AF122" s="462"/>
      <c r="AG122" s="462"/>
      <c r="AH122" s="462"/>
      <c r="AI122" s="462"/>
      <c r="AJ122" s="462"/>
      <c r="AK122" s="462"/>
      <c r="AL122" s="462"/>
      <c r="AM122" s="462"/>
      <c r="AN122" s="462"/>
      <c r="AO122" s="462"/>
      <c r="AP122" s="462"/>
      <c r="AQ122" s="462"/>
      <c r="AR122" s="462"/>
      <c r="AS122" s="462"/>
      <c r="AT122" s="462"/>
    </row>
    <row r="123" spans="1:46" ht="30" customHeight="1">
      <c r="A123" s="3">
        <f t="shared" si="19"/>
        <v>119</v>
      </c>
      <c r="B123" s="30">
        <v>20037</v>
      </c>
      <c r="C123" s="3" t="s">
        <v>1490</v>
      </c>
      <c r="D123" s="4">
        <v>2000000</v>
      </c>
      <c r="E123" s="4"/>
      <c r="F123" s="4">
        <f t="shared" si="13"/>
        <v>2000000</v>
      </c>
      <c r="G123" s="4"/>
      <c r="H123" s="4"/>
      <c r="I123" s="4"/>
      <c r="J123" s="4"/>
      <c r="K123" s="4"/>
      <c r="L123" s="4"/>
      <c r="M123" s="4"/>
      <c r="N123" s="4">
        <f>2000000-500000</f>
        <v>1500000</v>
      </c>
      <c r="O123" s="4">
        <f t="shared" si="14"/>
        <v>500000</v>
      </c>
      <c r="P123" s="4"/>
      <c r="Q123" s="4"/>
      <c r="R123" s="4"/>
      <c r="S123" s="4"/>
      <c r="T123" s="4"/>
      <c r="U123" s="4">
        <f t="shared" si="18"/>
        <v>1500000</v>
      </c>
      <c r="V123" s="4"/>
      <c r="W123" s="4">
        <f t="shared" si="28"/>
        <v>500000</v>
      </c>
      <c r="X123" s="4"/>
      <c r="Y123" s="4"/>
      <c r="Z123" s="4"/>
      <c r="AA123" s="4">
        <v>1000000</v>
      </c>
      <c r="AB123" s="3" t="s">
        <v>2328</v>
      </c>
      <c r="AC123" s="3">
        <v>826000</v>
      </c>
    </row>
    <row r="124" spans="1:46" ht="30" customHeight="1">
      <c r="A124" s="3">
        <f t="shared" si="19"/>
        <v>120</v>
      </c>
      <c r="B124" s="30">
        <v>20038</v>
      </c>
      <c r="C124" s="3" t="s">
        <v>1492</v>
      </c>
      <c r="D124" s="4">
        <v>550000</v>
      </c>
      <c r="E124" s="4"/>
      <c r="F124" s="4">
        <f>D124-E124</f>
        <v>550000</v>
      </c>
      <c r="G124" s="4"/>
      <c r="H124" s="4"/>
      <c r="I124" s="4"/>
      <c r="J124" s="4"/>
      <c r="K124" s="4"/>
      <c r="L124" s="4"/>
      <c r="M124" s="4"/>
      <c r="N124" s="4">
        <v>550000</v>
      </c>
      <c r="O124" s="4">
        <f>D124-L124-M124-N124</f>
        <v>0</v>
      </c>
      <c r="P124" s="4"/>
      <c r="Q124" s="4"/>
      <c r="R124" s="4"/>
      <c r="S124" s="4"/>
      <c r="T124" s="4"/>
      <c r="U124" s="4">
        <f>N124-T124</f>
        <v>550000</v>
      </c>
      <c r="V124" s="4"/>
      <c r="W124" s="4">
        <f t="shared" si="28"/>
        <v>550000</v>
      </c>
      <c r="X124" s="4"/>
      <c r="Y124" s="4"/>
      <c r="Z124" s="4"/>
      <c r="AA124" s="4"/>
      <c r="AB124" s="3" t="s">
        <v>1493</v>
      </c>
      <c r="AC124" s="3">
        <v>829000</v>
      </c>
    </row>
    <row r="125" spans="1:46" ht="48.6" customHeight="1">
      <c r="A125" s="3">
        <f t="shared" si="19"/>
        <v>121</v>
      </c>
      <c r="B125" s="30">
        <v>20039</v>
      </c>
      <c r="C125" s="3" t="s">
        <v>2327</v>
      </c>
      <c r="D125" s="4">
        <f>4200000-1000000</f>
        <v>3200000</v>
      </c>
      <c r="E125" s="4"/>
      <c r="F125" s="4">
        <f>D125-E125</f>
        <v>3200000</v>
      </c>
      <c r="G125" s="4"/>
      <c r="H125" s="4"/>
      <c r="I125" s="4"/>
      <c r="J125" s="4"/>
      <c r="K125" s="4"/>
      <c r="L125" s="4"/>
      <c r="M125" s="4"/>
      <c r="N125" s="4">
        <f>4200000-1000000</f>
        <v>3200000</v>
      </c>
      <c r="O125" s="4">
        <f>D125-L125-M125-N125</f>
        <v>0</v>
      </c>
      <c r="P125" s="4"/>
      <c r="Q125" s="4"/>
      <c r="R125" s="4"/>
      <c r="S125" s="4"/>
      <c r="T125" s="4"/>
      <c r="U125" s="4">
        <f>N125-T125</f>
        <v>3200000</v>
      </c>
      <c r="V125" s="4"/>
      <c r="W125" s="4">
        <f t="shared" si="28"/>
        <v>3200000</v>
      </c>
      <c r="X125" s="4"/>
      <c r="Y125" s="4"/>
      <c r="Z125" s="4"/>
      <c r="AA125" s="4"/>
      <c r="AB125" s="3" t="s">
        <v>2457</v>
      </c>
      <c r="AC125" s="3">
        <v>720000</v>
      </c>
    </row>
    <row r="126" spans="1:46" ht="30" customHeight="1">
      <c r="A126" s="3">
        <f t="shared" si="19"/>
        <v>122</v>
      </c>
      <c r="B126" s="30">
        <v>20040</v>
      </c>
      <c r="C126" s="3" t="s">
        <v>2306</v>
      </c>
      <c r="D126" s="4">
        <v>10000000</v>
      </c>
      <c r="E126" s="4"/>
      <c r="F126" s="4">
        <f t="shared" si="13"/>
        <v>10000000</v>
      </c>
      <c r="G126" s="4"/>
      <c r="H126" s="4"/>
      <c r="I126" s="4"/>
      <c r="J126" s="4"/>
      <c r="K126" s="4"/>
      <c r="L126" s="4"/>
      <c r="M126" s="4"/>
      <c r="N126" s="4">
        <f>10000000-2000000-6000000-1000000</f>
        <v>1000000</v>
      </c>
      <c r="O126" s="4">
        <f t="shared" si="14"/>
        <v>9000000</v>
      </c>
      <c r="P126" s="4"/>
      <c r="Q126" s="4"/>
      <c r="R126" s="4"/>
      <c r="S126" s="4"/>
      <c r="T126" s="4"/>
      <c r="U126" s="4">
        <f t="shared" si="18"/>
        <v>1000000</v>
      </c>
      <c r="V126" s="4"/>
      <c r="W126" s="4"/>
      <c r="X126" s="4"/>
      <c r="Y126" s="4"/>
      <c r="Z126" s="4"/>
      <c r="AA126" s="4">
        <f>U126</f>
        <v>1000000</v>
      </c>
      <c r="AB126" s="3" t="s">
        <v>2458</v>
      </c>
      <c r="AC126" s="3">
        <v>764000</v>
      </c>
    </row>
    <row r="127" spans="1:46" s="764" customFormat="1" ht="30" customHeight="1">
      <c r="A127" s="762">
        <f>A126</f>
        <v>122</v>
      </c>
      <c r="B127" s="762"/>
      <c r="C127" s="762" t="s">
        <v>94</v>
      </c>
      <c r="D127" s="763">
        <f t="shared" ref="D127:AA127" si="29">SUM(D5:D126)</f>
        <v>806482978</v>
      </c>
      <c r="E127" s="763">
        <f t="shared" si="29"/>
        <v>702118212</v>
      </c>
      <c r="F127" s="763">
        <f t="shared" si="29"/>
        <v>104364766</v>
      </c>
      <c r="G127" s="763">
        <f t="shared" si="29"/>
        <v>518658778</v>
      </c>
      <c r="H127" s="763">
        <f t="shared" si="29"/>
        <v>421111924</v>
      </c>
      <c r="I127" s="763">
        <f t="shared" si="29"/>
        <v>23248948</v>
      </c>
      <c r="J127" s="763">
        <f t="shared" si="29"/>
        <v>45388313</v>
      </c>
      <c r="K127" s="763">
        <f t="shared" si="29"/>
        <v>68637261</v>
      </c>
      <c r="L127" s="763">
        <f t="shared" si="29"/>
        <v>489749185</v>
      </c>
      <c r="M127" s="763">
        <f t="shared" si="29"/>
        <v>31121559</v>
      </c>
      <c r="N127" s="763">
        <f t="shared" si="29"/>
        <v>84404800</v>
      </c>
      <c r="O127" s="763">
        <f t="shared" si="29"/>
        <v>201207434</v>
      </c>
      <c r="P127" s="763">
        <f t="shared" si="29"/>
        <v>28909593</v>
      </c>
      <c r="Q127" s="763">
        <f t="shared" si="29"/>
        <v>2020000</v>
      </c>
      <c r="R127" s="763">
        <f t="shared" si="29"/>
        <v>300000</v>
      </c>
      <c r="S127" s="763">
        <f t="shared" si="29"/>
        <v>2320000</v>
      </c>
      <c r="T127" s="763">
        <f t="shared" si="29"/>
        <v>108034</v>
      </c>
      <c r="U127" s="763">
        <f t="shared" si="29"/>
        <v>84296766</v>
      </c>
      <c r="V127" s="763">
        <f t="shared" si="29"/>
        <v>22084574</v>
      </c>
      <c r="W127" s="763">
        <f t="shared" si="29"/>
        <v>44644649</v>
      </c>
      <c r="X127" s="763">
        <f t="shared" si="29"/>
        <v>0</v>
      </c>
      <c r="Y127" s="763">
        <f t="shared" si="29"/>
        <v>0</v>
      </c>
      <c r="Z127" s="763">
        <f t="shared" si="29"/>
        <v>0</v>
      </c>
      <c r="AA127" s="763">
        <f t="shared" si="29"/>
        <v>17567543</v>
      </c>
      <c r="AB127" s="762"/>
      <c r="AC127" s="762"/>
      <c r="AD127" s="462"/>
      <c r="AE127" s="462"/>
      <c r="AF127" s="462"/>
      <c r="AG127" s="462"/>
      <c r="AH127" s="462"/>
      <c r="AI127" s="462"/>
      <c r="AJ127" s="462"/>
      <c r="AK127" s="462"/>
      <c r="AL127" s="462"/>
      <c r="AM127" s="462"/>
      <c r="AN127" s="462"/>
      <c r="AO127" s="462"/>
      <c r="AP127" s="462"/>
      <c r="AQ127" s="462"/>
      <c r="AR127" s="462"/>
      <c r="AS127" s="462"/>
      <c r="AT127" s="462"/>
    </row>
    <row r="128" spans="1:46" s="649" customFormat="1" ht="15" hidden="1">
      <c r="A128" s="645"/>
      <c r="B128" s="273"/>
      <c r="C128" s="646"/>
      <c r="D128" s="646"/>
      <c r="E128" s="274"/>
      <c r="F128" s="274"/>
      <c r="G128" s="274"/>
      <c r="H128" s="274"/>
      <c r="I128" s="274"/>
      <c r="J128" s="274"/>
      <c r="K128" s="274"/>
      <c r="L128" s="274">
        <f>H127+K127</f>
        <v>489749185</v>
      </c>
      <c r="M128" s="274">
        <f>P127+S127-T127</f>
        <v>31121559</v>
      </c>
      <c r="N128" s="274"/>
      <c r="O128" s="274"/>
      <c r="P128" s="274">
        <f>G127-L127</f>
        <v>28909593</v>
      </c>
      <c r="Q128" s="274"/>
      <c r="R128" s="274"/>
      <c r="S128" s="274"/>
      <c r="T128" s="274"/>
      <c r="U128" s="273"/>
      <c r="V128" s="273"/>
      <c r="W128" s="273"/>
      <c r="X128" s="273"/>
      <c r="Y128" s="273"/>
      <c r="Z128" s="273"/>
      <c r="AA128" s="273"/>
      <c r="AB128" s="645"/>
      <c r="AC128" s="273"/>
      <c r="AD128" s="462"/>
      <c r="AE128" s="462"/>
      <c r="AF128" s="462"/>
      <c r="AG128" s="462"/>
      <c r="AH128" s="462"/>
      <c r="AI128" s="462"/>
      <c r="AJ128" s="462"/>
      <c r="AK128" s="462"/>
      <c r="AL128" s="462"/>
      <c r="AM128" s="462"/>
      <c r="AN128" s="462"/>
      <c r="AO128" s="462"/>
      <c r="AP128" s="462"/>
      <c r="AQ128" s="462"/>
      <c r="AR128" s="462"/>
      <c r="AS128" s="462"/>
      <c r="AT128" s="462"/>
    </row>
    <row r="129" spans="1:46" s="649" customFormat="1" ht="15">
      <c r="A129" s="645"/>
      <c r="B129" s="273"/>
      <c r="C129" s="646"/>
      <c r="D129" s="646"/>
      <c r="E129" s="274"/>
      <c r="F129" s="274"/>
      <c r="G129" s="274"/>
      <c r="H129" s="274"/>
      <c r="I129" s="274"/>
      <c r="J129" s="274"/>
      <c r="K129" s="274"/>
      <c r="L129" s="274"/>
      <c r="M129" s="274"/>
      <c r="N129" s="274"/>
      <c r="O129" s="274"/>
      <c r="P129" s="274"/>
      <c r="Q129" s="274"/>
      <c r="R129" s="274"/>
      <c r="S129" s="274"/>
      <c r="T129" s="274"/>
      <c r="U129" s="274"/>
      <c r="V129" s="273"/>
      <c r="W129" s="273"/>
      <c r="X129" s="273"/>
      <c r="Y129" s="273"/>
      <c r="Z129" s="273"/>
      <c r="AA129" s="273"/>
      <c r="AB129" s="645"/>
      <c r="AC129" s="273"/>
      <c r="AD129" s="462"/>
      <c r="AE129" s="462"/>
      <c r="AF129" s="462"/>
      <c r="AG129" s="462"/>
      <c r="AH129" s="462"/>
      <c r="AI129" s="462"/>
      <c r="AJ129" s="462"/>
      <c r="AK129" s="462"/>
      <c r="AL129" s="462"/>
      <c r="AM129" s="462"/>
      <c r="AN129" s="462"/>
      <c r="AO129" s="462"/>
      <c r="AP129" s="462"/>
      <c r="AQ129" s="462"/>
      <c r="AR129" s="462"/>
      <c r="AS129" s="462"/>
      <c r="AT129" s="462"/>
    </row>
    <row r="130" spans="1:46" s="649" customFormat="1" ht="15.75">
      <c r="A130" s="645"/>
      <c r="B130" s="273"/>
      <c r="C130" s="654"/>
      <c r="D130" s="274"/>
      <c r="E130" s="274"/>
      <c r="F130" s="274"/>
      <c r="G130" s="274"/>
      <c r="H130" s="274"/>
      <c r="I130" s="274"/>
      <c r="J130" s="274"/>
      <c r="K130" s="274"/>
      <c r="L130" s="274"/>
      <c r="M130" s="274"/>
      <c r="N130" s="274"/>
      <c r="O130" s="274"/>
      <c r="P130" s="274"/>
      <c r="Q130" s="274"/>
      <c r="R130" s="274"/>
      <c r="S130" s="274"/>
      <c r="T130" s="274"/>
      <c r="U130" s="273"/>
      <c r="V130" s="273"/>
      <c r="W130" s="273"/>
      <c r="X130" s="273"/>
      <c r="Y130" s="273"/>
      <c r="Z130" s="273"/>
      <c r="AA130" s="273"/>
      <c r="AB130" s="645"/>
      <c r="AC130" s="273"/>
      <c r="AD130" s="462"/>
      <c r="AE130" s="462"/>
      <c r="AF130" s="462"/>
      <c r="AG130" s="462"/>
      <c r="AH130" s="462"/>
      <c r="AI130" s="462"/>
      <c r="AJ130" s="462"/>
      <c r="AK130" s="462"/>
      <c r="AL130" s="462"/>
      <c r="AM130" s="462"/>
      <c r="AN130" s="462"/>
      <c r="AO130" s="462"/>
      <c r="AP130" s="462"/>
      <c r="AQ130" s="462"/>
      <c r="AR130" s="462"/>
      <c r="AS130" s="462"/>
      <c r="AT130" s="462"/>
    </row>
    <row r="132" spans="1:46">
      <c r="N132" s="832"/>
      <c r="O132" s="194"/>
      <c r="P132" s="194"/>
      <c r="Q132" s="194"/>
      <c r="R132" s="194"/>
      <c r="S132" s="194"/>
      <c r="T132" s="194"/>
      <c r="U132" s="194"/>
      <c r="V132" s="194"/>
    </row>
    <row r="133" spans="1:46">
      <c r="N133" s="194"/>
      <c r="O133" s="194"/>
      <c r="P133" s="194"/>
      <c r="Q133" s="194"/>
      <c r="R133" s="194"/>
      <c r="S133" s="194"/>
      <c r="T133" s="194"/>
      <c r="U133" s="194"/>
      <c r="V133" s="194"/>
    </row>
    <row r="134" spans="1:46">
      <c r="N134" s="194"/>
      <c r="O134" s="194"/>
      <c r="P134" s="194"/>
      <c r="Q134" s="194"/>
      <c r="R134" s="194"/>
      <c r="S134" s="194"/>
      <c r="T134" s="194"/>
      <c r="U134" s="194"/>
      <c r="V134" s="194"/>
    </row>
    <row r="135" spans="1:46">
      <c r="N135" s="194"/>
      <c r="O135" s="194"/>
      <c r="P135" s="194"/>
      <c r="Q135" s="194"/>
      <c r="R135" s="194"/>
      <c r="S135" s="194"/>
      <c r="T135" s="194"/>
      <c r="U135" s="194"/>
      <c r="V135" s="194"/>
    </row>
    <row r="136" spans="1:46">
      <c r="N136" s="194"/>
      <c r="O136" s="194"/>
      <c r="P136" s="194"/>
      <c r="Q136" s="194"/>
      <c r="R136" s="194"/>
      <c r="S136" s="194"/>
      <c r="T136" s="194"/>
      <c r="U136" s="194"/>
      <c r="V136" s="194"/>
    </row>
    <row r="137" spans="1:46">
      <c r="N137" s="194"/>
      <c r="O137" s="194"/>
      <c r="P137" s="194"/>
      <c r="Q137" s="194"/>
      <c r="R137" s="194"/>
      <c r="S137" s="194"/>
      <c r="T137" s="194"/>
      <c r="U137" s="194"/>
      <c r="V137" s="194"/>
    </row>
    <row r="138" spans="1:46">
      <c r="N138" s="194"/>
      <c r="O138" s="194"/>
      <c r="P138" s="194"/>
      <c r="Q138" s="194"/>
      <c r="R138" s="194"/>
      <c r="S138" s="194"/>
      <c r="T138" s="194"/>
      <c r="U138" s="194"/>
      <c r="V138" s="194"/>
    </row>
    <row r="139" spans="1:46">
      <c r="N139" s="194"/>
      <c r="O139" s="194"/>
      <c r="P139" s="194"/>
      <c r="Q139" s="194"/>
      <c r="R139" s="194"/>
      <c r="S139" s="194"/>
      <c r="T139" s="194"/>
      <c r="U139" s="194"/>
      <c r="V139" s="194"/>
    </row>
    <row r="140" spans="1:46">
      <c r="N140" s="194"/>
      <c r="O140" s="194"/>
      <c r="P140" s="194"/>
      <c r="Q140" s="194"/>
      <c r="R140" s="194"/>
      <c r="S140" s="194"/>
      <c r="T140" s="194"/>
      <c r="U140" s="194"/>
      <c r="V140" s="194"/>
    </row>
    <row r="141" spans="1:46">
      <c r="N141" s="194"/>
      <c r="O141" s="194"/>
      <c r="P141" s="194"/>
      <c r="Q141" s="194"/>
      <c r="R141" s="194"/>
      <c r="S141" s="194"/>
      <c r="T141" s="194"/>
      <c r="U141" s="194"/>
      <c r="V141" s="194"/>
    </row>
    <row r="142" spans="1:46">
      <c r="N142" s="194"/>
      <c r="O142" s="194"/>
      <c r="P142" s="194"/>
      <c r="Q142" s="194"/>
      <c r="R142" s="194"/>
      <c r="S142" s="194"/>
      <c r="T142" s="194"/>
      <c r="U142" s="194"/>
      <c r="V142" s="194"/>
    </row>
    <row r="143" spans="1:46">
      <c r="N143" s="194"/>
      <c r="O143" s="194"/>
      <c r="P143" s="194"/>
      <c r="Q143" s="194"/>
      <c r="R143" s="194"/>
      <c r="S143" s="194"/>
      <c r="T143" s="194"/>
      <c r="U143" s="194"/>
      <c r="V143" s="194"/>
    </row>
    <row r="144" spans="1:46">
      <c r="N144" s="194"/>
      <c r="O144" s="194"/>
      <c r="P144" s="194"/>
      <c r="Q144" s="194"/>
      <c r="R144" s="194"/>
      <c r="S144" s="194"/>
      <c r="T144" s="194"/>
      <c r="U144" s="194"/>
      <c r="V144" s="194"/>
    </row>
    <row r="145" spans="14:22">
      <c r="N145" s="194"/>
      <c r="O145" s="194"/>
      <c r="P145" s="194"/>
      <c r="Q145" s="194"/>
      <c r="R145" s="194"/>
      <c r="S145" s="194"/>
      <c r="T145" s="194"/>
      <c r="U145" s="194"/>
      <c r="V145" s="194"/>
    </row>
  </sheetData>
  <conditionalFormatting sqref="AB4:AB5">
    <cfRule type="cellIs" dxfId="173" priority="24" operator="equal">
      <formula>0</formula>
    </cfRule>
  </conditionalFormatting>
  <conditionalFormatting sqref="AE4:AF5">
    <cfRule type="cellIs" dxfId="172" priority="23" operator="equal">
      <formula>0</formula>
    </cfRule>
  </conditionalFormatting>
  <conditionalFormatting sqref="AG4">
    <cfRule type="cellIs" dxfId="171" priority="9" operator="equal">
      <formula>0</formula>
    </cfRule>
  </conditionalFormatting>
  <conditionalFormatting sqref="AI4">
    <cfRule type="cellIs" dxfId="170" priority="8" operator="equal">
      <formula>0</formula>
    </cfRule>
  </conditionalFormatting>
  <conditionalFormatting sqref="AJ4">
    <cfRule type="cellIs" dxfId="169" priority="7" operator="equal">
      <formula>0</formula>
    </cfRule>
  </conditionalFormatting>
  <conditionalFormatting sqref="AK4">
    <cfRule type="cellIs" dxfId="168" priority="6" operator="equal">
      <formula>0</formula>
    </cfRule>
  </conditionalFormatting>
  <conditionalFormatting sqref="AN4">
    <cfRule type="cellIs" dxfId="167" priority="4" operator="equal">
      <formula>0</formula>
    </cfRule>
  </conditionalFormatting>
  <conditionalFormatting sqref="U4">
    <cfRule type="cellIs" dxfId="166" priority="3" operator="equal">
      <formula>0</formula>
    </cfRule>
  </conditionalFormatting>
  <conditionalFormatting sqref="AO4">
    <cfRule type="cellIs" dxfId="165" priority="2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T145"/>
  <sheetViews>
    <sheetView showZeros="0" rightToLeft="1" zoomScaleNormal="100" workbookViewId="0">
      <pane xSplit="4" ySplit="4" topLeftCell="L89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8.85546875" defaultRowHeight="12.75"/>
  <cols>
    <col min="1" max="1" width="4.7109375" style="461" customWidth="1"/>
    <col min="2" max="2" width="5.42578125" style="461" customWidth="1"/>
    <col min="3" max="3" width="23" style="461" customWidth="1"/>
    <col min="4" max="4" width="10.42578125" style="461" customWidth="1"/>
    <col min="5" max="11" width="10.42578125" style="461" hidden="1" customWidth="1"/>
    <col min="12" max="15" width="10.42578125" style="461" customWidth="1"/>
    <col min="16" max="19" width="10.42578125" style="461" hidden="1" customWidth="1"/>
    <col min="20" max="23" width="10.42578125" style="461" customWidth="1"/>
    <col min="24" max="26" width="10.42578125" style="461" hidden="1" customWidth="1"/>
    <col min="27" max="27" width="10.42578125" style="461" customWidth="1"/>
    <col min="28" max="28" width="28.140625" style="194" customWidth="1"/>
    <col min="29" max="29" width="8.7109375" style="194" hidden="1" customWidth="1"/>
    <col min="30" max="30" width="38.42578125" style="462" customWidth="1"/>
    <col min="31" max="31" width="33" style="462" customWidth="1"/>
    <col min="32" max="32" width="26.5703125" style="462" customWidth="1"/>
    <col min="33" max="33" width="21.5703125" style="462" customWidth="1"/>
    <col min="34" max="34" width="18" style="462" customWidth="1"/>
    <col min="35" max="35" width="24.5703125" style="462" customWidth="1"/>
    <col min="36" max="36" width="27.28515625" style="462" customWidth="1"/>
    <col min="37" max="37" width="21.28515625" style="462" customWidth="1"/>
    <col min="38" max="38" width="7.42578125" style="462" customWidth="1"/>
    <col min="39" max="39" width="4.7109375" style="462" customWidth="1"/>
    <col min="40" max="41" width="21.28515625" style="462" customWidth="1"/>
    <col min="42" max="43" width="11.28515625" style="462" customWidth="1"/>
    <col min="44" max="44" width="22.28515625" style="462" customWidth="1"/>
    <col min="45" max="45" width="12.42578125" style="462" customWidth="1"/>
    <col min="46" max="46" width="14.85546875" style="462" customWidth="1"/>
    <col min="47" max="16384" width="8.85546875" style="194"/>
  </cols>
  <sheetData>
    <row r="1" spans="1:46" ht="15">
      <c r="A1" s="28"/>
      <c r="B1" s="384"/>
      <c r="C1" s="38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2"/>
    </row>
    <row r="2" spans="1:46" ht="18.75">
      <c r="A2" s="63" t="s">
        <v>1137</v>
      </c>
      <c r="B2" s="63"/>
      <c r="C2" s="38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2"/>
    </row>
    <row r="3" spans="1:46" ht="20.25">
      <c r="B3" s="466"/>
      <c r="C3" s="466"/>
      <c r="D3" s="14"/>
      <c r="E3" s="14"/>
      <c r="F3" s="14"/>
      <c r="G3" s="14"/>
      <c r="H3" s="14"/>
      <c r="I3" s="14"/>
      <c r="J3" s="14"/>
      <c r="K3" s="14"/>
      <c r="L3" s="14"/>
      <c r="M3" s="467"/>
      <c r="N3" s="14"/>
      <c r="O3" s="14"/>
      <c r="P3" s="14"/>
      <c r="Q3" s="14"/>
      <c r="R3" s="14"/>
      <c r="S3" s="14"/>
      <c r="T3" s="14"/>
      <c r="U3" s="12"/>
      <c r="V3" s="12"/>
      <c r="W3" s="12"/>
      <c r="X3" s="12"/>
      <c r="Y3" s="12"/>
      <c r="Z3" s="12"/>
      <c r="AA3" s="12"/>
      <c r="AB3" s="18"/>
      <c r="AC3" s="12"/>
    </row>
    <row r="4" spans="1:46" s="472" customFormat="1" ht="59.45" customHeight="1">
      <c r="A4" s="372" t="s">
        <v>0</v>
      </c>
      <c r="B4" s="372" t="s">
        <v>1</v>
      </c>
      <c r="C4" s="372" t="s">
        <v>2</v>
      </c>
      <c r="D4" s="372" t="s">
        <v>3</v>
      </c>
      <c r="E4" s="372" t="s">
        <v>4</v>
      </c>
      <c r="F4" s="372" t="s">
        <v>5</v>
      </c>
      <c r="G4" s="372" t="s">
        <v>6</v>
      </c>
      <c r="H4" s="372" t="s">
        <v>7</v>
      </c>
      <c r="I4" s="372" t="s">
        <v>9</v>
      </c>
      <c r="J4" s="372" t="s">
        <v>153</v>
      </c>
      <c r="K4" s="372" t="s">
        <v>10</v>
      </c>
      <c r="L4" s="372" t="s">
        <v>11</v>
      </c>
      <c r="M4" s="371" t="s">
        <v>891</v>
      </c>
      <c r="N4" s="371" t="s">
        <v>892</v>
      </c>
      <c r="O4" s="371" t="s">
        <v>893</v>
      </c>
      <c r="P4" s="371" t="s">
        <v>12</v>
      </c>
      <c r="Q4" s="371" t="s">
        <v>894</v>
      </c>
      <c r="R4" s="371" t="s">
        <v>895</v>
      </c>
      <c r="S4" s="371" t="s">
        <v>896</v>
      </c>
      <c r="T4" s="371" t="s">
        <v>897</v>
      </c>
      <c r="U4" s="525" t="s">
        <v>898</v>
      </c>
      <c r="V4" s="372" t="s">
        <v>13</v>
      </c>
      <c r="W4" s="372" t="s">
        <v>14</v>
      </c>
      <c r="X4" s="372" t="s">
        <v>15</v>
      </c>
      <c r="Y4" s="372" t="s">
        <v>265</v>
      </c>
      <c r="Z4" s="372" t="s">
        <v>749</v>
      </c>
      <c r="AA4" s="372" t="s">
        <v>84</v>
      </c>
      <c r="AB4" s="525" t="s">
        <v>304</v>
      </c>
      <c r="AC4" s="372" t="s">
        <v>16</v>
      </c>
      <c r="AD4" s="462"/>
      <c r="AE4" s="462"/>
      <c r="AF4" s="462"/>
      <c r="AG4" s="462"/>
      <c r="AH4" s="462"/>
      <c r="AI4" s="462"/>
      <c r="AJ4" s="462"/>
      <c r="AK4" s="462"/>
      <c r="AL4" s="462"/>
      <c r="AM4" s="462"/>
      <c r="AN4" s="462"/>
      <c r="AO4" s="462"/>
      <c r="AP4" s="462"/>
      <c r="AQ4" s="462"/>
      <c r="AR4" s="462"/>
      <c r="AS4" s="462"/>
      <c r="AT4" s="462"/>
    </row>
    <row r="5" spans="1:46" s="479" customFormat="1" ht="45">
      <c r="A5" s="3">
        <v>1</v>
      </c>
      <c r="B5" s="3">
        <f>'תקציב מינהל תפעול 2022'!B5</f>
        <v>1134</v>
      </c>
      <c r="C5" s="255" t="str">
        <f>'תקציב מינהל תפעול 2022'!C5</f>
        <v>יער עירוני וגינות קהילתיות</v>
      </c>
      <c r="D5" s="4">
        <f>'תקציב מינהל תפעול 2022'!D5</f>
        <v>2805000</v>
      </c>
      <c r="E5" s="4">
        <f>'תקציב מינהל תפעול 2022'!E5</f>
        <v>2795000</v>
      </c>
      <c r="F5" s="4">
        <f>'תקציב מינהל תפעול 2022'!F5</f>
        <v>10000</v>
      </c>
      <c r="G5" s="4">
        <f>'תקציב מינהל תפעול 2022'!G5</f>
        <v>2655000</v>
      </c>
      <c r="H5" s="4">
        <f>'תקציב מינהל תפעול 2022'!H5</f>
        <v>2558095</v>
      </c>
      <c r="I5" s="4">
        <f>'תקציב מינהל תפעול 2022'!I5</f>
        <v>0</v>
      </c>
      <c r="J5" s="4">
        <f>'תקציב מינהל תפעול 2022'!J5</f>
        <v>81315</v>
      </c>
      <c r="K5" s="4">
        <f>'תקציב מינהל תפעול 2022'!K5</f>
        <v>81315</v>
      </c>
      <c r="L5" s="4">
        <f>'תקציב מינהל תפעול 2022'!L5</f>
        <v>2639410</v>
      </c>
      <c r="M5" s="4">
        <f>'תקציב מינהל תפעול 2022'!M5</f>
        <v>15590</v>
      </c>
      <c r="N5" s="4">
        <f>'תקציב מינהל תפעול 2022'!N5</f>
        <v>150000</v>
      </c>
      <c r="O5" s="4">
        <f>'תקציב מינהל תפעול 2022'!O5</f>
        <v>0</v>
      </c>
      <c r="P5" s="4">
        <f>'תקציב מינהל תפעול 2022'!P5</f>
        <v>15590</v>
      </c>
      <c r="Q5" s="4">
        <f>'תקציב מינהל תפעול 2022'!Q5</f>
        <v>0</v>
      </c>
      <c r="R5" s="4">
        <f>'תקציב מינהל תפעול 2022'!R5</f>
        <v>0</v>
      </c>
      <c r="S5" s="4">
        <f>'תקציב מינהל תפעול 2022'!S5</f>
        <v>0</v>
      </c>
      <c r="T5" s="4">
        <f>'תקציב מינהל תפעול 2022'!T5</f>
        <v>0</v>
      </c>
      <c r="U5" s="4">
        <f>'תקציב מינהל תפעול 2022'!U5</f>
        <v>150000</v>
      </c>
      <c r="V5" s="4">
        <f>'תקציב מינהל תפעול 2022'!V5</f>
        <v>150000</v>
      </c>
      <c r="W5" s="4">
        <f>'תקציב מינהל תפעול 2022'!W5</f>
        <v>0</v>
      </c>
      <c r="X5" s="4">
        <f>'תקציב מינהל תפעול 2022'!X5</f>
        <v>0</v>
      </c>
      <c r="Y5" s="4">
        <f>'תקציב מינהל תפעול 2022'!Y5</f>
        <v>0</v>
      </c>
      <c r="Z5" s="4">
        <f>'תקציב מינהל תפעול 2022'!Z5</f>
        <v>0</v>
      </c>
      <c r="AA5" s="4">
        <f>'תקציב מינהל תפעול 2022'!AA5</f>
        <v>0</v>
      </c>
      <c r="AB5" s="255" t="str">
        <f>'תקציב מינהל תפעול 2022'!AB5</f>
        <v>שדרוג תשתיות בגינות קהילתיות וחורשות קיימות. הקמת גינה בגליל ים ונוספת בנווה ישראל.</v>
      </c>
      <c r="AC5" s="3">
        <v>746000</v>
      </c>
      <c r="AD5" s="462"/>
      <c r="AE5" s="462"/>
      <c r="AF5" s="462"/>
      <c r="AG5" s="462"/>
      <c r="AH5" s="462"/>
      <c r="AI5" s="462"/>
      <c r="AJ5" s="462"/>
      <c r="AK5" s="462"/>
      <c r="AL5" s="462"/>
      <c r="AM5" s="462"/>
      <c r="AN5" s="462"/>
      <c r="AO5" s="462"/>
      <c r="AP5" s="462"/>
      <c r="AQ5" s="462"/>
      <c r="AR5" s="462"/>
      <c r="AS5" s="462"/>
      <c r="AT5" s="462"/>
    </row>
    <row r="6" spans="1:46" ht="60">
      <c r="A6" s="3">
        <f t="shared" ref="A6:A69" si="0">A5+1</f>
        <v>2</v>
      </c>
      <c r="B6" s="3">
        <f>'תקציב מינהל תפעול 2022'!B6</f>
        <v>1210</v>
      </c>
      <c r="C6" s="255" t="str">
        <f>'תקציב מינהל תפעול 2022'!C6</f>
        <v>חזיתות בתים שיפוץ</v>
      </c>
      <c r="D6" s="4">
        <f>'תקציב מינהל תפעול 2022'!D6</f>
        <v>113550000</v>
      </c>
      <c r="E6" s="4">
        <f>'תקציב מינהל תפעול 2022'!E6</f>
        <v>113550000</v>
      </c>
      <c r="F6" s="4">
        <f>'תקציב מינהל תפעול 2022'!F6</f>
        <v>0</v>
      </c>
      <c r="G6" s="4">
        <f>'תקציב מינהל תפעול 2022'!G6</f>
        <v>92400000</v>
      </c>
      <c r="H6" s="4">
        <f>'תקציב מינהל תפעול 2022'!H6</f>
        <v>89559774</v>
      </c>
      <c r="I6" s="4">
        <f>'תקציב מינהל תפעול 2022'!I6</f>
        <v>0</v>
      </c>
      <c r="J6" s="4">
        <f>'תקציב מינהל תפעול 2022'!J6</f>
        <v>638005</v>
      </c>
      <c r="K6" s="4">
        <f>'תקציב מינהל תפעול 2022'!K6</f>
        <v>638005</v>
      </c>
      <c r="L6" s="4">
        <f>'תקציב מינהל תפעול 2022'!L6</f>
        <v>90197779</v>
      </c>
      <c r="M6" s="4">
        <f>'תקציב מינהל תפעול 2022'!M6</f>
        <v>2202221</v>
      </c>
      <c r="N6" s="4">
        <f>'תקציב מינהל תפעול 2022'!N6</f>
        <v>10000000</v>
      </c>
      <c r="O6" s="4">
        <f>'תקציב מינהל תפעול 2022'!O6</f>
        <v>11150000</v>
      </c>
      <c r="P6" s="4">
        <f>'תקציב מינהל תפעול 2022'!P6</f>
        <v>2202221</v>
      </c>
      <c r="Q6" s="4">
        <f>'תקציב מינהל תפעול 2022'!Q6</f>
        <v>0</v>
      </c>
      <c r="R6" s="4">
        <f>'תקציב מינהל תפעול 2022'!R6</f>
        <v>0</v>
      </c>
      <c r="S6" s="4">
        <f>'תקציב מינהל תפעול 2022'!S6</f>
        <v>0</v>
      </c>
      <c r="T6" s="4">
        <f>'תקציב מינהל תפעול 2022'!T6</f>
        <v>0</v>
      </c>
      <c r="U6" s="4">
        <f>'תקציב מינהל תפעול 2022'!U6</f>
        <v>10000000</v>
      </c>
      <c r="V6" s="4">
        <f>'תקציב מינהל תפעול 2022'!V6</f>
        <v>0</v>
      </c>
      <c r="W6" s="4">
        <f>'תקציב מינהל תפעול 2022'!W6</f>
        <v>0</v>
      </c>
      <c r="X6" s="4">
        <f>'תקציב מינהל תפעול 2022'!X6</f>
        <v>0</v>
      </c>
      <c r="Y6" s="4">
        <f>'תקציב מינהל תפעול 2022'!Y6</f>
        <v>0</v>
      </c>
      <c r="Z6" s="4">
        <f>'תקציב מינהל תפעול 2022'!Z6</f>
        <v>0</v>
      </c>
      <c r="AA6" s="4">
        <f>'תקציב מינהל תפעול 2022'!AA6</f>
        <v>10000000</v>
      </c>
      <c r="AB6" s="255" t="str">
        <f>'תקציב מינהל תפעול 2022'!AB6</f>
        <v>שיפוץ חזיתות בתים כולל: פיתוח חצרות, חדרי מדרגות, מעלית (רכוש משותף). בשיתוף האגודה לתרבות הדיור.</v>
      </c>
      <c r="AC6" s="3">
        <v>764000</v>
      </c>
    </row>
    <row r="7" spans="1:46" ht="30" customHeight="1">
      <c r="A7" s="3">
        <f t="shared" si="0"/>
        <v>3</v>
      </c>
      <c r="B7" s="3">
        <f>'תקציב מינהל תפעול 2022'!B7</f>
        <v>1247</v>
      </c>
      <c r="C7" s="255" t="str">
        <f>'תקציב מינהל תפעול 2022'!C7</f>
        <v>תכנון ייעוץ הנדסי "סל"</v>
      </c>
      <c r="D7" s="4">
        <f>'תקציב מינהל תפעול 2022'!D7</f>
        <v>9500000</v>
      </c>
      <c r="E7" s="4">
        <f>'תקציב מינהל תפעול 2022'!E7</f>
        <v>9500000</v>
      </c>
      <c r="F7" s="4">
        <f>'תקציב מינהל תפעול 2022'!F7</f>
        <v>0</v>
      </c>
      <c r="G7" s="4">
        <f>'תקציב מינהל תפעול 2022'!G7</f>
        <v>9250000</v>
      </c>
      <c r="H7" s="4">
        <f>'תקציב מינהל תפעול 2022'!H7</f>
        <v>8825451</v>
      </c>
      <c r="I7" s="4">
        <f>'תקציב מינהל תפעול 2022'!I7</f>
        <v>5068</v>
      </c>
      <c r="J7" s="4">
        <f>'תקציב מינהל תפעול 2022'!J7</f>
        <v>399022</v>
      </c>
      <c r="K7" s="4">
        <f>'תקציב מינהל תפעול 2022'!K7</f>
        <v>404090</v>
      </c>
      <c r="L7" s="4">
        <f>'תקציב מינהל תפעול 2022'!L7</f>
        <v>9229541</v>
      </c>
      <c r="M7" s="4">
        <f>'תקציב מינהל תפעול 2022'!M7</f>
        <v>20459</v>
      </c>
      <c r="N7" s="4">
        <f>'תקציב מינהל תפעול 2022'!N7</f>
        <v>200000</v>
      </c>
      <c r="O7" s="4">
        <f>'תקציב מינהל תפעול 2022'!O7</f>
        <v>50000</v>
      </c>
      <c r="P7" s="4">
        <f>'תקציב מינהל תפעול 2022'!P7</f>
        <v>20459</v>
      </c>
      <c r="Q7" s="4">
        <f>'תקציב מינהל תפעול 2022'!Q7</f>
        <v>0</v>
      </c>
      <c r="R7" s="4">
        <f>'תקציב מינהל תפעול 2022'!R7</f>
        <v>0</v>
      </c>
      <c r="S7" s="4">
        <f>'תקציב מינהל תפעול 2022'!S7</f>
        <v>0</v>
      </c>
      <c r="T7" s="4">
        <f>'תקציב מינהל תפעול 2022'!T7</f>
        <v>0</v>
      </c>
      <c r="U7" s="4">
        <f>'תקציב מינהל תפעול 2022'!U7</f>
        <v>200000</v>
      </c>
      <c r="V7" s="4">
        <f>'תקציב מינהל תפעול 2022'!V7</f>
        <v>0</v>
      </c>
      <c r="W7" s="4">
        <f>'תקציב מינהל תפעול 2022'!W7</f>
        <v>200000</v>
      </c>
      <c r="X7" s="4">
        <f>'תקציב מינהל תפעול 2022'!X7</f>
        <v>0</v>
      </c>
      <c r="Y7" s="4">
        <f>'תקציב מינהל תפעול 2022'!Y7</f>
        <v>0</v>
      </c>
      <c r="Z7" s="4">
        <f>'תקציב מינהל תפעול 2022'!Z7</f>
        <v>0</v>
      </c>
      <c r="AA7" s="4">
        <f>'תקציב מינהל תפעול 2022'!AA7</f>
        <v>0</v>
      </c>
      <c r="AB7" s="255" t="str">
        <f>'תקציב מינהל תפעול 2022'!AB7</f>
        <v xml:space="preserve">סל לייעוץ וקידום תכנון הנדסי. </v>
      </c>
      <c r="AC7" s="3">
        <v>732000</v>
      </c>
    </row>
    <row r="8" spans="1:46" ht="30" customHeight="1">
      <c r="A8" s="3">
        <f t="shared" si="0"/>
        <v>4</v>
      </c>
      <c r="B8" s="3">
        <f>'תקציב מינהל תפעול 2022'!B8</f>
        <v>1253</v>
      </c>
      <c r="C8" s="255" t="str">
        <f>'תקציב מינהל תפעול 2022'!C8</f>
        <v>שיפוץ מבני דת ציבוריים</v>
      </c>
      <c r="D8" s="4">
        <f>'תקציב מינהל תפעול 2022'!D8</f>
        <v>5600000</v>
      </c>
      <c r="E8" s="4">
        <f>'תקציב מינהל תפעול 2022'!E8</f>
        <v>5200000</v>
      </c>
      <c r="F8" s="4">
        <f>'תקציב מינהל תפעול 2022'!F8</f>
        <v>400000</v>
      </c>
      <c r="G8" s="4">
        <f>'תקציב מינהל תפעול 2022'!G8</f>
        <v>4900000</v>
      </c>
      <c r="H8" s="4">
        <f>'תקציב מינהל תפעול 2022'!H8</f>
        <v>4676568</v>
      </c>
      <c r="I8" s="4">
        <f>'תקציב מינהל תפעול 2022'!I8</f>
        <v>0</v>
      </c>
      <c r="J8" s="4">
        <f>'תקציב מינהל תפעול 2022'!J8</f>
        <v>126598</v>
      </c>
      <c r="K8" s="4">
        <f>'תקציב מינהל תפעול 2022'!K8</f>
        <v>126598</v>
      </c>
      <c r="L8" s="4">
        <f>'תקציב מינהל תפעול 2022'!L8</f>
        <v>4803166</v>
      </c>
      <c r="M8" s="4">
        <f>'תקציב מינהל תפעול 2022'!M8</f>
        <v>296834</v>
      </c>
      <c r="N8" s="4">
        <f>'תקציב מינהל תפעול 2022'!N8</f>
        <v>500000</v>
      </c>
      <c r="O8" s="4">
        <f>'תקציב מינהל תפעול 2022'!O8</f>
        <v>0</v>
      </c>
      <c r="P8" s="4">
        <f>'תקציב מינהל תפעול 2022'!P8</f>
        <v>96834</v>
      </c>
      <c r="Q8" s="4">
        <f>'תקציב מינהל תפעול 2022'!Q8</f>
        <v>200000</v>
      </c>
      <c r="R8" s="4">
        <f>'תקציב מינהל תפעול 2022'!R8</f>
        <v>0</v>
      </c>
      <c r="S8" s="4">
        <f>'תקציב מינהל תפעול 2022'!S8</f>
        <v>200000</v>
      </c>
      <c r="T8" s="4">
        <f>'תקציב מינהל תפעול 2022'!T8</f>
        <v>0</v>
      </c>
      <c r="U8" s="4">
        <f>'תקציב מינהל תפעול 2022'!U8</f>
        <v>500000</v>
      </c>
      <c r="V8" s="4">
        <f>'תקציב מינהל תפעול 2022'!V8</f>
        <v>0</v>
      </c>
      <c r="W8" s="4">
        <f>'תקציב מינהל תפעול 2022'!W8</f>
        <v>500000</v>
      </c>
      <c r="X8" s="4">
        <f>'תקציב מינהל תפעול 2022'!X8</f>
        <v>0</v>
      </c>
      <c r="Y8" s="4">
        <f>'תקציב מינהל תפעול 2022'!Y8</f>
        <v>0</v>
      </c>
      <c r="Z8" s="4">
        <f>'תקציב מינהל תפעול 2022'!Z8</f>
        <v>0</v>
      </c>
      <c r="AA8" s="4">
        <f>'תקציב מינהל תפעול 2022'!AA8</f>
        <v>0</v>
      </c>
      <c r="AB8" s="255" t="str">
        <f>'תקציב מינהל תפעול 2022'!AB8</f>
        <v>סל לשיפוץ בתי כנסת ע"פ תוכנית שתוגש במהלך השנה.</v>
      </c>
      <c r="AC8" s="3">
        <v>850000</v>
      </c>
    </row>
    <row r="9" spans="1:46" ht="105">
      <c r="A9" s="3">
        <f t="shared" si="0"/>
        <v>5</v>
      </c>
      <c r="B9" s="3">
        <f>'תקציב מינהל תפעול 2022'!B9</f>
        <v>1254</v>
      </c>
      <c r="C9" s="255" t="str">
        <f>'תקציב מינהל תפעול 2022'!C9</f>
        <v xml:space="preserve">שיקום שדרוג,הקמה ונגישות גינות ציבוריות </v>
      </c>
      <c r="D9" s="4">
        <f>'תקציב מינהל תפעול 2022'!D9</f>
        <v>49000000</v>
      </c>
      <c r="E9" s="4">
        <f>'תקציב מינהל תפעול 2022'!E9</f>
        <v>49000000</v>
      </c>
      <c r="F9" s="4">
        <f>'תקציב מינהל תפעול 2022'!F9</f>
        <v>0</v>
      </c>
      <c r="G9" s="4">
        <f>'תקציב מינהל תפעול 2022'!G9</f>
        <v>43072866</v>
      </c>
      <c r="H9" s="4">
        <f>'תקציב מינהל תפעול 2022'!H9</f>
        <v>40003100</v>
      </c>
      <c r="I9" s="4">
        <f>'תקציב מינהל תפעול 2022'!I9</f>
        <v>0</v>
      </c>
      <c r="J9" s="4">
        <f>'תקציב מינהל תפעול 2022'!J9</f>
        <v>3065769</v>
      </c>
      <c r="K9" s="4">
        <f>'תקציב מינהל תפעול 2022'!K9</f>
        <v>3065769</v>
      </c>
      <c r="L9" s="4">
        <f>'תקציב מינהל תפעול 2022'!L9</f>
        <v>43068869</v>
      </c>
      <c r="M9" s="4">
        <f>'תקציב מינהל תפעול 2022'!M9</f>
        <v>3997</v>
      </c>
      <c r="N9" s="4">
        <f>'תקציב מינהל תפעול 2022'!N9</f>
        <v>4000000</v>
      </c>
      <c r="O9" s="4">
        <f>'תקציב מינהל תפעול 2022'!O9</f>
        <v>1927134</v>
      </c>
      <c r="P9" s="4">
        <f>'תקציב מינהל תפעול 2022'!P9</f>
        <v>3997</v>
      </c>
      <c r="Q9" s="4">
        <f>'תקציב מינהל תפעול 2022'!Q9</f>
        <v>0</v>
      </c>
      <c r="R9" s="4">
        <f>'תקציב מינהל תפעול 2022'!R9</f>
        <v>0</v>
      </c>
      <c r="S9" s="4">
        <f>'תקציב מינהל תפעול 2022'!S9</f>
        <v>0</v>
      </c>
      <c r="T9" s="4">
        <f>'תקציב מינהל תפעול 2022'!T9</f>
        <v>0</v>
      </c>
      <c r="U9" s="4">
        <f>'תקציב מינהל תפעול 2022'!U9</f>
        <v>4000000</v>
      </c>
      <c r="V9" s="4">
        <f>'תקציב מינהל תפעול 2022'!V9</f>
        <v>0</v>
      </c>
      <c r="W9" s="4">
        <f>'תקציב מינהל תפעול 2022'!W9</f>
        <v>4000000</v>
      </c>
      <c r="X9" s="4">
        <f>'תקציב מינהל תפעול 2022'!X9</f>
        <v>0</v>
      </c>
      <c r="Y9" s="4">
        <f>'תקציב מינהל תפעול 2022'!Y9</f>
        <v>0</v>
      </c>
      <c r="Z9" s="4">
        <f>'תקציב מינהל תפעול 2022'!Z9</f>
        <v>0</v>
      </c>
      <c r="AA9" s="4">
        <f>'תקציב מינהל תפעול 2022'!AA9</f>
        <v>0</v>
      </c>
      <c r="AB9" s="255" t="str">
        <f>'תקציב מינהל תפעול 2022'!AB9</f>
        <v xml:space="preserve">הקמה ושדרוג גינות ציבוריות כולל: פיתוח, תשתיות ושבילי גישה, הנגשה, תאורה, מערכות השקייה, מתקני משחק, ריהוט גן, מתקני כושר, משטחי גומי וכל העבודות. עפ"י תוכנית עבודה שתאושר ע"י הנהלת העיר. </v>
      </c>
      <c r="AC9" s="3">
        <v>746000</v>
      </c>
    </row>
    <row r="10" spans="1:46" ht="60">
      <c r="A10" s="3">
        <f t="shared" si="0"/>
        <v>6</v>
      </c>
      <c r="B10" s="3">
        <f>'תקציב מינהל תפעול 2022'!B10</f>
        <v>1342</v>
      </c>
      <c r="C10" s="255" t="str">
        <f>'תקציב מינהל תפעול 2022'!C10</f>
        <v>הקמת גינות לכלבים</v>
      </c>
      <c r="D10" s="4">
        <f>'תקציב מינהל תפעול 2022'!D10</f>
        <v>4700000</v>
      </c>
      <c r="E10" s="4">
        <f>'תקציב מינהל תפעול 2022'!E10</f>
        <v>4700000</v>
      </c>
      <c r="F10" s="4">
        <f>'תקציב מינהל תפעול 2022'!F10</f>
        <v>0</v>
      </c>
      <c r="G10" s="4">
        <f>'תקציב מינהל תפעול 2022'!G10</f>
        <v>2890000</v>
      </c>
      <c r="H10" s="4">
        <f>'תקציב מינהל תפעול 2022'!H10</f>
        <v>2878272</v>
      </c>
      <c r="I10" s="4">
        <f>'תקציב מינהל תפעול 2022'!I10</f>
        <v>0</v>
      </c>
      <c r="J10" s="4">
        <f>'תקציב מינהל תפעול 2022'!J10</f>
        <v>0</v>
      </c>
      <c r="K10" s="4">
        <f>'תקציב מינהל תפעול 2022'!K10</f>
        <v>0</v>
      </c>
      <c r="L10" s="4">
        <f>'תקציב מינהל תפעול 2022'!L10</f>
        <v>2878272</v>
      </c>
      <c r="M10" s="4">
        <f>'תקציב מינהל תפעול 2022'!M10</f>
        <v>11728</v>
      </c>
      <c r="N10" s="4">
        <f>'תקציב מינהל תפעול 2022'!N10</f>
        <v>1050000</v>
      </c>
      <c r="O10" s="4">
        <f>'תקציב מינהל תפעול 2022'!O10</f>
        <v>760000</v>
      </c>
      <c r="P10" s="4">
        <f>'תקציב מינהל תפעול 2022'!P10</f>
        <v>11728</v>
      </c>
      <c r="Q10" s="4">
        <f>'תקציב מינהל תפעול 2022'!Q10</f>
        <v>0</v>
      </c>
      <c r="R10" s="4">
        <f>'תקציב מינהל תפעול 2022'!R10</f>
        <v>0</v>
      </c>
      <c r="S10" s="4">
        <f>'תקציב מינהל תפעול 2022'!S10</f>
        <v>0</v>
      </c>
      <c r="T10" s="4">
        <f>'תקציב מינהל תפעול 2022'!T10</f>
        <v>0</v>
      </c>
      <c r="U10" s="4">
        <f>'תקציב מינהל תפעול 2022'!U10</f>
        <v>1050000</v>
      </c>
      <c r="V10" s="4">
        <f>'תקציב מינהל תפעול 2022'!V10</f>
        <v>850000</v>
      </c>
      <c r="W10" s="4">
        <f>'תקציב מינהל תפעול 2022'!W10</f>
        <v>200000</v>
      </c>
      <c r="X10" s="4">
        <f>'תקציב מינהל תפעול 2022'!X10</f>
        <v>0</v>
      </c>
      <c r="Y10" s="4">
        <f>'תקציב מינהל תפעול 2022'!Y10</f>
        <v>0</v>
      </c>
      <c r="Z10" s="4">
        <f>'תקציב מינהל תפעול 2022'!Z10</f>
        <v>0</v>
      </c>
      <c r="AA10" s="4">
        <f>'תקציב מינהל תפעול 2022'!AA10</f>
        <v>0</v>
      </c>
      <c r="AB10" s="255" t="str">
        <f>'תקציב מינהל תפעול 2022'!AB10</f>
        <v>תב"ר מסגרת.  גיבוש תוכנית לאיתור שטחים להקמת גינות כלבים נוספות לאור בקשות תושבי העיר והקמתן.</v>
      </c>
      <c r="AC10" s="3">
        <v>746000</v>
      </c>
    </row>
    <row r="11" spans="1:46" ht="75">
      <c r="A11" s="3">
        <f t="shared" si="0"/>
        <v>7</v>
      </c>
      <c r="B11" s="3">
        <f>'תקציב מינהל תפעול 2022'!B11</f>
        <v>1343</v>
      </c>
      <c r="C11" s="255" t="str">
        <f>'תקציב מינהל תפעול 2022'!C11</f>
        <v>סככות הצללה לגני משחקים</v>
      </c>
      <c r="D11" s="4">
        <f>'תקציב מינהל תפעול 2022'!D11</f>
        <v>7170000</v>
      </c>
      <c r="E11" s="4">
        <f>'תקציב מינהל תפעול 2022'!E11</f>
        <v>7020000</v>
      </c>
      <c r="F11" s="4">
        <f>'תקציב מינהל תפעול 2022'!F11</f>
        <v>150000</v>
      </c>
      <c r="G11" s="4">
        <f>'תקציב מינהל תפעול 2022'!G11</f>
        <v>7020000</v>
      </c>
      <c r="H11" s="4">
        <f>'תקציב מינהל תפעול 2022'!H11</f>
        <v>6344296</v>
      </c>
      <c r="I11" s="4">
        <f>'תקציב מינהל תפעול 2022'!I11</f>
        <v>0</v>
      </c>
      <c r="J11" s="4">
        <f>'תקציב מינהל תפעול 2022'!J11</f>
        <v>502097</v>
      </c>
      <c r="K11" s="4">
        <f>'תקציב מינהל תפעול 2022'!K11</f>
        <v>502097</v>
      </c>
      <c r="L11" s="4">
        <f>'תקציב מינהל תפעול 2022'!L11</f>
        <v>6846393</v>
      </c>
      <c r="M11" s="4">
        <f>'תקציב מינהל תפעול 2022'!M11</f>
        <v>173607</v>
      </c>
      <c r="N11" s="4">
        <f>'תקציב מינהל תפעול 2022'!N11</f>
        <v>150000</v>
      </c>
      <c r="O11" s="4">
        <f>'תקציב מינהל תפעול 2022'!O11</f>
        <v>0</v>
      </c>
      <c r="P11" s="4">
        <f>'תקציב מינהל תפעול 2022'!P11</f>
        <v>173607</v>
      </c>
      <c r="Q11" s="4">
        <f>'תקציב מינהל תפעול 2022'!Q11</f>
        <v>0</v>
      </c>
      <c r="R11" s="4">
        <f>'תקציב מינהל תפעול 2022'!R11</f>
        <v>0</v>
      </c>
      <c r="S11" s="4">
        <f>'תקציב מינהל תפעול 2022'!S11</f>
        <v>0</v>
      </c>
      <c r="T11" s="4">
        <f>'תקציב מינהל תפעול 2022'!T11</f>
        <v>0</v>
      </c>
      <c r="U11" s="4">
        <f>'תקציב מינהל תפעול 2022'!U11</f>
        <v>150000</v>
      </c>
      <c r="V11" s="4">
        <f>'תקציב מינהל תפעול 2022'!V11</f>
        <v>0</v>
      </c>
      <c r="W11" s="4">
        <f>'תקציב מינהל תפעול 2022'!W11</f>
        <v>150000</v>
      </c>
      <c r="X11" s="4">
        <f>'תקציב מינהל תפעול 2022'!X11</f>
        <v>0</v>
      </c>
      <c r="Y11" s="4">
        <f>'תקציב מינהל תפעול 2022'!Y11</f>
        <v>0</v>
      </c>
      <c r="Z11" s="4">
        <f>'תקציב מינהל תפעול 2022'!Z11</f>
        <v>0</v>
      </c>
      <c r="AA11" s="4">
        <f>'תקציב מינהל תפעול 2022'!AA11</f>
        <v>0</v>
      </c>
      <c r="AB11" s="255" t="str">
        <f>'תקציב מינהל תפעול 2022'!AB11</f>
        <v xml:space="preserve">הצללת אזורים של מתקני משחקים לנוחות הציבור. נחקק חוק חדש שאושר בוועדת הפנים המחייב את הרשויות להקים הצללות בגני משחקים. </v>
      </c>
      <c r="AC11" s="3">
        <v>746000</v>
      </c>
    </row>
    <row r="12" spans="1:46" ht="45">
      <c r="A12" s="3">
        <f t="shared" si="0"/>
        <v>8</v>
      </c>
      <c r="B12" s="3">
        <f>'תקציב מינהל תפעול 2022'!B12</f>
        <v>1345</v>
      </c>
      <c r="C12" s="255" t="str">
        <f>'תקציב מינהל תפעול 2022'!C12</f>
        <v>תוכנית  אב להפחתת זיהום אויר</v>
      </c>
      <c r="D12" s="4">
        <f>'תקציב מינהל תפעול 2022'!D12</f>
        <v>883000</v>
      </c>
      <c r="E12" s="4">
        <f>'תקציב מינהל תפעול 2022'!E12</f>
        <v>883000</v>
      </c>
      <c r="F12" s="4">
        <f>'תקציב מינהל תפעול 2022'!F12</f>
        <v>0</v>
      </c>
      <c r="G12" s="4">
        <f>'תקציב מינהל תפעול 2022'!G12</f>
        <v>883000</v>
      </c>
      <c r="H12" s="4">
        <f>'תקציב מינהל תפעול 2022'!H12</f>
        <v>825751</v>
      </c>
      <c r="I12" s="4">
        <f>'תקציב מינהל תפעול 2022'!I12</f>
        <v>0</v>
      </c>
      <c r="J12" s="4">
        <f>'תקציב מינהל תפעול 2022'!J12</f>
        <v>33345</v>
      </c>
      <c r="K12" s="4">
        <f>'תקציב מינהל תפעול 2022'!K12</f>
        <v>33345</v>
      </c>
      <c r="L12" s="4">
        <f>'תקציב מינהל תפעול 2022'!L12</f>
        <v>859096</v>
      </c>
      <c r="M12" s="4">
        <f>'תקציב מינהל תפעול 2022'!M12</f>
        <v>23904</v>
      </c>
      <c r="N12" s="4">
        <f>'תקציב מינהל תפעול 2022'!N12</f>
        <v>0</v>
      </c>
      <c r="O12" s="4">
        <f>'תקציב מינהל תפעול 2022'!O12</f>
        <v>0</v>
      </c>
      <c r="P12" s="4">
        <f>'תקציב מינהל תפעול 2022'!P12</f>
        <v>23904</v>
      </c>
      <c r="Q12" s="4">
        <f>'תקציב מינהל תפעול 2022'!Q12</f>
        <v>0</v>
      </c>
      <c r="R12" s="4">
        <f>'תקציב מינהל תפעול 2022'!R12</f>
        <v>0</v>
      </c>
      <c r="S12" s="4">
        <f>'תקציב מינהל תפעול 2022'!S12</f>
        <v>0</v>
      </c>
      <c r="T12" s="4">
        <f>'תקציב מינהל תפעול 2022'!T12</f>
        <v>0</v>
      </c>
      <c r="U12" s="4">
        <f>'תקציב מינהל תפעול 2022'!U12</f>
        <v>0</v>
      </c>
      <c r="V12" s="4">
        <f>'תקציב מינהל תפעול 2022'!V12</f>
        <v>0</v>
      </c>
      <c r="W12" s="4">
        <f>'תקציב מינהל תפעול 2022'!W12</f>
        <v>0</v>
      </c>
      <c r="X12" s="4">
        <f>'תקציב מינהל תפעול 2022'!X12</f>
        <v>0</v>
      </c>
      <c r="Y12" s="4">
        <f>'תקציב מינהל תפעול 2022'!Y12</f>
        <v>0</v>
      </c>
      <c r="Z12" s="4">
        <f>'תקציב מינהל תפעול 2022'!Z12</f>
        <v>0</v>
      </c>
      <c r="AA12" s="4">
        <f>'תקציב מינהל תפעול 2022'!AA12</f>
        <v>0</v>
      </c>
      <c r="AB12" s="255" t="str">
        <f>'תקציב מינהל תפעול 2022'!AB12</f>
        <v>קידום אמנת ברית ערים כתוכנית המשך לתוכנית להפחתת פליטות של פורום ה-15.</v>
      </c>
      <c r="AC12" s="3">
        <v>870000</v>
      </c>
    </row>
    <row r="13" spans="1:46" ht="30" customHeight="1">
      <c r="A13" s="3">
        <f t="shared" si="0"/>
        <v>9</v>
      </c>
      <c r="B13" s="3">
        <f>'תקציב מינהל תפעול 2022'!B13</f>
        <v>1415</v>
      </c>
      <c r="C13" s="255" t="str">
        <f>'תקציב מינהל תפעול 2022'!C13</f>
        <v xml:space="preserve">התקנה שדרוג מזגנים במוס"ח   ועיריה </v>
      </c>
      <c r="D13" s="4">
        <f>'תקציב מינהל תפעול 2022'!D13</f>
        <v>1700000</v>
      </c>
      <c r="E13" s="4">
        <f>'תקציב מינהל תפעול 2022'!E13</f>
        <v>1400000</v>
      </c>
      <c r="F13" s="4">
        <f>'תקציב מינהל תפעול 2022'!F13</f>
        <v>300000</v>
      </c>
      <c r="G13" s="4">
        <f>'תקציב מינהל תפעול 2022'!G13</f>
        <v>1380000</v>
      </c>
      <c r="H13" s="4">
        <f>'תקציב מינהל תפעול 2022'!H13</f>
        <v>1187427</v>
      </c>
      <c r="I13" s="4">
        <f>'תקציב מינהל תפעול 2022'!I13</f>
        <v>0</v>
      </c>
      <c r="J13" s="4">
        <f>'תקציב מינהל תפעול 2022'!J13</f>
        <v>192573</v>
      </c>
      <c r="K13" s="4">
        <f>'תקציב מינהל תפעול 2022'!K13</f>
        <v>192573</v>
      </c>
      <c r="L13" s="4">
        <f>'תקציב מינהל תפעול 2022'!L13</f>
        <v>1380000</v>
      </c>
      <c r="M13" s="4">
        <f>'תקציב מינהל תפעול 2022'!M13</f>
        <v>20000</v>
      </c>
      <c r="N13" s="4">
        <f>'תקציב מינהל תפעול 2022'!N13</f>
        <v>300000</v>
      </c>
      <c r="O13" s="4">
        <f>'תקציב מינהל תפעול 2022'!O13</f>
        <v>0</v>
      </c>
      <c r="P13" s="4">
        <f>'תקציב מינהל תפעול 2022'!P13</f>
        <v>0</v>
      </c>
      <c r="Q13" s="4">
        <f>'תקציב מינהל תפעול 2022'!Q13</f>
        <v>20000</v>
      </c>
      <c r="R13" s="4">
        <f>'תקציב מינהל תפעול 2022'!R13</f>
        <v>0</v>
      </c>
      <c r="S13" s="4">
        <f>'תקציב מינהל תפעול 2022'!S13</f>
        <v>20000</v>
      </c>
      <c r="T13" s="4">
        <f>'תקציב מינהל תפעול 2022'!T13</f>
        <v>0</v>
      </c>
      <c r="U13" s="4">
        <f>'תקציב מינהל תפעול 2022'!U13</f>
        <v>300000</v>
      </c>
      <c r="V13" s="4">
        <f>'תקציב מינהל תפעול 2022'!V13</f>
        <v>0</v>
      </c>
      <c r="W13" s="4">
        <f>'תקציב מינהל תפעול 2022'!W13</f>
        <v>300000</v>
      </c>
      <c r="X13" s="4">
        <f>'תקציב מינהל תפעול 2022'!X13</f>
        <v>0</v>
      </c>
      <c r="Y13" s="4">
        <f>'תקציב מינהל תפעול 2022'!Y13</f>
        <v>0</v>
      </c>
      <c r="Z13" s="4">
        <f>'תקציב מינהל תפעול 2022'!Z13</f>
        <v>0</v>
      </c>
      <c r="AA13" s="4">
        <f>'תקציב מינהל תפעול 2022'!AA13</f>
        <v>0</v>
      </c>
      <c r="AB13" s="255" t="str">
        <f>'תקציב מינהל תפעול 2022'!AB13</f>
        <v>סל להחלפה ושדרוג מזגנים במוסדות חינוך ועירייה. איחוד עם תב"ר 1472.</v>
      </c>
      <c r="AC13" s="3">
        <v>930000</v>
      </c>
    </row>
    <row r="14" spans="1:46" ht="30" customHeight="1">
      <c r="A14" s="3">
        <f t="shared" si="0"/>
        <v>10</v>
      </c>
      <c r="B14" s="3">
        <f>'תקציב מינהל תפעול 2022'!B14</f>
        <v>1416</v>
      </c>
      <c r="C14" s="255" t="str">
        <f>'תקציב מינהל תפעול 2022'!C14</f>
        <v>שיפוץ ובינוי נכסים עירוניים כולל תשתיות</v>
      </c>
      <c r="D14" s="4">
        <f>'תקציב מינהל תפעול 2022'!D14</f>
        <v>3000000</v>
      </c>
      <c r="E14" s="4">
        <f>'תקציב מינהל תפעול 2022'!E14</f>
        <v>2400000</v>
      </c>
      <c r="F14" s="4">
        <f>'תקציב מינהל תפעול 2022'!F14</f>
        <v>600000</v>
      </c>
      <c r="G14" s="4">
        <f>'תקציב מינהל תפעול 2022'!G14</f>
        <v>2400000</v>
      </c>
      <c r="H14" s="4">
        <f>'תקציב מינהל תפעול 2022'!H14</f>
        <v>2117402</v>
      </c>
      <c r="I14" s="4">
        <f>'תקציב מינהל תפעול 2022'!I14</f>
        <v>0</v>
      </c>
      <c r="J14" s="4">
        <f>'תקציב מינהל תפעול 2022'!J14</f>
        <v>212772</v>
      </c>
      <c r="K14" s="4">
        <f>'תקציב מינהל תפעול 2022'!K14</f>
        <v>212772</v>
      </c>
      <c r="L14" s="4">
        <f>'תקציב מינהל תפעול 2022'!L14</f>
        <v>2330174</v>
      </c>
      <c r="M14" s="4">
        <f>'תקציב מינהל תפעול 2022'!M14</f>
        <v>69826</v>
      </c>
      <c r="N14" s="4">
        <f>'תקציב מינהל תפעול 2022'!N14</f>
        <v>600000</v>
      </c>
      <c r="O14" s="4">
        <f>'תקציב מינהל תפעול 2022'!O14</f>
        <v>0</v>
      </c>
      <c r="P14" s="4">
        <f>'תקציב מינהל תפעול 2022'!P14</f>
        <v>69826</v>
      </c>
      <c r="Q14" s="4">
        <f>'תקציב מינהל תפעול 2022'!Q14</f>
        <v>0</v>
      </c>
      <c r="R14" s="4">
        <f>'תקציב מינהל תפעול 2022'!R14</f>
        <v>0</v>
      </c>
      <c r="S14" s="4">
        <f>'תקציב מינהל תפעול 2022'!S14</f>
        <v>0</v>
      </c>
      <c r="T14" s="4">
        <f>'תקציב מינהל תפעול 2022'!T14</f>
        <v>0</v>
      </c>
      <c r="U14" s="4">
        <f>'תקציב מינהל תפעול 2022'!U14</f>
        <v>600000</v>
      </c>
      <c r="V14" s="4">
        <f>'תקציב מינהל תפעול 2022'!V14</f>
        <v>0</v>
      </c>
      <c r="W14" s="4">
        <f>'תקציב מינהל תפעול 2022'!W14</f>
        <v>600000</v>
      </c>
      <c r="X14" s="4">
        <f>'תקציב מינהל תפעול 2022'!X14</f>
        <v>0</v>
      </c>
      <c r="Y14" s="4">
        <f>'תקציב מינהל תפעול 2022'!Y14</f>
        <v>0</v>
      </c>
      <c r="Z14" s="4">
        <f>'תקציב מינהל תפעול 2022'!Z14</f>
        <v>0</v>
      </c>
      <c r="AA14" s="4">
        <f>'תקציב מינהל תפעול 2022'!AA14</f>
        <v>0</v>
      </c>
      <c r="AB14" s="255" t="str">
        <f>'תקציב מינהל תפעול 2022'!AB14</f>
        <v>סל לשיפוץ ובינוי נכסים עירוניים.</v>
      </c>
      <c r="AC14" s="3">
        <v>930000</v>
      </c>
    </row>
    <row r="15" spans="1:46" ht="75">
      <c r="A15" s="3">
        <f t="shared" si="0"/>
        <v>11</v>
      </c>
      <c r="B15" s="3">
        <f>'תקציב מינהל תפעול 2022'!B15</f>
        <v>1435</v>
      </c>
      <c r="C15" s="255" t="str">
        <f>'תקציב מינהל תפעול 2022'!C15</f>
        <v>שדרוג וטיפול המרחב הציבורי</v>
      </c>
      <c r="D15" s="4">
        <f>'תקציב מינהל תפעול 2022'!D15</f>
        <v>35374320</v>
      </c>
      <c r="E15" s="4">
        <f>'תקציב מינהל תפעול 2022'!E15</f>
        <v>32574320</v>
      </c>
      <c r="F15" s="4">
        <f>'תקציב מינהל תפעול 2022'!F15</f>
        <v>2800000</v>
      </c>
      <c r="G15" s="4">
        <f>'תקציב מינהל תפעול 2022'!G15</f>
        <v>31874320</v>
      </c>
      <c r="H15" s="4">
        <f>'תקציב מינהל תפעול 2022'!H15</f>
        <v>27812822</v>
      </c>
      <c r="I15" s="4">
        <f>'תקציב מינהל תפעול 2022'!I15</f>
        <v>0</v>
      </c>
      <c r="J15" s="4">
        <f>'תקציב מינהל תפעול 2022'!J15</f>
        <v>2522859</v>
      </c>
      <c r="K15" s="4">
        <f>'תקציב מינהל תפעול 2022'!K15</f>
        <v>2522859</v>
      </c>
      <c r="L15" s="4">
        <f>'תקציב מינהל תפעול 2022'!L15</f>
        <v>30335681</v>
      </c>
      <c r="M15" s="4">
        <f>'תקציב מינהל תפעול 2022'!M15</f>
        <v>1538639</v>
      </c>
      <c r="N15" s="4">
        <f>'תקציב מינהל תפעול 2022'!N15</f>
        <v>3500000</v>
      </c>
      <c r="O15" s="4">
        <f>'תקציב מינהל תפעול 2022'!O15</f>
        <v>0</v>
      </c>
      <c r="P15" s="4">
        <f>'תקציב מינהל תפעול 2022'!P15</f>
        <v>1538639</v>
      </c>
      <c r="Q15" s="4">
        <f>'תקציב מינהל תפעול 2022'!Q15</f>
        <v>0</v>
      </c>
      <c r="R15" s="4">
        <f>'תקציב מינהל תפעול 2022'!R15</f>
        <v>0</v>
      </c>
      <c r="S15" s="4">
        <f>'תקציב מינהל תפעול 2022'!S15</f>
        <v>0</v>
      </c>
      <c r="T15" s="4">
        <f>'תקציב מינהל תפעול 2022'!T15</f>
        <v>0</v>
      </c>
      <c r="U15" s="4">
        <f>'תקציב מינהל תפעול 2022'!U15</f>
        <v>3500000</v>
      </c>
      <c r="V15" s="4">
        <f>'תקציב מינהל תפעול 2022'!V15</f>
        <v>0</v>
      </c>
      <c r="W15" s="4">
        <f>'תקציב מינהל תפעול 2022'!W15</f>
        <v>3500000</v>
      </c>
      <c r="X15" s="4">
        <f>'תקציב מינהל תפעול 2022'!X15</f>
        <v>0</v>
      </c>
      <c r="Y15" s="4">
        <f>'תקציב מינהל תפעול 2022'!Y15</f>
        <v>0</v>
      </c>
      <c r="Z15" s="4">
        <f>'תקציב מינהל תפעול 2022'!Z15</f>
        <v>0</v>
      </c>
      <c r="AA15" s="4">
        <f>'תקציב מינהל תפעול 2022'!AA15</f>
        <v>0</v>
      </c>
      <c r="AB15" s="255" t="str">
        <f>'תקציב מינהל תפעול 2022'!AB15</f>
        <v xml:space="preserve">עבודות במרחב הציבורי בשטחים ציבוריים בשכונות השונות ברחבי העיר כולל ריהוט רחוב ופינוי אסבסט עפ"י תוכנית עבודה שתאושר ע"י הנהלת העיר. </v>
      </c>
      <c r="AC15" s="3">
        <v>848500</v>
      </c>
    </row>
    <row r="16" spans="1:46" ht="60">
      <c r="A16" s="3">
        <f t="shared" si="0"/>
        <v>12</v>
      </c>
      <c r="B16" s="3">
        <f>'תקציב מינהל תפעול 2022'!B16</f>
        <v>1477</v>
      </c>
      <c r="C16" s="255" t="str">
        <f>'תקציב מינהל תפעול 2022'!C16</f>
        <v xml:space="preserve">הצללות בי"ס וגנ"י  ומתנס"ים </v>
      </c>
      <c r="D16" s="4">
        <f>'תקציב מינהל תפעול 2022'!D16</f>
        <v>9350000</v>
      </c>
      <c r="E16" s="4">
        <f>'תקציב מינהל תפעול 2022'!E16</f>
        <v>9350000</v>
      </c>
      <c r="F16" s="4">
        <f>'תקציב מינהל תפעול 2022'!F16</f>
        <v>0</v>
      </c>
      <c r="G16" s="4">
        <f>'תקציב מינהל תפעול 2022'!G16</f>
        <v>5650000</v>
      </c>
      <c r="H16" s="4">
        <f>'תקציב מינהל תפעול 2022'!H16</f>
        <v>3136693</v>
      </c>
      <c r="I16" s="4">
        <f>'תקציב מינהל תפעול 2022'!I16</f>
        <v>554098</v>
      </c>
      <c r="J16" s="4">
        <f>'תקציב מינהל תפעול 2022'!J16</f>
        <v>1795171</v>
      </c>
      <c r="K16" s="4">
        <f>'תקציב מינהל תפעול 2022'!K16</f>
        <v>2349269</v>
      </c>
      <c r="L16" s="4">
        <f>'תקציב מינהל תפעול 2022'!L16</f>
        <v>5485962</v>
      </c>
      <c r="M16" s="4">
        <f>'תקציב מינהל תפעול 2022'!M16</f>
        <v>164038</v>
      </c>
      <c r="N16" s="4">
        <f>'תקציב מינהל תפעול 2022'!N16</f>
        <v>2000000</v>
      </c>
      <c r="O16" s="4">
        <f>'תקציב מינהל תפעול 2022'!O16</f>
        <v>1700000</v>
      </c>
      <c r="P16" s="4">
        <f>'תקציב מינהל תפעול 2022'!P16</f>
        <v>164038</v>
      </c>
      <c r="Q16" s="4">
        <f>'תקציב מינהל תפעול 2022'!Q16</f>
        <v>0</v>
      </c>
      <c r="R16" s="4">
        <f>'תקציב מינהל תפעול 2022'!R16</f>
        <v>0</v>
      </c>
      <c r="S16" s="4">
        <f>'תקציב מינהל תפעול 2022'!S16</f>
        <v>0</v>
      </c>
      <c r="T16" s="4">
        <f>'תקציב מינהל תפעול 2022'!T16</f>
        <v>0</v>
      </c>
      <c r="U16" s="4">
        <f>'תקציב מינהל תפעול 2022'!U16</f>
        <v>2000000</v>
      </c>
      <c r="V16" s="4">
        <f>'תקציב מינהל תפעול 2022'!V16</f>
        <v>0</v>
      </c>
      <c r="W16" s="4">
        <f>'תקציב מינהל תפעול 2022'!W16</f>
        <v>2000000</v>
      </c>
      <c r="X16" s="4">
        <f>'תקציב מינהל תפעול 2022'!X16</f>
        <v>0</v>
      </c>
      <c r="Y16" s="4">
        <f>'תקציב מינהל תפעול 2022'!Y16</f>
        <v>0</v>
      </c>
      <c r="Z16" s="4">
        <f>'תקציב מינהל תפעול 2022'!Z16</f>
        <v>0</v>
      </c>
      <c r="AA16" s="4">
        <f>'תקציב מינהל תפעול 2022'!AA16</f>
        <v>0</v>
      </c>
      <c r="AB16" s="255" t="str">
        <f>'תקציב מינהל תפעול 2022'!AB16</f>
        <v>הצללות קבועות מעל מגרשי ספורט  עפ"י תוכנית רב שנתית. 3 הצללות ב - 2022: 1 בספורטק , 2 במתנסים עפ"י החלטה.</v>
      </c>
      <c r="AC16" s="486">
        <v>810000</v>
      </c>
    </row>
    <row r="17" spans="1:46" ht="60">
      <c r="A17" s="3">
        <f t="shared" si="0"/>
        <v>13</v>
      </c>
      <c r="B17" s="3">
        <f>'תקציב מינהל תפעול 2022'!B17</f>
        <v>1489</v>
      </c>
      <c r="C17" s="255" t="str">
        <f>'תקציב מינהל תפעול 2022'!C17</f>
        <v>שדרוג כבישים מדרכות תשתיות</v>
      </c>
      <c r="D17" s="4">
        <f>'תקציב מינהל תפעול 2022'!D17</f>
        <v>61500000</v>
      </c>
      <c r="E17" s="4">
        <f>'תקציב מינהל תפעול 2022'!E17</f>
        <v>55000000</v>
      </c>
      <c r="F17" s="4">
        <f>'תקציב מינהל תפעול 2022'!F17</f>
        <v>6500000</v>
      </c>
      <c r="G17" s="4">
        <f>'תקציב מינהל תפעול 2022'!G17</f>
        <v>55000000</v>
      </c>
      <c r="H17" s="4">
        <f>'תקציב מינהל תפעול 2022'!H17</f>
        <v>47984649</v>
      </c>
      <c r="I17" s="4">
        <f>'תקציב מינהל תפעול 2022'!I17</f>
        <v>0</v>
      </c>
      <c r="J17" s="4">
        <f>'תקציב מינהל תפעול 2022'!J17</f>
        <v>3914002</v>
      </c>
      <c r="K17" s="4">
        <f>'תקציב מינהל תפעול 2022'!K17</f>
        <v>3914002</v>
      </c>
      <c r="L17" s="4">
        <f>'תקציב מינהל תפעול 2022'!L17</f>
        <v>51898651</v>
      </c>
      <c r="M17" s="4">
        <f>'תקציב מינהל תפעול 2022'!M17</f>
        <v>3101349</v>
      </c>
      <c r="N17" s="4">
        <f>'תקציב מינהל תפעול 2022'!N17</f>
        <v>6500000</v>
      </c>
      <c r="O17" s="4">
        <f>'תקציב מינהל תפעול 2022'!O17</f>
        <v>0</v>
      </c>
      <c r="P17" s="4">
        <f>'תקציב מינהל תפעול 2022'!P17</f>
        <v>3101349</v>
      </c>
      <c r="Q17" s="4">
        <f>'תקציב מינהל תפעול 2022'!Q17</f>
        <v>0</v>
      </c>
      <c r="R17" s="4">
        <f>'תקציב מינהל תפעול 2022'!R17</f>
        <v>0</v>
      </c>
      <c r="S17" s="4">
        <f>'תקציב מינהל תפעול 2022'!S17</f>
        <v>0</v>
      </c>
      <c r="T17" s="4">
        <f>'תקציב מינהל תפעול 2022'!T17</f>
        <v>0</v>
      </c>
      <c r="U17" s="4">
        <f>'תקציב מינהל תפעול 2022'!U17</f>
        <v>6500000</v>
      </c>
      <c r="V17" s="4">
        <f>'תקציב מינהל תפעול 2022'!V17</f>
        <v>0</v>
      </c>
      <c r="W17" s="4">
        <f>'תקציב מינהל תפעול 2022'!W17</f>
        <v>6500000</v>
      </c>
      <c r="X17" s="4">
        <f>'תקציב מינהל תפעול 2022'!X17</f>
        <v>0</v>
      </c>
      <c r="Y17" s="4">
        <f>'תקציב מינהל תפעול 2022'!Y17</f>
        <v>0</v>
      </c>
      <c r="Z17" s="4">
        <f>'תקציב מינהל תפעול 2022'!Z17</f>
        <v>0</v>
      </c>
      <c r="AA17" s="4">
        <f>'תקציב מינהל תפעול 2022'!AA17</f>
        <v>0</v>
      </c>
      <c r="AB17" s="255" t="str">
        <f>'תקציב מינהל תפעול 2022'!AB17</f>
        <v xml:space="preserve">סל לשדרוג כבישים במקביל לעבודת תאגיד המים ומדרכות ברחבי העיר עפ"י תוכנית עבודה שתאושר ע"י הנהלת העיר. </v>
      </c>
      <c r="AC17" s="3">
        <v>742000</v>
      </c>
    </row>
    <row r="18" spans="1:46" ht="105">
      <c r="A18" s="3">
        <f t="shared" si="0"/>
        <v>14</v>
      </c>
      <c r="B18" s="3">
        <f>'תקציב מינהל תפעול 2022'!B18</f>
        <v>1504</v>
      </c>
      <c r="C18" s="255" t="str">
        <f>'תקציב מינהל תפעול 2022'!C18</f>
        <v>נטיעת עצים ברחבי העיר</v>
      </c>
      <c r="D18" s="4">
        <f>'תקציב מינהל תפעול 2022'!D18</f>
        <v>2500000</v>
      </c>
      <c r="E18" s="4">
        <f>'תקציב מינהל תפעול 2022'!E18</f>
        <v>2500000</v>
      </c>
      <c r="F18" s="4">
        <f>'תקציב מינהל תפעול 2022'!F18</f>
        <v>0</v>
      </c>
      <c r="G18" s="4">
        <f>'תקציב מינהל תפעול 2022'!G18</f>
        <v>1500000</v>
      </c>
      <c r="H18" s="4">
        <f>'תקציב מינהל תפעול 2022'!H18</f>
        <v>1461344</v>
      </c>
      <c r="I18" s="4">
        <f>'תקציב מינהל תפעול 2022'!I18</f>
        <v>0</v>
      </c>
      <c r="J18" s="4">
        <f>'תקציב מינהל תפעול 2022'!J18</f>
        <v>0</v>
      </c>
      <c r="K18" s="4">
        <f>'תקציב מינהל תפעול 2022'!K18</f>
        <v>0</v>
      </c>
      <c r="L18" s="4">
        <f>'תקציב מינהל תפעול 2022'!L18</f>
        <v>1461344</v>
      </c>
      <c r="M18" s="4">
        <f>'תקציב מינהל תפעול 2022'!M18</f>
        <v>38656</v>
      </c>
      <c r="N18" s="4">
        <f>'תקציב מינהל תפעול 2022'!N18</f>
        <v>500000</v>
      </c>
      <c r="O18" s="4">
        <f>'תקציב מינהל תפעול 2022'!O18</f>
        <v>500000</v>
      </c>
      <c r="P18" s="4">
        <f>'תקציב מינהל תפעול 2022'!P18</f>
        <v>38656</v>
      </c>
      <c r="Q18" s="4">
        <f>'תקציב מינהל תפעול 2022'!Q18</f>
        <v>0</v>
      </c>
      <c r="R18" s="4">
        <f>'תקציב מינהל תפעול 2022'!R18</f>
        <v>0</v>
      </c>
      <c r="S18" s="4">
        <f>'תקציב מינהל תפעול 2022'!S18</f>
        <v>0</v>
      </c>
      <c r="T18" s="4">
        <f>'תקציב מינהל תפעול 2022'!T18</f>
        <v>0</v>
      </c>
      <c r="U18" s="4">
        <f>'תקציב מינהל תפעול 2022'!U18</f>
        <v>500000</v>
      </c>
      <c r="V18" s="4">
        <f>'תקציב מינהל תפעול 2022'!V18</f>
        <v>500000</v>
      </c>
      <c r="W18" s="4">
        <f>'תקציב מינהל תפעול 2022'!W18</f>
        <v>0</v>
      </c>
      <c r="X18" s="4">
        <f>'תקציב מינהל תפעול 2022'!X18</f>
        <v>0</v>
      </c>
      <c r="Y18" s="4">
        <f>'תקציב מינהל תפעול 2022'!Y18</f>
        <v>0</v>
      </c>
      <c r="Z18" s="4">
        <f>'תקציב מינהל תפעול 2022'!Z18</f>
        <v>0</v>
      </c>
      <c r="AA18" s="4">
        <f>'תקציב מינהל תפעול 2022'!AA18</f>
        <v>0</v>
      </c>
      <c r="AB18" s="255" t="str">
        <f>'תקציב מינהל תפעול 2022'!AB18</f>
        <v>נטיעת עצים ברחבי העיר לרבות פתיחת ריצוף קיים במדרכה,  והתקנת מגן סביב העץ במקרה הצורך. בהמשך להצעת החוק בנושא הצללת המרחב הציבורי, יאותרו שטחים נוספים לנטיעת עצים ברחבי העיר.</v>
      </c>
      <c r="AC18" s="3">
        <v>746000</v>
      </c>
    </row>
    <row r="19" spans="1:46" ht="60">
      <c r="A19" s="3">
        <f t="shared" si="0"/>
        <v>15</v>
      </c>
      <c r="B19" s="3">
        <f>'תקציב מינהל תפעול 2022'!B19</f>
        <v>1560</v>
      </c>
      <c r="C19" s="255" t="str">
        <f>'תקציב מינהל תפעול 2022'!C19</f>
        <v>עבודות שונות בפארק הרצליה</v>
      </c>
      <c r="D19" s="4">
        <f>'תקציב מינהל תפעול 2022'!D19</f>
        <v>7510000</v>
      </c>
      <c r="E19" s="4">
        <f>'תקציב מינהל תפעול 2022'!E19</f>
        <v>6410000</v>
      </c>
      <c r="F19" s="4">
        <f>'תקציב מינהל תפעול 2022'!F19</f>
        <v>1100000</v>
      </c>
      <c r="G19" s="4">
        <f>'תקציב מינהל תפעול 2022'!G19</f>
        <v>6010000</v>
      </c>
      <c r="H19" s="4">
        <f>'תקציב מינהל תפעול 2022'!H19</f>
        <v>5855068</v>
      </c>
      <c r="I19" s="4">
        <f>'תקציב מינהל תפעול 2022'!I19</f>
        <v>0</v>
      </c>
      <c r="J19" s="4">
        <f>'תקציב מינהל תפעול 2022'!J19</f>
        <v>45783</v>
      </c>
      <c r="K19" s="4">
        <f>'תקציב מינהל תפעול 2022'!K19</f>
        <v>45783</v>
      </c>
      <c r="L19" s="4">
        <f>'תקציב מינהל תפעול 2022'!L19</f>
        <v>5900851</v>
      </c>
      <c r="M19" s="4">
        <f>'תקציב מינהל תפעול 2022'!M19</f>
        <v>109149</v>
      </c>
      <c r="N19" s="4">
        <f>'תקציב מינהל תפעול 2022'!N19</f>
        <v>1300000</v>
      </c>
      <c r="O19" s="4">
        <f>'תקציב מינהל תפעול 2022'!O19</f>
        <v>200000</v>
      </c>
      <c r="P19" s="4">
        <f>'תקציב מינהל תפעול 2022'!P19</f>
        <v>109149</v>
      </c>
      <c r="Q19" s="4">
        <f>'תקציב מינהל תפעול 2022'!Q19</f>
        <v>0</v>
      </c>
      <c r="R19" s="4">
        <f>'תקציב מינהל תפעול 2022'!R19</f>
        <v>0</v>
      </c>
      <c r="S19" s="4">
        <f>'תקציב מינהל תפעול 2022'!S19</f>
        <v>0</v>
      </c>
      <c r="T19" s="4">
        <f>'תקציב מינהל תפעול 2022'!T19</f>
        <v>0</v>
      </c>
      <c r="U19" s="4">
        <f>'תקציב מינהל תפעול 2022'!U19</f>
        <v>1300000</v>
      </c>
      <c r="V19" s="4">
        <f>'תקציב מינהל תפעול 2022'!V19</f>
        <v>0</v>
      </c>
      <c r="W19" s="4">
        <f>'תקציב מינהל תפעול 2022'!W19</f>
        <v>1300000</v>
      </c>
      <c r="X19" s="4">
        <f>'תקציב מינהל תפעול 2022'!X19</f>
        <v>0</v>
      </c>
      <c r="Y19" s="4">
        <f>'תקציב מינהל תפעול 2022'!Y19</f>
        <v>0</v>
      </c>
      <c r="Z19" s="4">
        <f>'תקציב מינהל תפעול 2022'!Z19</f>
        <v>0</v>
      </c>
      <c r="AA19" s="4">
        <f>'תקציב מינהל תפעול 2022'!AA19</f>
        <v>0</v>
      </c>
      <c r="AB19" s="255" t="str">
        <f>'תקציב מינהל תפעול 2022'!AB19</f>
        <v>עבודות שונות בפארק כולל חידוש דק, שיפוץ שרותים מרכזיים , חידוש מסלול גומי, קרצוף וריבוד מסלולים.</v>
      </c>
      <c r="AC19" s="3">
        <v>746000</v>
      </c>
    </row>
    <row r="20" spans="1:46" s="498" customFormat="1" ht="30" customHeight="1">
      <c r="A20" s="3">
        <f t="shared" si="0"/>
        <v>16</v>
      </c>
      <c r="B20" s="3">
        <f>'תקציב מינהל תפעול 2022'!B20</f>
        <v>1598</v>
      </c>
      <c r="C20" s="255" t="str">
        <f>'תקציב מינהל תפעול 2022'!C20</f>
        <v>הטמעת עקרונות הקיימות בחינוך</v>
      </c>
      <c r="D20" s="4">
        <f>'תקציב מינהל תפעול 2022'!D20</f>
        <v>666500</v>
      </c>
      <c r="E20" s="4">
        <f>'תקציב מינהל תפעול 2022'!E20</f>
        <v>616500</v>
      </c>
      <c r="F20" s="4">
        <f>'תקציב מינהל תפעול 2022'!F20</f>
        <v>50000</v>
      </c>
      <c r="G20" s="4">
        <f>'תקציב מינהל תפעול 2022'!G20</f>
        <v>616500</v>
      </c>
      <c r="H20" s="4">
        <f>'תקציב מינהל תפעול 2022'!H20</f>
        <v>487597</v>
      </c>
      <c r="I20" s="4">
        <f>'תקציב מינהל תפעול 2022'!I20</f>
        <v>0</v>
      </c>
      <c r="J20" s="4">
        <f>'תקציב מינהל תפעול 2022'!J20</f>
        <v>48549</v>
      </c>
      <c r="K20" s="4">
        <f>'תקציב מינהל תפעול 2022'!K20</f>
        <v>48549</v>
      </c>
      <c r="L20" s="4">
        <f>'תקציב מינהל תפעול 2022'!L20</f>
        <v>536146</v>
      </c>
      <c r="M20" s="4">
        <f>'תקציב מינהל תפעול 2022'!M20</f>
        <v>80354</v>
      </c>
      <c r="N20" s="4">
        <f>'תקציב מינהל תפעול 2022'!N20</f>
        <v>50000</v>
      </c>
      <c r="O20" s="4">
        <f>'תקציב מינהל תפעול 2022'!O20</f>
        <v>0</v>
      </c>
      <c r="P20" s="4">
        <f>'תקציב מינהל תפעול 2022'!P20</f>
        <v>80354</v>
      </c>
      <c r="Q20" s="4">
        <f>'תקציב מינהל תפעול 2022'!Q20</f>
        <v>0</v>
      </c>
      <c r="R20" s="4">
        <f>'תקציב מינהל תפעול 2022'!R20</f>
        <v>0</v>
      </c>
      <c r="S20" s="4">
        <f>'תקציב מינהל תפעול 2022'!S20</f>
        <v>0</v>
      </c>
      <c r="T20" s="4">
        <f>'תקציב מינהל תפעול 2022'!T20</f>
        <v>0</v>
      </c>
      <c r="U20" s="4">
        <f>'תקציב מינהל תפעול 2022'!U20</f>
        <v>50000</v>
      </c>
      <c r="V20" s="4">
        <f>'תקציב מינהל תפעול 2022'!V20</f>
        <v>0</v>
      </c>
      <c r="W20" s="4">
        <f>'תקציב מינהל תפעול 2022'!W20</f>
        <v>50000</v>
      </c>
      <c r="X20" s="4">
        <f>'תקציב מינהל תפעול 2022'!X20</f>
        <v>0</v>
      </c>
      <c r="Y20" s="4">
        <f>'תקציב מינהל תפעול 2022'!Y20</f>
        <v>0</v>
      </c>
      <c r="Z20" s="4">
        <f>'תקציב מינהל תפעול 2022'!Z20</f>
        <v>0</v>
      </c>
      <c r="AA20" s="4">
        <f>'תקציב מינהל תפעול 2022'!AA20</f>
        <v>0</v>
      </c>
      <c r="AB20" s="255" t="str">
        <f>'תקציב מינהל תפעול 2022'!AB20</f>
        <v>חינוך לקיימות. קול קורא לשנים 2018-2020. מימון מ. להגנת הסביבה.</v>
      </c>
      <c r="AC20" s="3">
        <v>870000</v>
      </c>
      <c r="AD20" s="462"/>
      <c r="AE20" s="462"/>
      <c r="AF20" s="462"/>
      <c r="AG20" s="462"/>
      <c r="AH20" s="462"/>
      <c r="AI20" s="462"/>
      <c r="AJ20" s="462"/>
      <c r="AK20" s="462"/>
      <c r="AL20" s="462"/>
      <c r="AM20" s="462"/>
      <c r="AN20" s="462"/>
      <c r="AO20" s="462"/>
      <c r="AP20" s="462"/>
      <c r="AQ20" s="462"/>
      <c r="AR20" s="462"/>
      <c r="AS20" s="462"/>
      <c r="AT20" s="462"/>
    </row>
    <row r="21" spans="1:46" ht="45">
      <c r="A21" s="3">
        <f t="shared" si="0"/>
        <v>17</v>
      </c>
      <c r="B21" s="3">
        <f>'תקציב מינהל תפעול 2022'!B21</f>
        <v>1621</v>
      </c>
      <c r="C21" s="255" t="str">
        <f>'תקציב מינהל תפעול 2022'!C21</f>
        <v>שדרוג מקלטים ציבוריים</v>
      </c>
      <c r="D21" s="4">
        <f>'תקציב מינהל תפעול 2022'!D21</f>
        <v>6030000</v>
      </c>
      <c r="E21" s="4">
        <f>'תקציב מינהל תפעול 2022'!E21</f>
        <v>3300000</v>
      </c>
      <c r="F21" s="4">
        <f>'תקציב מינהל תפעול 2022'!F21</f>
        <v>2730000</v>
      </c>
      <c r="G21" s="4">
        <f>'תקציב מינהל תפעול 2022'!G21</f>
        <v>2800000</v>
      </c>
      <c r="H21" s="4">
        <f>'תקציב מינהל תפעול 2022'!H21</f>
        <v>2114380</v>
      </c>
      <c r="I21" s="4">
        <f>'תקציב מינהל תפעול 2022'!I21</f>
        <v>0</v>
      </c>
      <c r="J21" s="4">
        <f>'תקציב מינהל תפעול 2022'!J21</f>
        <v>103765</v>
      </c>
      <c r="K21" s="4">
        <f>'תקציב מינהל תפעול 2022'!K21</f>
        <v>103765</v>
      </c>
      <c r="L21" s="4">
        <f>'תקציב מינהל תפעול 2022'!L21</f>
        <v>2218145</v>
      </c>
      <c r="M21" s="4">
        <f>'תקציב מינהל תפעול 2022'!M21</f>
        <v>581855</v>
      </c>
      <c r="N21" s="4">
        <f>'תקציב מינהל תפעול 2022'!N21</f>
        <v>1230000</v>
      </c>
      <c r="O21" s="4">
        <f>'תקציב מינהל תפעול 2022'!O21</f>
        <v>2000000</v>
      </c>
      <c r="P21" s="4">
        <f>'תקציב מינהל תפעול 2022'!P21</f>
        <v>581855</v>
      </c>
      <c r="Q21" s="4">
        <f>'תקציב מינהל תפעול 2022'!Q21</f>
        <v>0</v>
      </c>
      <c r="R21" s="4">
        <f>'תקציב מינהל תפעול 2022'!R21</f>
        <v>0</v>
      </c>
      <c r="S21" s="4">
        <f>'תקציב מינהל תפעול 2022'!S21</f>
        <v>0</v>
      </c>
      <c r="T21" s="4">
        <f>'תקציב מינהל תפעול 2022'!T21</f>
        <v>0</v>
      </c>
      <c r="U21" s="4">
        <f>'תקציב מינהל תפעול 2022'!U21</f>
        <v>1230000</v>
      </c>
      <c r="V21" s="4">
        <f>'תקציב מינהל תפעול 2022'!V21</f>
        <v>0</v>
      </c>
      <c r="W21" s="4">
        <f>'תקציב מינהל תפעול 2022'!W21</f>
        <v>1230000</v>
      </c>
      <c r="X21" s="4">
        <f>'תקציב מינהל תפעול 2022'!X21</f>
        <v>0</v>
      </c>
      <c r="Y21" s="4">
        <f>'תקציב מינהל תפעול 2022'!Y21</f>
        <v>0</v>
      </c>
      <c r="Z21" s="4">
        <f>'תקציב מינהל תפעול 2022'!Z21</f>
        <v>0</v>
      </c>
      <c r="AA21" s="4">
        <f>'תקציב מינהל תפעול 2022'!AA21</f>
        <v>0</v>
      </c>
      <c r="AB21" s="255" t="str">
        <f>'תקציב מינהל תפעול 2022'!AB21</f>
        <v>סל עבודות איטום מקלטים  עפ"י תוכנית ומערכת שליטה והגנה על מיקלטים בעיר.</v>
      </c>
      <c r="AC21" s="160">
        <v>723000</v>
      </c>
    </row>
    <row r="22" spans="1:46" ht="75">
      <c r="A22" s="3">
        <f t="shared" si="0"/>
        <v>18</v>
      </c>
      <c r="B22" s="3">
        <f>'תקציב מינהל תפעול 2022'!B22</f>
        <v>1680</v>
      </c>
      <c r="C22" s="255" t="str">
        <f>'תקציב מינהל תפעול 2022'!C22</f>
        <v>סקר עצים מסוכנים ברחבי העיר</v>
      </c>
      <c r="D22" s="4">
        <f>'תקציב מינהל תפעול 2022'!D22</f>
        <v>1300000</v>
      </c>
      <c r="E22" s="4">
        <f>'תקציב מינהל תפעול 2022'!E22</f>
        <v>2800000</v>
      </c>
      <c r="F22" s="4">
        <f>'תקציב מינהל תפעול 2022'!F22</f>
        <v>-1500000</v>
      </c>
      <c r="G22" s="4">
        <f>'תקציב מינהל תפעול 2022'!G22</f>
        <v>800000</v>
      </c>
      <c r="H22" s="4">
        <f>'תקציב מינהל תפעול 2022'!H22</f>
        <v>603520</v>
      </c>
      <c r="I22" s="4">
        <f>'תקציב מינהל תפעול 2022'!I22</f>
        <v>0</v>
      </c>
      <c r="J22" s="4">
        <f>'תקציב מינהל תפעול 2022'!J22</f>
        <v>121579</v>
      </c>
      <c r="K22" s="4">
        <f>'תקציב מינהל תפעול 2022'!K22</f>
        <v>121579</v>
      </c>
      <c r="L22" s="4">
        <f>'תקציב מינהל תפעול 2022'!L22</f>
        <v>725099</v>
      </c>
      <c r="M22" s="4">
        <f>'תקציב מינהל תפעול 2022'!M22</f>
        <v>74901</v>
      </c>
      <c r="N22" s="4">
        <f>'תקציב מינהל תפעול 2022'!N22</f>
        <v>500000</v>
      </c>
      <c r="O22" s="4">
        <f>'תקציב מינהל תפעול 2022'!O22</f>
        <v>0</v>
      </c>
      <c r="P22" s="4">
        <f>'תקציב מינהל תפעול 2022'!P22</f>
        <v>74901</v>
      </c>
      <c r="Q22" s="4">
        <f>'תקציב מינהל תפעול 2022'!Q22</f>
        <v>0</v>
      </c>
      <c r="R22" s="4">
        <f>'תקציב מינהל תפעול 2022'!R22</f>
        <v>0</v>
      </c>
      <c r="S22" s="4">
        <f>'תקציב מינהל תפעול 2022'!S22</f>
        <v>0</v>
      </c>
      <c r="T22" s="4">
        <f>'תקציב מינהל תפעול 2022'!T22</f>
        <v>0</v>
      </c>
      <c r="U22" s="4">
        <f>'תקציב מינהל תפעול 2022'!U22</f>
        <v>500000</v>
      </c>
      <c r="V22" s="4">
        <f>'תקציב מינהל תפעול 2022'!V22</f>
        <v>0</v>
      </c>
      <c r="W22" s="4">
        <f>'תקציב מינהל תפעול 2022'!W22</f>
        <v>500000</v>
      </c>
      <c r="X22" s="4">
        <f>'תקציב מינהל תפעול 2022'!X22</f>
        <v>0</v>
      </c>
      <c r="Y22" s="4">
        <f>'תקציב מינהל תפעול 2022'!Y22</f>
        <v>0</v>
      </c>
      <c r="Z22" s="4">
        <f>'תקציב מינהל תפעול 2022'!Z22</f>
        <v>0</v>
      </c>
      <c r="AA22" s="4">
        <f>'תקציב מינהל תפעול 2022'!AA22</f>
        <v>0</v>
      </c>
      <c r="AB22" s="255" t="str">
        <f>'תקציב מינהל תפעול 2022'!AB22</f>
        <v xml:space="preserve">ביצוע סקר מקיף של כל העצים בעיר ע"י אגרונומים. זאת עפ"י דרישה מ. החקלאות עקב שינויי אקלים והזדקנות העצים במרחב הציבורי. </v>
      </c>
      <c r="AC22" s="3">
        <v>746000</v>
      </c>
    </row>
    <row r="23" spans="1:46" ht="30" customHeight="1">
      <c r="A23" s="3">
        <f t="shared" si="0"/>
        <v>19</v>
      </c>
      <c r="B23" s="3">
        <f>'תקציב מינהל תפעול 2022'!B23</f>
        <v>1700</v>
      </c>
      <c r="C23" s="255" t="str">
        <f>'תקציב מינהל תפעול 2022'!C23</f>
        <v xml:space="preserve">רכישת ציוד טיפול זיהום חוף ים </v>
      </c>
      <c r="D23" s="4">
        <f>'תקציב מינהל תפעול 2022'!D23</f>
        <v>56971</v>
      </c>
      <c r="E23" s="4">
        <f>'תקציב מינהל תפעול 2022'!E23</f>
        <v>56971</v>
      </c>
      <c r="F23" s="4">
        <f>'תקציב מינהל תפעול 2022'!F23</f>
        <v>0</v>
      </c>
      <c r="G23" s="4">
        <f>'תקציב מינהל תפעול 2022'!G23</f>
        <v>56971</v>
      </c>
      <c r="H23" s="4">
        <f>'תקציב מינהל תפעול 2022'!H23</f>
        <v>56971</v>
      </c>
      <c r="I23" s="4">
        <f>'תקציב מינהל תפעול 2022'!I23</f>
        <v>0</v>
      </c>
      <c r="J23" s="4">
        <f>'תקציב מינהל תפעול 2022'!J23</f>
        <v>0</v>
      </c>
      <c r="K23" s="4">
        <f>'תקציב מינהל תפעול 2022'!K23</f>
        <v>0</v>
      </c>
      <c r="L23" s="4">
        <f>'תקציב מינהל תפעול 2022'!L23</f>
        <v>56971</v>
      </c>
      <c r="M23" s="4">
        <f>'תקציב מינהל תפעול 2022'!M23</f>
        <v>0</v>
      </c>
      <c r="N23" s="4">
        <f>'תקציב מינהל תפעול 2022'!N23</f>
        <v>0</v>
      </c>
      <c r="O23" s="4">
        <f>'תקציב מינהל תפעול 2022'!O23</f>
        <v>0</v>
      </c>
      <c r="P23" s="4">
        <f>'תקציב מינהל תפעול 2022'!P23</f>
        <v>0</v>
      </c>
      <c r="Q23" s="4">
        <f>'תקציב מינהל תפעול 2022'!Q23</f>
        <v>0</v>
      </c>
      <c r="R23" s="4">
        <f>'תקציב מינהל תפעול 2022'!R23</f>
        <v>0</v>
      </c>
      <c r="S23" s="4">
        <f>'תקציב מינהל תפעול 2022'!S23</f>
        <v>0</v>
      </c>
      <c r="T23" s="4">
        <f>'תקציב מינהל תפעול 2022'!T23</f>
        <v>0</v>
      </c>
      <c r="U23" s="4">
        <f>'תקציב מינהל תפעול 2022'!U23</f>
        <v>0</v>
      </c>
      <c r="V23" s="4">
        <f>'תקציב מינהל תפעול 2022'!V23</f>
        <v>0</v>
      </c>
      <c r="W23" s="4">
        <f>'תקציב מינהל תפעול 2022'!W23</f>
        <v>56971</v>
      </c>
      <c r="X23" s="4">
        <f>'תקציב מינהל תפעול 2022'!X23</f>
        <v>0</v>
      </c>
      <c r="Y23" s="4">
        <f>'תקציב מינהל תפעול 2022'!Y23</f>
        <v>0</v>
      </c>
      <c r="Z23" s="4">
        <f>'תקציב מינהל תפעול 2022'!Z23</f>
        <v>0</v>
      </c>
      <c r="AA23" s="4">
        <f>'תקציב מינהל תפעול 2022'!AA23</f>
        <v>-56971</v>
      </c>
      <c r="AB23" s="255" t="str">
        <f>'תקציב מינהל תפעול 2022'!AB23</f>
        <v>שינוי מימון. מ. להגנת הסביבה. התב"ר לסגירה.</v>
      </c>
      <c r="AC23" s="3">
        <v>747000</v>
      </c>
    </row>
    <row r="24" spans="1:46" ht="30" customHeight="1">
      <c r="A24" s="3">
        <f t="shared" si="0"/>
        <v>20</v>
      </c>
      <c r="B24" s="3">
        <f>'תקציב מינהל תפעול 2022'!B24</f>
        <v>1770</v>
      </c>
      <c r="C24" s="255" t="str">
        <f>'תקציב מינהל תפעול 2022'!C24</f>
        <v>שיפוצי מוסדות חינוך שונים  (לב טוב ,גורדון)</v>
      </c>
      <c r="D24" s="4">
        <f>'תקציב מינהל תפעול 2022'!D24</f>
        <v>29752105</v>
      </c>
      <c r="E24" s="4">
        <f>'תקציב מינהל תפעול 2022'!E24</f>
        <v>29752105</v>
      </c>
      <c r="F24" s="4">
        <f>'תקציב מינהל תפעול 2022'!F24</f>
        <v>0</v>
      </c>
      <c r="G24" s="4">
        <f>'תקציב מינהל תפעול 2022'!G24</f>
        <v>29752105</v>
      </c>
      <c r="H24" s="4">
        <f>'תקציב מינהל תפעול 2022'!H24</f>
        <v>29733213</v>
      </c>
      <c r="I24" s="4">
        <f>'תקציב מינהל תפעול 2022'!I24</f>
        <v>0</v>
      </c>
      <c r="J24" s="4">
        <f>'תקציב מינהל תפעול 2022'!J24</f>
        <v>11609</v>
      </c>
      <c r="K24" s="4">
        <f>'תקציב מינהל תפעול 2022'!K24</f>
        <v>11609</v>
      </c>
      <c r="L24" s="4">
        <f>'תקציב מינהל תפעול 2022'!L24</f>
        <v>29744822</v>
      </c>
      <c r="M24" s="4">
        <f>'תקציב מינהל תפעול 2022'!M24</f>
        <v>7283</v>
      </c>
      <c r="N24" s="4">
        <f>'תקציב מינהל תפעול 2022'!N24</f>
        <v>0</v>
      </c>
      <c r="O24" s="4">
        <f>'תקציב מינהל תפעול 2022'!O24</f>
        <v>0</v>
      </c>
      <c r="P24" s="4">
        <f>'תקציב מינהל תפעול 2022'!P24</f>
        <v>7283</v>
      </c>
      <c r="Q24" s="4">
        <f>'תקציב מינהל תפעול 2022'!Q24</f>
        <v>0</v>
      </c>
      <c r="R24" s="4">
        <f>'תקציב מינהל תפעול 2022'!R24</f>
        <v>0</v>
      </c>
      <c r="S24" s="4">
        <f>'תקציב מינהל תפעול 2022'!S24</f>
        <v>0</v>
      </c>
      <c r="T24" s="4">
        <f>'תקציב מינהל תפעול 2022'!T24</f>
        <v>0</v>
      </c>
      <c r="U24" s="4">
        <f>'תקציב מינהל תפעול 2022'!U24</f>
        <v>0</v>
      </c>
      <c r="V24" s="4">
        <f>'תקציב מינהל תפעול 2022'!V24</f>
        <v>934574</v>
      </c>
      <c r="W24" s="4">
        <f>'תקציב מינהל תפעול 2022'!W24</f>
        <v>775293</v>
      </c>
      <c r="X24" s="4">
        <f>'תקציב מינהל תפעול 2022'!X24</f>
        <v>0</v>
      </c>
      <c r="Y24" s="4">
        <f>'תקציב מינהל תפעול 2022'!Y24</f>
        <v>0</v>
      </c>
      <c r="Z24" s="4">
        <f>'תקציב מינהל תפעול 2022'!Z24</f>
        <v>0</v>
      </c>
      <c r="AA24" s="4">
        <f>'תקציב מינהל תפעול 2022'!AA24</f>
        <v>-1709867</v>
      </c>
      <c r="AB24" s="255" t="str">
        <f>'תקציב מינהל תפעול 2022'!AB24</f>
        <v>מימון מ. החינוך. שינוי מימון. התב"ר לסגירה.</v>
      </c>
      <c r="AC24" s="3">
        <v>810000</v>
      </c>
    </row>
    <row r="25" spans="1:46" s="494" customFormat="1" ht="30" customHeight="1">
      <c r="A25" s="3">
        <f t="shared" si="0"/>
        <v>21</v>
      </c>
      <c r="B25" s="3">
        <f>'תקציב מינהל תפעול 2022'!B25</f>
        <v>1794</v>
      </c>
      <c r="C25" s="255" t="str">
        <f>'תקציב מינהל תפעול 2022'!C25</f>
        <v>שיפוץ המקווה העירוני</v>
      </c>
      <c r="D25" s="4">
        <f>'תקציב מינהל תפעול 2022'!D25</f>
        <v>970000</v>
      </c>
      <c r="E25" s="4">
        <f>'תקציב מינהל תפעול 2022'!E25</f>
        <v>970000</v>
      </c>
      <c r="F25" s="4">
        <f>'תקציב מינהל תפעול 2022'!F25</f>
        <v>0</v>
      </c>
      <c r="G25" s="4">
        <f>'תקציב מינהל תפעול 2022'!G25</f>
        <v>970000</v>
      </c>
      <c r="H25" s="4">
        <f>'תקציב מינהל תפעול 2022'!H25</f>
        <v>949009</v>
      </c>
      <c r="I25" s="4">
        <f>'תקציב מינהל תפעול 2022'!I25</f>
        <v>20093</v>
      </c>
      <c r="J25" s="4">
        <f>'תקציב מינהל תפעול 2022'!J25</f>
        <v>0</v>
      </c>
      <c r="K25" s="4">
        <f>'תקציב מינהל תפעול 2022'!K25</f>
        <v>20093</v>
      </c>
      <c r="L25" s="4">
        <f>'תקציב מינהל תפעול 2022'!L25</f>
        <v>969102</v>
      </c>
      <c r="M25" s="4">
        <f>'תקציב מינהל תפעול 2022'!M25</f>
        <v>898</v>
      </c>
      <c r="N25" s="4">
        <f>'תקציב מינהל תפעול 2022'!N25</f>
        <v>0</v>
      </c>
      <c r="O25" s="4">
        <f>'תקציב מינהל תפעול 2022'!O25</f>
        <v>0</v>
      </c>
      <c r="P25" s="4">
        <f>'תקציב מינהל תפעול 2022'!P25</f>
        <v>898</v>
      </c>
      <c r="Q25" s="4">
        <f>'תקציב מינהל תפעול 2022'!Q25</f>
        <v>0</v>
      </c>
      <c r="R25" s="4">
        <f>'תקציב מינהל תפעול 2022'!R25</f>
        <v>0</v>
      </c>
      <c r="S25" s="4">
        <f>'תקציב מינהל תפעול 2022'!S25</f>
        <v>0</v>
      </c>
      <c r="T25" s="4">
        <f>'תקציב מינהל תפעול 2022'!T25</f>
        <v>0</v>
      </c>
      <c r="U25" s="4">
        <f>'תקציב מינהל תפעול 2022'!U25</f>
        <v>0</v>
      </c>
      <c r="V25" s="4">
        <f>'תקציב מינהל תפעול 2022'!V25</f>
        <v>0</v>
      </c>
      <c r="W25" s="4">
        <f>'תקציב מינהל תפעול 2022'!W25</f>
        <v>0</v>
      </c>
      <c r="X25" s="4">
        <f>'תקציב מינהל תפעול 2022'!X25</f>
        <v>0</v>
      </c>
      <c r="Y25" s="4">
        <f>'תקציב מינהל תפעול 2022'!Y25</f>
        <v>0</v>
      </c>
      <c r="Z25" s="4">
        <f>'תקציב מינהל תפעול 2022'!Z25</f>
        <v>0</v>
      </c>
      <c r="AA25" s="4">
        <f>'תקציב מינהל תפעול 2022'!AA25</f>
        <v>0</v>
      </c>
      <c r="AB25" s="255" t="str">
        <f>'תקציב מינהל תפעול 2022'!AB25</f>
        <v>עבודות שיקום חזיתות המקווה. ח-ן סופיים.</v>
      </c>
      <c r="AC25" s="3">
        <v>850000</v>
      </c>
      <c r="AD25" s="462"/>
      <c r="AE25" s="462"/>
      <c r="AF25" s="462"/>
      <c r="AG25" s="462"/>
      <c r="AH25" s="462"/>
      <c r="AI25" s="462"/>
      <c r="AJ25" s="462"/>
      <c r="AK25" s="462"/>
      <c r="AL25" s="462"/>
      <c r="AM25" s="462"/>
      <c r="AN25" s="462"/>
      <c r="AO25" s="462"/>
      <c r="AP25" s="462"/>
      <c r="AQ25" s="462"/>
      <c r="AR25" s="462"/>
      <c r="AS25" s="462"/>
      <c r="AT25" s="462"/>
    </row>
    <row r="26" spans="1:46" ht="30" customHeight="1">
      <c r="A26" s="3">
        <f t="shared" si="0"/>
        <v>22</v>
      </c>
      <c r="B26" s="3">
        <f>'תקציב מינהל תפעול 2022'!B26</f>
        <v>1817</v>
      </c>
      <c r="C26" s="255" t="str">
        <f>'תקציב מינהל תפעול 2022'!C26</f>
        <v>הקמת גינות בי"ס קהילתיות</v>
      </c>
      <c r="D26" s="4">
        <f>'תקציב מינהל תפעול 2022'!D26</f>
        <v>872000</v>
      </c>
      <c r="E26" s="4">
        <f>'תקציב מינהל תפעול 2022'!E26</f>
        <v>872000</v>
      </c>
      <c r="F26" s="4">
        <f>'תקציב מינהל תפעול 2022'!F26</f>
        <v>0</v>
      </c>
      <c r="G26" s="4">
        <f>'תקציב מינהל תפעול 2022'!G26</f>
        <v>790000</v>
      </c>
      <c r="H26" s="4">
        <f>'תקציב מינהל תפעול 2022'!H26</f>
        <v>658591</v>
      </c>
      <c r="I26" s="4">
        <f>'תקציב מינהל תפעול 2022'!I26</f>
        <v>0</v>
      </c>
      <c r="J26" s="4">
        <f>'תקציב מינהל תפעול 2022'!J26</f>
        <v>15719</v>
      </c>
      <c r="K26" s="4">
        <f>'תקציב מינהל תפעול 2022'!K26</f>
        <v>15719</v>
      </c>
      <c r="L26" s="4">
        <f>'תקציב מינהל תפעול 2022'!L26</f>
        <v>674310</v>
      </c>
      <c r="M26" s="4">
        <f>'תקציב מינהל תפעול 2022'!M26</f>
        <v>115690</v>
      </c>
      <c r="N26" s="4">
        <f>'תקציב מינהל תפעול 2022'!N26</f>
        <v>82000</v>
      </c>
      <c r="O26" s="4">
        <f>'תקציב מינהל תפעול 2022'!O26</f>
        <v>0</v>
      </c>
      <c r="P26" s="4">
        <f>'תקציב מינהל תפעול 2022'!P26</f>
        <v>115690</v>
      </c>
      <c r="Q26" s="4">
        <f>'תקציב מינהל תפעול 2022'!Q26</f>
        <v>0</v>
      </c>
      <c r="R26" s="4">
        <f>'תקציב מינהל תפעול 2022'!R26</f>
        <v>0</v>
      </c>
      <c r="S26" s="4">
        <f>'תקציב מינהל תפעול 2022'!S26</f>
        <v>0</v>
      </c>
      <c r="T26" s="4">
        <f>'תקציב מינהל תפעול 2022'!T26</f>
        <v>0</v>
      </c>
      <c r="U26" s="4">
        <f>'תקציב מינהל תפעול 2022'!U26</f>
        <v>82000</v>
      </c>
      <c r="V26" s="4">
        <f>'תקציב מינהל תפעול 2022'!V26</f>
        <v>0</v>
      </c>
      <c r="W26" s="4">
        <f>'תקציב מינהל תפעול 2022'!W26</f>
        <v>0</v>
      </c>
      <c r="X26" s="4">
        <f>'תקציב מינהל תפעול 2022'!X26</f>
        <v>0</v>
      </c>
      <c r="Y26" s="4">
        <f>'תקציב מינהל תפעול 2022'!Y26</f>
        <v>0</v>
      </c>
      <c r="Z26" s="4">
        <f>'תקציב מינהל תפעול 2022'!Z26</f>
        <v>0</v>
      </c>
      <c r="AA26" s="4">
        <f>'תקציב מינהל תפעול 2022'!AA26</f>
        <v>82000</v>
      </c>
      <c r="AB26" s="255" t="str">
        <f>'תקציב מינהל תפעול 2022'!AB26</f>
        <v>הקמת גינות קהילתיות בית ספריות. מימון קרן הועדה החקלאית.</v>
      </c>
      <c r="AC26" s="3">
        <v>810000</v>
      </c>
    </row>
    <row r="27" spans="1:46" ht="45">
      <c r="A27" s="3">
        <f t="shared" si="0"/>
        <v>23</v>
      </c>
      <c r="B27" s="3">
        <f>'תקציב מינהל תפעול 2022'!B27</f>
        <v>1831</v>
      </c>
      <c r="C27" s="255" t="str">
        <f>'תקציב מינהל תפעול 2022'!C27</f>
        <v>פרויקטים סביבתיים</v>
      </c>
      <c r="D27" s="4">
        <f>'תקציב מינהל תפעול 2022'!D27</f>
        <v>38025</v>
      </c>
      <c r="E27" s="4">
        <f>'תקציב מינהל תפעול 2022'!E27</f>
        <v>146059</v>
      </c>
      <c r="F27" s="4">
        <f>'תקציב מינהל תפעול 2022'!F27</f>
        <v>-108034</v>
      </c>
      <c r="G27" s="4">
        <f>'תקציב מינהל תפעול 2022'!G27</f>
        <v>146059</v>
      </c>
      <c r="H27" s="4">
        <f>'תקציב מינהל תפעול 2022'!H27</f>
        <v>38025</v>
      </c>
      <c r="I27" s="4">
        <f>'תקציב מינהל תפעול 2022'!I27</f>
        <v>0</v>
      </c>
      <c r="J27" s="4">
        <f>'תקציב מינהל תפעול 2022'!J27</f>
        <v>0</v>
      </c>
      <c r="K27" s="4">
        <f>'תקציב מינהל תפעול 2022'!K27</f>
        <v>0</v>
      </c>
      <c r="L27" s="4">
        <f>'תקציב מינהל תפעול 2022'!L27</f>
        <v>38025</v>
      </c>
      <c r="M27" s="4">
        <f>'תקציב מינהל תפעול 2022'!M27</f>
        <v>0</v>
      </c>
      <c r="N27" s="4">
        <f>'תקציב מינהל תפעול 2022'!N27</f>
        <v>0</v>
      </c>
      <c r="O27" s="4">
        <f>'תקציב מינהל תפעול 2022'!O27</f>
        <v>0</v>
      </c>
      <c r="P27" s="4">
        <f>'תקציב מינהל תפעול 2022'!P27</f>
        <v>108034</v>
      </c>
      <c r="Q27" s="4">
        <f>'תקציב מינהל תפעול 2022'!Q27</f>
        <v>0</v>
      </c>
      <c r="R27" s="4">
        <f>'תקציב מינהל תפעול 2022'!R27</f>
        <v>0</v>
      </c>
      <c r="S27" s="4">
        <f>'תקציב מינהל תפעול 2022'!S27</f>
        <v>0</v>
      </c>
      <c r="T27" s="4">
        <f>'תקציב מינהל תפעול 2022'!T27</f>
        <v>108034</v>
      </c>
      <c r="U27" s="4">
        <f>'תקציב מינהל תפעול 2022'!U27</f>
        <v>-108034</v>
      </c>
      <c r="V27" s="4">
        <f>'תקציב מינהל תפעול 2022'!V27</f>
        <v>0</v>
      </c>
      <c r="W27" s="4">
        <f>'תקציב מינהל תפעול 2022'!W27</f>
        <v>0</v>
      </c>
      <c r="X27" s="4">
        <f>'תקציב מינהל תפעול 2022'!X27</f>
        <v>0</v>
      </c>
      <c r="Y27" s="4">
        <f>'תקציב מינהל תפעול 2022'!Y27</f>
        <v>0</v>
      </c>
      <c r="Z27" s="4">
        <f>'תקציב מינהל תפעול 2022'!Z27</f>
        <v>0</v>
      </c>
      <c r="AA27" s="4">
        <f>'תקציב מינהל תפעול 2022'!AA27</f>
        <v>-108034</v>
      </c>
      <c r="AB27" s="255" t="str">
        <f>'תקציב מינהל תפעול 2022'!AB27</f>
        <v>פרויקטים סביבתתים לשיפור איכות הסביבה. מימון מלא מ. להגנת הסביבה.</v>
      </c>
      <c r="AC27" s="3">
        <v>870000</v>
      </c>
    </row>
    <row r="28" spans="1:46" ht="45">
      <c r="A28" s="3">
        <f t="shared" si="0"/>
        <v>24</v>
      </c>
      <c r="B28" s="3">
        <f>'תקציב מינהל תפעול 2022'!B28</f>
        <v>1848</v>
      </c>
      <c r="C28" s="255" t="str">
        <f>'תקציב מינהל תפעול 2022'!C28</f>
        <v>פרויקטים קטנים רזרבה אגפית (*) מינהל התפעול מינהלית</v>
      </c>
      <c r="D28" s="4">
        <f>'תקציב מינהל תפעול 2022'!D28</f>
        <v>1600000</v>
      </c>
      <c r="E28" s="4">
        <f>'תקציב מינהל תפעול 2022'!E28</f>
        <v>1300000</v>
      </c>
      <c r="F28" s="4">
        <f>'תקציב מינהל תפעול 2022'!F28</f>
        <v>300000</v>
      </c>
      <c r="G28" s="4">
        <f>'תקציב מינהל תפעול 2022'!G28</f>
        <v>1250000</v>
      </c>
      <c r="H28" s="4">
        <f>'תקציב מינהל תפעול 2022'!H28</f>
        <v>1009266</v>
      </c>
      <c r="I28" s="4">
        <f>'תקציב מינהל תפעול 2022'!I28</f>
        <v>0</v>
      </c>
      <c r="J28" s="4">
        <f>'תקציב מינהל תפעול 2022'!J28</f>
        <v>145190</v>
      </c>
      <c r="K28" s="4">
        <f>'תקציב מינהל תפעול 2022'!K28</f>
        <v>145190</v>
      </c>
      <c r="L28" s="4">
        <f>'תקציב מינהל תפעול 2022'!L28</f>
        <v>1154456</v>
      </c>
      <c r="M28" s="4">
        <f>'תקציב מינהל תפעול 2022'!M28</f>
        <v>145544</v>
      </c>
      <c r="N28" s="4">
        <f>'תקציב מינהל תפעול 2022'!N28</f>
        <v>300000</v>
      </c>
      <c r="O28" s="4">
        <f>'תקציב מינהל תפעול 2022'!O28</f>
        <v>0</v>
      </c>
      <c r="P28" s="4">
        <f>'תקציב מינהל תפעול 2022'!P28</f>
        <v>95544</v>
      </c>
      <c r="Q28" s="4">
        <f>'תקציב מינהל תפעול 2022'!Q28</f>
        <v>50000</v>
      </c>
      <c r="R28" s="4">
        <f>'תקציב מינהל תפעול 2022'!R28</f>
        <v>0</v>
      </c>
      <c r="S28" s="4">
        <f>'תקציב מינהל תפעול 2022'!S28</f>
        <v>50000</v>
      </c>
      <c r="T28" s="4">
        <f>'תקציב מינהל תפעול 2022'!T28</f>
        <v>0</v>
      </c>
      <c r="U28" s="4">
        <f>'תקציב מינהל תפעול 2022'!U28</f>
        <v>300000</v>
      </c>
      <c r="V28" s="4">
        <f>'תקציב מינהל תפעול 2022'!V28</f>
        <v>0</v>
      </c>
      <c r="W28" s="4">
        <f>'תקציב מינהל תפעול 2022'!W28</f>
        <v>300000</v>
      </c>
      <c r="X28" s="4">
        <f>'תקציב מינהל תפעול 2022'!X28</f>
        <v>0</v>
      </c>
      <c r="Y28" s="4">
        <f>'תקציב מינהל תפעול 2022'!Y28</f>
        <v>0</v>
      </c>
      <c r="Z28" s="4">
        <f>'תקציב מינהל תפעול 2022'!Z28</f>
        <v>0</v>
      </c>
      <c r="AA28" s="4">
        <f>'תקציב מינהל תפעול 2022'!AA28</f>
        <v>0</v>
      </c>
      <c r="AB28" s="255" t="str">
        <f>'תקציב מינהל תפעול 2022'!AB28</f>
        <v>סל לביצוע עבודות פרויקטים קטנים הנדרשים ע"י המינהל מעת לעת.</v>
      </c>
      <c r="AC28" s="3">
        <v>742000</v>
      </c>
    </row>
    <row r="29" spans="1:46" ht="45">
      <c r="A29" s="3">
        <f t="shared" si="0"/>
        <v>25</v>
      </c>
      <c r="B29" s="3">
        <f>'תקציב מינהל תפעול 2022'!B29</f>
        <v>1849</v>
      </c>
      <c r="C29" s="255" t="str">
        <f>'תקציב מינהל תפעול 2022'!C29</f>
        <v xml:space="preserve"> התקנת גופי תאורה בטכנולוגיה מתקדמת במגרשי הספורט</v>
      </c>
      <c r="D29" s="4">
        <f>'תקציב מינהל תפעול 2022'!D29</f>
        <v>1100000</v>
      </c>
      <c r="E29" s="4">
        <f>'תקציב מינהל תפעול 2022'!E29</f>
        <v>2150000</v>
      </c>
      <c r="F29" s="4">
        <f>'תקציב מינהל תפעול 2022'!F29</f>
        <v>-1050000</v>
      </c>
      <c r="G29" s="4">
        <f>'תקציב מינהל תפעול 2022'!G29</f>
        <v>1100000</v>
      </c>
      <c r="H29" s="4">
        <f>'תקציב מינהל תפעול 2022'!H29</f>
        <v>1094513</v>
      </c>
      <c r="I29" s="4">
        <f>'תקציב מינהל תפעול 2022'!I29</f>
        <v>0</v>
      </c>
      <c r="J29" s="4">
        <f>'תקציב מינהל תפעול 2022'!J29</f>
        <v>2040</v>
      </c>
      <c r="K29" s="4">
        <f>'תקציב מינהל תפעול 2022'!K29</f>
        <v>2040</v>
      </c>
      <c r="L29" s="4">
        <f>'תקציב מינהל תפעול 2022'!L29</f>
        <v>1096553</v>
      </c>
      <c r="M29" s="4">
        <f>'תקציב מינהל תפעול 2022'!M29</f>
        <v>3447</v>
      </c>
      <c r="N29" s="4">
        <f>'תקציב מינהל תפעול 2022'!N29</f>
        <v>0</v>
      </c>
      <c r="O29" s="4">
        <f>'תקציב מינהל תפעול 2022'!O29</f>
        <v>0</v>
      </c>
      <c r="P29" s="4">
        <f>'תקציב מינהל תפעול 2022'!P29</f>
        <v>3447</v>
      </c>
      <c r="Q29" s="4">
        <f>'תקציב מינהל תפעול 2022'!Q29</f>
        <v>0</v>
      </c>
      <c r="R29" s="4">
        <f>'תקציב מינהל תפעול 2022'!R29</f>
        <v>0</v>
      </c>
      <c r="S29" s="4">
        <f>'תקציב מינהל תפעול 2022'!S29</f>
        <v>0</v>
      </c>
      <c r="T29" s="4">
        <f>'תקציב מינהל תפעול 2022'!T29</f>
        <v>0</v>
      </c>
      <c r="U29" s="4">
        <f>'תקציב מינהל תפעול 2022'!U29</f>
        <v>0</v>
      </c>
      <c r="V29" s="4">
        <f>'תקציב מינהל תפעול 2022'!V29</f>
        <v>0</v>
      </c>
      <c r="W29" s="4">
        <f>'תקציב מינהל תפעול 2022'!W29</f>
        <v>0</v>
      </c>
      <c r="X29" s="4">
        <f>'תקציב מינהל תפעול 2022'!X29</f>
        <v>0</v>
      </c>
      <c r="Y29" s="4">
        <f>'תקציב מינהל תפעול 2022'!Y29</f>
        <v>0</v>
      </c>
      <c r="Z29" s="4">
        <f>'תקציב מינהל תפעול 2022'!Z29</f>
        <v>0</v>
      </c>
      <c r="AA29" s="4">
        <f>'תקציב מינהל תפעול 2022'!AA29</f>
        <v>0</v>
      </c>
      <c r="AB29" s="255" t="str">
        <f>'תקציב מינהל תפעול 2022'!AB29</f>
        <v xml:space="preserve">התקנת גופי תאורה בטכנולוגיה מתקדמת במגרשי ספורט. </v>
      </c>
      <c r="AC29" s="3">
        <v>743000</v>
      </c>
    </row>
    <row r="30" spans="1:46" ht="40.9" customHeight="1">
      <c r="A30" s="3">
        <f t="shared" si="0"/>
        <v>26</v>
      </c>
      <c r="B30" s="3">
        <f>'תקציב מינהל תפעול 2022'!B30</f>
        <v>1850</v>
      </c>
      <c r="C30" s="255" t="str">
        <f>'תקציב מינהל תפעול 2022'!C30</f>
        <v>תיקון ליקויים סקר כיבוי אש מוס"ח  ועיריה</v>
      </c>
      <c r="D30" s="4">
        <f>'תקציב מינהל תפעול 2022'!D30</f>
        <v>14600000</v>
      </c>
      <c r="E30" s="4">
        <f>'תקציב מינהל תפעול 2022'!E30</f>
        <v>14600000</v>
      </c>
      <c r="F30" s="4">
        <f>'תקציב מינהל תפעול 2022'!F30</f>
        <v>0</v>
      </c>
      <c r="G30" s="4">
        <f>'תקציב מינהל תפעול 2022'!G30</f>
        <v>5250000</v>
      </c>
      <c r="H30" s="4">
        <f>'תקציב מינהל תפעול 2022'!H30</f>
        <v>4906484</v>
      </c>
      <c r="I30" s="4">
        <f>'תקציב מינהל תפעול 2022'!I30</f>
        <v>0</v>
      </c>
      <c r="J30" s="4">
        <f>'תקציב מינהל תפעול 2022'!J30</f>
        <v>342952</v>
      </c>
      <c r="K30" s="4">
        <f>'תקציב מינהל תפעול 2022'!K30</f>
        <v>342952</v>
      </c>
      <c r="L30" s="4">
        <f>'תקציב מינהל תפעול 2022'!L30</f>
        <v>5249436</v>
      </c>
      <c r="M30" s="4">
        <f>'תקציב מינהל תפעול 2022'!M30</f>
        <v>564</v>
      </c>
      <c r="N30" s="4">
        <f>'תקציב מינהל תפעול 2022'!N30</f>
        <v>500000</v>
      </c>
      <c r="O30" s="4">
        <f>'תקציב מינהל תפעול 2022'!O30</f>
        <v>8850000</v>
      </c>
      <c r="P30" s="4">
        <f>'תקציב מינהל תפעול 2022'!P30</f>
        <v>564</v>
      </c>
      <c r="Q30" s="4">
        <f>'תקציב מינהל תפעול 2022'!Q30</f>
        <v>0</v>
      </c>
      <c r="R30" s="4">
        <f>'תקציב מינהל תפעול 2022'!R30</f>
        <v>0</v>
      </c>
      <c r="S30" s="4">
        <f>'תקציב מינהל תפעול 2022'!S30</f>
        <v>0</v>
      </c>
      <c r="T30" s="4">
        <f>'תקציב מינהל תפעול 2022'!T30</f>
        <v>0</v>
      </c>
      <c r="U30" s="4">
        <f>'תקציב מינהל תפעול 2022'!U30</f>
        <v>500000</v>
      </c>
      <c r="V30" s="4">
        <f>'תקציב מינהל תפעול 2022'!V30</f>
        <v>0</v>
      </c>
      <c r="W30" s="4">
        <f>'תקציב מינהל תפעול 2022'!W30</f>
        <v>500000</v>
      </c>
      <c r="X30" s="4">
        <f>'תקציב מינהל תפעול 2022'!X30</f>
        <v>0</v>
      </c>
      <c r="Y30" s="4">
        <f>'תקציב מינהל תפעול 2022'!Y30</f>
        <v>0</v>
      </c>
      <c r="Z30" s="4">
        <f>'תקציב מינהל תפעול 2022'!Z30</f>
        <v>0</v>
      </c>
      <c r="AA30" s="4">
        <f>'תקציב מינהל תפעול 2022'!AA30</f>
        <v>0</v>
      </c>
      <c r="AB30" s="255" t="str">
        <f>'תקציב מינהל תפעול 2022'!AB30</f>
        <v>סל לעבודות הסדרת ליקויים כיבוי אש במוס"ח ובמוסדות עיריה  לפי סקר.</v>
      </c>
      <c r="AC30" s="3">
        <v>810000</v>
      </c>
    </row>
    <row r="31" spans="1:46" ht="60">
      <c r="A31" s="3">
        <f t="shared" si="0"/>
        <v>27</v>
      </c>
      <c r="B31" s="3">
        <f>'תקציב מינהל תפעול 2022'!B31</f>
        <v>1866</v>
      </c>
      <c r="C31" s="255" t="str">
        <f>'תקציב מינהל תפעול 2022'!C31</f>
        <v>פרויקט "הרצליה נקיה מאסבסט"</v>
      </c>
      <c r="D31" s="4">
        <f>'תקציב מינהל תפעול 2022'!D31</f>
        <v>205000</v>
      </c>
      <c r="E31" s="4">
        <f>'תקציב מינהל תפעול 2022'!E31</f>
        <v>205000</v>
      </c>
      <c r="F31" s="4">
        <f>'תקציב מינהל תפעול 2022'!F31</f>
        <v>0</v>
      </c>
      <c r="G31" s="4">
        <f>'תקציב מינהל תפעול 2022'!G31</f>
        <v>205000</v>
      </c>
      <c r="H31" s="4">
        <f>'תקציב מינהל תפעול 2022'!H31</f>
        <v>201952</v>
      </c>
      <c r="I31" s="4">
        <f>'תקציב מינהל תפעול 2022'!I31</f>
        <v>0</v>
      </c>
      <c r="J31" s="4">
        <f>'תקציב מינהל תפעול 2022'!J31</f>
        <v>0</v>
      </c>
      <c r="K31" s="4">
        <f>'תקציב מינהל תפעול 2022'!K31</f>
        <v>0</v>
      </c>
      <c r="L31" s="4">
        <f>'תקציב מינהל תפעול 2022'!L31</f>
        <v>201952</v>
      </c>
      <c r="M31" s="4">
        <f>'תקציב מינהל תפעול 2022'!M31</f>
        <v>3048</v>
      </c>
      <c r="N31" s="4">
        <f>'תקציב מינהל תפעול 2022'!N31</f>
        <v>0</v>
      </c>
      <c r="O31" s="4">
        <f>'תקציב מינהל תפעול 2022'!O31</f>
        <v>0</v>
      </c>
      <c r="P31" s="4">
        <f>'תקציב מינהל תפעול 2022'!P31</f>
        <v>3048</v>
      </c>
      <c r="Q31" s="4">
        <f>'תקציב מינהל תפעול 2022'!Q31</f>
        <v>0</v>
      </c>
      <c r="R31" s="4">
        <f>'תקציב מינהל תפעול 2022'!R31</f>
        <v>0</v>
      </c>
      <c r="S31" s="4">
        <f>'תקציב מינהל תפעול 2022'!S31</f>
        <v>0</v>
      </c>
      <c r="T31" s="4">
        <f>'תקציב מינהל תפעול 2022'!T31</f>
        <v>0</v>
      </c>
      <c r="U31" s="4">
        <f>'תקציב מינהל תפעול 2022'!U31</f>
        <v>0</v>
      </c>
      <c r="V31" s="4">
        <f>'תקציב מינהל תפעול 2022'!V31</f>
        <v>0</v>
      </c>
      <c r="W31" s="4">
        <f>'תקציב מינהל תפעול 2022'!W31</f>
        <v>0</v>
      </c>
      <c r="X31" s="4">
        <f>'תקציב מינהל תפעול 2022'!X31</f>
        <v>0</v>
      </c>
      <c r="Y31" s="4">
        <f>'תקציב מינהל תפעול 2022'!Y31</f>
        <v>0</v>
      </c>
      <c r="Z31" s="4">
        <f>'תקציב מינהל תפעול 2022'!Z31</f>
        <v>0</v>
      </c>
      <c r="AA31" s="4">
        <f>'תקציב מינהל תפעול 2022'!AA31</f>
        <v>0</v>
      </c>
      <c r="AB31" s="255" t="str">
        <f>'תקציב מינהל תפעול 2022'!AB31</f>
        <v>הסרת גגות אסבסט ממבנים בעיר וסיוע לתושבים לאיסוף אסבסט בהיקפים קטנים. ראה תב"ר 1435.</v>
      </c>
      <c r="AC31" s="3">
        <v>870000</v>
      </c>
    </row>
    <row r="32" spans="1:46" ht="30" customHeight="1">
      <c r="A32" s="3">
        <f t="shared" si="0"/>
        <v>28</v>
      </c>
      <c r="B32" s="3">
        <f>'תקציב מינהל תפעול 2022'!B32</f>
        <v>1883</v>
      </c>
      <c r="C32" s="255" t="str">
        <f>'תקציב מינהל תפעול 2022'!C32</f>
        <v>שיפוץ ותוספת בניה בי"ס בר אילן</v>
      </c>
      <c r="D32" s="4">
        <f>'תקציב מינהל תפעול 2022'!D32</f>
        <v>27245000</v>
      </c>
      <c r="E32" s="4">
        <f>'תקציב מינהל תפעול 2022'!E32</f>
        <v>27245000</v>
      </c>
      <c r="F32" s="4">
        <f>'תקציב מינהל תפעול 2022'!F32</f>
        <v>0</v>
      </c>
      <c r="G32" s="4">
        <f>'תקציב מינהל תפעול 2022'!G32</f>
        <v>26215000</v>
      </c>
      <c r="H32" s="4">
        <f>'תקציב מינהל תפעול 2022'!H32</f>
        <v>26214141</v>
      </c>
      <c r="I32" s="4">
        <f>'תקציב מינהל תפעול 2022'!I32</f>
        <v>0</v>
      </c>
      <c r="J32" s="4">
        <f>'תקציב מינהל תפעול 2022'!J32</f>
        <v>0</v>
      </c>
      <c r="K32" s="4">
        <f>'תקציב מינהל תפעול 2022'!K32</f>
        <v>0</v>
      </c>
      <c r="L32" s="4">
        <f>'תקציב מינהל תפעול 2022'!L32</f>
        <v>26214141</v>
      </c>
      <c r="M32" s="4">
        <f>'תקציב מינהל תפעול 2022'!M32</f>
        <v>859</v>
      </c>
      <c r="N32" s="4">
        <f>'תקציב מינהל תפעול 2022'!N32</f>
        <v>0</v>
      </c>
      <c r="O32" s="4">
        <f>'תקציב מינהל תפעול 2022'!O32</f>
        <v>1030000</v>
      </c>
      <c r="P32" s="4">
        <f>'תקציב מינהל תפעול 2022'!P32</f>
        <v>859</v>
      </c>
      <c r="Q32" s="4">
        <f>'תקציב מינהל תפעול 2022'!Q32</f>
        <v>0</v>
      </c>
      <c r="R32" s="4">
        <f>'תקציב מינהל תפעול 2022'!R32</f>
        <v>0</v>
      </c>
      <c r="S32" s="4">
        <f>'תקציב מינהל תפעול 2022'!S32</f>
        <v>0</v>
      </c>
      <c r="T32" s="4">
        <f>'תקציב מינהל תפעול 2022'!T32</f>
        <v>0</v>
      </c>
      <c r="U32" s="4">
        <f>'תקציב מינהל תפעול 2022'!U32</f>
        <v>0</v>
      </c>
      <c r="V32" s="4">
        <f>'תקציב מינהל תפעול 2022'!V32</f>
        <v>0</v>
      </c>
      <c r="W32" s="4">
        <f>'תקציב מינהל תפעול 2022'!W32</f>
        <v>0</v>
      </c>
      <c r="X32" s="4">
        <f>'תקציב מינהל תפעול 2022'!X32</f>
        <v>0</v>
      </c>
      <c r="Y32" s="4">
        <f>'תקציב מינהל תפעול 2022'!Y32</f>
        <v>0</v>
      </c>
      <c r="Z32" s="4">
        <f>'תקציב מינהל תפעול 2022'!Z32</f>
        <v>0</v>
      </c>
      <c r="AA32" s="4">
        <f>'תקציב מינהל תפעול 2022'!AA32</f>
        <v>0</v>
      </c>
      <c r="AB32" s="255" t="str">
        <f>'תקציב מינהל תפעול 2022'!AB32</f>
        <v>משטחי בטיחות, מתקני חצר,גינון, דשא סינטטי.</v>
      </c>
      <c r="AC32" s="3">
        <v>810000</v>
      </c>
    </row>
    <row r="33" spans="1:29" ht="45">
      <c r="A33" s="3">
        <f t="shared" si="0"/>
        <v>29</v>
      </c>
      <c r="B33" s="3">
        <f>'תקציב מינהל תפעול 2022'!B33</f>
        <v>1887</v>
      </c>
      <c r="C33" s="255" t="str">
        <f>'תקציב מינהל תפעול 2022'!C33</f>
        <v>שיפוץ בי"ס מפתן ארז</v>
      </c>
      <c r="D33" s="4">
        <f>'תקציב מינהל תפעול 2022'!D33</f>
        <v>5200000</v>
      </c>
      <c r="E33" s="4">
        <f>'תקציב מינהל תפעול 2022'!E33</f>
        <v>5200000</v>
      </c>
      <c r="F33" s="4">
        <f>'תקציב מינהל תפעול 2022'!F33</f>
        <v>0</v>
      </c>
      <c r="G33" s="4">
        <f>'תקציב מינהל תפעול 2022'!G33</f>
        <v>1760000</v>
      </c>
      <c r="H33" s="4">
        <f>'תקציב מינהל תפעול 2022'!H33</f>
        <v>1377669</v>
      </c>
      <c r="I33" s="4">
        <f>'תקציב מינהל תפעול 2022'!I33</f>
        <v>332775</v>
      </c>
      <c r="J33" s="4">
        <f>'תקציב מינהל תפעול 2022'!J33</f>
        <v>0</v>
      </c>
      <c r="K33" s="4">
        <f>'תקציב מינהל תפעול 2022'!K33</f>
        <v>332775</v>
      </c>
      <c r="L33" s="4">
        <f>'תקציב מינהל תפעול 2022'!L33</f>
        <v>1710444</v>
      </c>
      <c r="M33" s="4">
        <f>'תקציב מינהל תפעול 2022'!M33</f>
        <v>49556</v>
      </c>
      <c r="N33" s="4">
        <f>'תקציב מינהל תפעול 2022'!N33</f>
        <v>0</v>
      </c>
      <c r="O33" s="4">
        <f>'תקציב מינהל תפעול 2022'!O33</f>
        <v>3440000</v>
      </c>
      <c r="P33" s="4">
        <f>'תקציב מינהל תפעול 2022'!P33</f>
        <v>49556</v>
      </c>
      <c r="Q33" s="4">
        <f>'תקציב מינהל תפעול 2022'!Q33</f>
        <v>0</v>
      </c>
      <c r="R33" s="4">
        <f>'תקציב מינהל תפעול 2022'!R33</f>
        <v>0</v>
      </c>
      <c r="S33" s="4">
        <f>'תקציב מינהל תפעול 2022'!S33</f>
        <v>0</v>
      </c>
      <c r="T33" s="4">
        <f>'תקציב מינהל תפעול 2022'!T33</f>
        <v>0</v>
      </c>
      <c r="U33" s="4">
        <f>'תקציב מינהל תפעול 2022'!U33</f>
        <v>0</v>
      </c>
      <c r="V33" s="4">
        <f>'תקציב מינהל תפעול 2022'!V33</f>
        <v>0</v>
      </c>
      <c r="W33" s="4">
        <f>'תקציב מינהל תפעול 2022'!W33</f>
        <v>0</v>
      </c>
      <c r="X33" s="4">
        <f>'תקציב מינהל תפעול 2022'!X33</f>
        <v>0</v>
      </c>
      <c r="Y33" s="4">
        <f>'תקציב מינהל תפעול 2022'!Y33</f>
        <v>0</v>
      </c>
      <c r="Z33" s="4">
        <f>'תקציב מינהל תפעול 2022'!Z33</f>
        <v>0</v>
      </c>
      <c r="AA33" s="4">
        <f>'תקציב מינהל תפעול 2022'!AA33</f>
        <v>0</v>
      </c>
      <c r="AB33" s="255" t="str">
        <f>'תקציב מינהל תפעול 2022'!AB33</f>
        <v>שלב ב' של עבודות שיפוצים יסודיים הרחבות בקומת הקרקע, מטבח, חזיתות. עיכוב בהיתר.</v>
      </c>
      <c r="AC33" s="3">
        <v>810000</v>
      </c>
    </row>
    <row r="34" spans="1:29" ht="30" customHeight="1">
      <c r="A34" s="3">
        <f t="shared" si="0"/>
        <v>30</v>
      </c>
      <c r="B34" s="3">
        <f>'תקציב מינהל תפעול 2022'!B34</f>
        <v>1899</v>
      </c>
      <c r="C34" s="255" t="str">
        <f>'תקציב מינהל תפעול 2022'!C34</f>
        <v>רכישת מיכלי אצירה לפסולת ומיחזור</v>
      </c>
      <c r="D34" s="4">
        <f>'תקציב מינהל תפעול 2022'!D34</f>
        <v>670000</v>
      </c>
      <c r="E34" s="4">
        <f>'תקציב מינהל תפעול 2022'!E34</f>
        <v>1270000</v>
      </c>
      <c r="F34" s="4">
        <f>'תקציב מינהל תפעול 2022'!F34</f>
        <v>-600000</v>
      </c>
      <c r="G34" s="4">
        <f>'תקציב מינהל תפעול 2022'!G34</f>
        <v>670000</v>
      </c>
      <c r="H34" s="4">
        <f>'תקציב מינהל תפעול 2022'!H34</f>
        <v>442405</v>
      </c>
      <c r="I34" s="4">
        <f>'תקציב מינהל תפעול 2022'!I34</f>
        <v>0</v>
      </c>
      <c r="J34" s="4">
        <f>'תקציב מינהל תפעול 2022'!J34</f>
        <v>1427</v>
      </c>
      <c r="K34" s="4">
        <f>'תקציב מינהל תפעול 2022'!K34</f>
        <v>1427</v>
      </c>
      <c r="L34" s="4">
        <f>'תקציב מינהל תפעול 2022'!L34</f>
        <v>443832</v>
      </c>
      <c r="M34" s="4">
        <f>'תקציב מינהל תפעול 2022'!M34</f>
        <v>226168</v>
      </c>
      <c r="N34" s="4">
        <f>'תקציב מינהל תפעול 2022'!N34</f>
        <v>0</v>
      </c>
      <c r="O34" s="4">
        <f>'תקציב מינהל תפעול 2022'!O34</f>
        <v>0</v>
      </c>
      <c r="P34" s="4">
        <f>'תקציב מינהל תפעול 2022'!P34</f>
        <v>226168</v>
      </c>
      <c r="Q34" s="4">
        <f>'תקציב מינהל תפעול 2022'!Q34</f>
        <v>0</v>
      </c>
      <c r="R34" s="4">
        <f>'תקציב מינהל תפעול 2022'!R34</f>
        <v>0</v>
      </c>
      <c r="S34" s="4">
        <f>'תקציב מינהל תפעול 2022'!S34</f>
        <v>0</v>
      </c>
      <c r="T34" s="4">
        <f>'תקציב מינהל תפעול 2022'!T34</f>
        <v>0</v>
      </c>
      <c r="U34" s="4">
        <f>'תקציב מינהל תפעול 2022'!U34</f>
        <v>0</v>
      </c>
      <c r="V34" s="4">
        <f>'תקציב מינהל תפעול 2022'!V34</f>
        <v>0</v>
      </c>
      <c r="W34" s="4">
        <f>'תקציב מינהל תפעול 2022'!W34</f>
        <v>0</v>
      </c>
      <c r="X34" s="4">
        <f>'תקציב מינהל תפעול 2022'!X34</f>
        <v>0</v>
      </c>
      <c r="Y34" s="4">
        <f>'תקציב מינהל תפעול 2022'!Y34</f>
        <v>0</v>
      </c>
      <c r="Z34" s="4">
        <f>'תקציב מינהל תפעול 2022'!Z34</f>
        <v>0</v>
      </c>
      <c r="AA34" s="4">
        <f>'תקציב מינהל תפעול 2022'!AA34</f>
        <v>0</v>
      </c>
      <c r="AB34" s="255" t="str">
        <f>'תקציב מינהל תפעול 2022'!AB34</f>
        <v xml:space="preserve">רכישת מיכלי אצירה מפלסטיק ומתכת לפסולת ומיחזור. </v>
      </c>
      <c r="AC34" s="3">
        <v>870000</v>
      </c>
    </row>
    <row r="35" spans="1:29" ht="30" customHeight="1">
      <c r="A35" s="3">
        <f t="shared" si="0"/>
        <v>31</v>
      </c>
      <c r="B35" s="3">
        <f>'תקציב מינהל תפעול 2022'!B35</f>
        <v>1900</v>
      </c>
      <c r="C35" s="255" t="str">
        <f>'תקציב מינהל תפעול 2022'!C35</f>
        <v>התקנת מעלית בי"ס שז"ר</v>
      </c>
      <c r="D35" s="4">
        <f>'תקציב מינהל תפעול 2022'!D35</f>
        <v>600000</v>
      </c>
      <c r="E35" s="4">
        <f>'תקציב מינהל תפעול 2022'!E35</f>
        <v>600000</v>
      </c>
      <c r="F35" s="4">
        <f>'תקציב מינהל תפעול 2022'!F35</f>
        <v>0</v>
      </c>
      <c r="G35" s="4">
        <f>'תקציב מינהל תפעול 2022'!G35</f>
        <v>600000</v>
      </c>
      <c r="H35" s="4">
        <f>'תקציב מינהל תפעול 2022'!H35</f>
        <v>522411</v>
      </c>
      <c r="I35" s="4">
        <f>'תקציב מינהל תפעול 2022'!I35</f>
        <v>0</v>
      </c>
      <c r="J35" s="4">
        <f>'תקציב מינהל תפעול 2022'!J35</f>
        <v>50504</v>
      </c>
      <c r="K35" s="4">
        <f>'תקציב מינהל תפעול 2022'!K35</f>
        <v>50504</v>
      </c>
      <c r="L35" s="4">
        <f>'תקציב מינהל תפעול 2022'!L35</f>
        <v>572915</v>
      </c>
      <c r="M35" s="4">
        <f>'תקציב מינהל תפעול 2022'!M35</f>
        <v>27085</v>
      </c>
      <c r="N35" s="4">
        <f>'תקציב מינהל תפעול 2022'!N35</f>
        <v>0</v>
      </c>
      <c r="O35" s="4">
        <f>'תקציב מינהל תפעול 2022'!O35</f>
        <v>0</v>
      </c>
      <c r="P35" s="4">
        <f>'תקציב מינהל תפעול 2022'!P35</f>
        <v>27085</v>
      </c>
      <c r="Q35" s="4">
        <f>'תקציב מינהל תפעול 2022'!Q35</f>
        <v>0</v>
      </c>
      <c r="R35" s="4">
        <f>'תקציב מינהל תפעול 2022'!R35</f>
        <v>0</v>
      </c>
      <c r="S35" s="4">
        <f>'תקציב מינהל תפעול 2022'!S35</f>
        <v>0</v>
      </c>
      <c r="T35" s="4">
        <f>'תקציב מינהל תפעול 2022'!T35</f>
        <v>0</v>
      </c>
      <c r="U35" s="4">
        <f>'תקציב מינהל תפעול 2022'!U35</f>
        <v>0</v>
      </c>
      <c r="V35" s="4">
        <f>'תקציב מינהל תפעול 2022'!V35</f>
        <v>0</v>
      </c>
      <c r="W35" s="4">
        <f>'תקציב מינהל תפעול 2022'!W35</f>
        <v>0</v>
      </c>
      <c r="X35" s="4">
        <f>'תקציב מינהל תפעול 2022'!X35</f>
        <v>0</v>
      </c>
      <c r="Y35" s="4">
        <f>'תקציב מינהל תפעול 2022'!Y35</f>
        <v>0</v>
      </c>
      <c r="Z35" s="4">
        <f>'תקציב מינהל תפעול 2022'!Z35</f>
        <v>0</v>
      </c>
      <c r="AA35" s="4">
        <f>'תקציב מינהל תפעול 2022'!AA35</f>
        <v>0</v>
      </c>
      <c r="AB35" s="255" t="str">
        <f>'תקציב מינהל תפעול 2022'!AB35</f>
        <v>התקנת מעלית . מימון חלקי של משרד החינוך.</v>
      </c>
      <c r="AC35" s="3">
        <v>810000</v>
      </c>
    </row>
    <row r="36" spans="1:29" ht="75">
      <c r="A36" s="3">
        <f t="shared" si="0"/>
        <v>32</v>
      </c>
      <c r="B36" s="3">
        <f>'תקציב מינהל תפעול 2022'!B36</f>
        <v>1917</v>
      </c>
      <c r="C36" s="255" t="str">
        <f>'תקציב מינהל תפעול 2022'!C36</f>
        <v>מע. תאורה LED ברחבי העיר</v>
      </c>
      <c r="D36" s="4">
        <f>'תקציב מינהל תפעול 2022'!D36</f>
        <v>76800000</v>
      </c>
      <c r="E36" s="4">
        <f>'תקציב מינהל תפעול 2022'!E36</f>
        <v>76800000</v>
      </c>
      <c r="F36" s="4">
        <f>'תקציב מינהל תפעול 2022'!F36</f>
        <v>0</v>
      </c>
      <c r="G36" s="4">
        <f>'תקציב מינהל תפעול 2022'!G36</f>
        <v>33701000</v>
      </c>
      <c r="H36" s="4">
        <f>'תקציב מינהל תפעול 2022'!H36</f>
        <v>26411312</v>
      </c>
      <c r="I36" s="4">
        <f>'תקציב מינהל תפעול 2022'!I36</f>
        <v>0</v>
      </c>
      <c r="J36" s="4">
        <f>'תקציב מינהל תפעול 2022'!J36</f>
        <v>7051589</v>
      </c>
      <c r="K36" s="4">
        <f>'תקציב מינהל תפעול 2022'!K36</f>
        <v>7051589</v>
      </c>
      <c r="L36" s="4">
        <f>'תקציב מינהל תפעול 2022'!L36</f>
        <v>33462901</v>
      </c>
      <c r="M36" s="4">
        <f>'תקציב מינהל תפעול 2022'!M36</f>
        <v>238099</v>
      </c>
      <c r="N36" s="4">
        <f>'תקציב מינהל תפעול 2022'!N36</f>
        <v>0</v>
      </c>
      <c r="O36" s="4">
        <f>'תקציב מינהל תפעול 2022'!O36</f>
        <v>43099000</v>
      </c>
      <c r="P36" s="4">
        <f>'תקציב מינהל תפעול 2022'!P36</f>
        <v>238099</v>
      </c>
      <c r="Q36" s="4">
        <f>'תקציב מינהל תפעול 2022'!Q36</f>
        <v>0</v>
      </c>
      <c r="R36" s="4">
        <f>'תקציב מינהל תפעול 2022'!R36</f>
        <v>0</v>
      </c>
      <c r="S36" s="4">
        <f>'תקציב מינהל תפעול 2022'!S36</f>
        <v>0</v>
      </c>
      <c r="T36" s="4">
        <f>'תקציב מינהל תפעול 2022'!T36</f>
        <v>0</v>
      </c>
      <c r="U36" s="4">
        <f>'תקציב מינהל תפעול 2022'!U36</f>
        <v>0</v>
      </c>
      <c r="V36" s="4">
        <f>'תקציב מינהל תפעול 2022'!V36</f>
        <v>0</v>
      </c>
      <c r="W36" s="4">
        <f>'תקציב מינהל תפעול 2022'!W36</f>
        <v>0</v>
      </c>
      <c r="X36" s="4">
        <f>'תקציב מינהל תפעול 2022'!X36</f>
        <v>0</v>
      </c>
      <c r="Y36" s="4">
        <f>'תקציב מינהל תפעול 2022'!Y36</f>
        <v>0</v>
      </c>
      <c r="Z36" s="4">
        <f>'תקציב מינהל תפעול 2022'!Z36</f>
        <v>0</v>
      </c>
      <c r="AA36" s="4">
        <f>'תקציב מינהל תפעול 2022'!AA36</f>
        <v>0</v>
      </c>
      <c r="AB36" s="255" t="str">
        <f>'תקציב מינהל תפעול 2022'!AB36</f>
        <v>סל להקמת ושדרוג תשתיות כולל עמודי תאורה והתקנת גופי תאורה בטכנולוגיה מתקדמת עפ"י תוכנית רב שנתית. מימון מ. הכלכלה והתעשיה.</v>
      </c>
      <c r="AC36" s="3">
        <v>743000</v>
      </c>
    </row>
    <row r="37" spans="1:29" ht="30" customHeight="1">
      <c r="A37" s="3">
        <f t="shared" si="0"/>
        <v>33</v>
      </c>
      <c r="B37" s="3">
        <f>'תקציב מינהל תפעול 2022'!B37</f>
        <v>1922</v>
      </c>
      <c r="C37" s="255" t="str">
        <f>'תקציב מינהל תפעול 2022'!C37</f>
        <v>תוכנית שיווק והפרדת פסולת</v>
      </c>
      <c r="D37" s="4">
        <f>'תקציב מינהל תפעול 2022'!D37</f>
        <v>330000</v>
      </c>
      <c r="E37" s="4">
        <f>'תקציב מינהל תפעול 2022'!E37</f>
        <v>330000</v>
      </c>
      <c r="F37" s="4">
        <f>'תקציב מינהל תפעול 2022'!F37</f>
        <v>0</v>
      </c>
      <c r="G37" s="4">
        <f>'תקציב מינהל תפעול 2022'!G37</f>
        <v>200000</v>
      </c>
      <c r="H37" s="4">
        <f>'תקציב מינהל תפעול 2022'!H37</f>
        <v>95338</v>
      </c>
      <c r="I37" s="4">
        <f>'תקציב מינהל תפעול 2022'!I37</f>
        <v>0</v>
      </c>
      <c r="J37" s="4">
        <f>'תקציב מינהל תפעול 2022'!J37</f>
        <v>7710</v>
      </c>
      <c r="K37" s="4">
        <f>'תקציב מינהל תפעול 2022'!K37</f>
        <v>7710</v>
      </c>
      <c r="L37" s="4">
        <f>'תקציב מינהל תפעול 2022'!L37</f>
        <v>103048</v>
      </c>
      <c r="M37" s="4">
        <f>'תקציב מינהל תפעול 2022'!M37</f>
        <v>96952</v>
      </c>
      <c r="N37" s="4">
        <f>'תקציב מינהל תפעול 2022'!N37</f>
        <v>0</v>
      </c>
      <c r="O37" s="4">
        <f>'תקציב מינהל תפעול 2022'!O37</f>
        <v>130000</v>
      </c>
      <c r="P37" s="4">
        <f>'תקציב מינהל תפעול 2022'!P37</f>
        <v>96952</v>
      </c>
      <c r="Q37" s="4">
        <f>'תקציב מינהל תפעול 2022'!Q37</f>
        <v>0</v>
      </c>
      <c r="R37" s="4">
        <f>'תקציב מינהל תפעול 2022'!R37</f>
        <v>0</v>
      </c>
      <c r="S37" s="4">
        <f>'תקציב מינהל תפעול 2022'!S37</f>
        <v>0</v>
      </c>
      <c r="T37" s="4">
        <f>'תקציב מינהל תפעול 2022'!T37</f>
        <v>0</v>
      </c>
      <c r="U37" s="4">
        <f>'תקציב מינהל תפעול 2022'!U37</f>
        <v>0</v>
      </c>
      <c r="V37" s="4">
        <f>'תקציב מינהל תפעול 2022'!V37</f>
        <v>0</v>
      </c>
      <c r="W37" s="4">
        <f>'תקציב מינהל תפעול 2022'!W37</f>
        <v>0</v>
      </c>
      <c r="X37" s="4">
        <f>'תקציב מינהל תפעול 2022'!X37</f>
        <v>0</v>
      </c>
      <c r="Y37" s="4">
        <f>'תקציב מינהל תפעול 2022'!Y37</f>
        <v>0</v>
      </c>
      <c r="Z37" s="4">
        <f>'תקציב מינהל תפעול 2022'!Z37</f>
        <v>0</v>
      </c>
      <c r="AA37" s="4">
        <f>'תקציב מינהל תפעול 2022'!AA37</f>
        <v>0</v>
      </c>
      <c r="AB37" s="255">
        <f>'תקציב מינהל תפעול 2022'!AB37</f>
        <v>0</v>
      </c>
      <c r="AC37" s="3">
        <v>870000</v>
      </c>
    </row>
    <row r="38" spans="1:29" ht="30" customHeight="1">
      <c r="A38" s="3">
        <f t="shared" si="0"/>
        <v>34</v>
      </c>
      <c r="B38" s="3">
        <f>'תקציב מינהל תפעול 2022'!B38</f>
        <v>1923</v>
      </c>
      <c r="C38" s="255" t="str">
        <f>'תקציב מינהל תפעול 2022'!C38</f>
        <v>פיתוח חוף רחצה "חוף הכוכבים"</v>
      </c>
      <c r="D38" s="4">
        <f>'תקציב מינהל תפעול 2022'!D38</f>
        <v>152000</v>
      </c>
      <c r="E38" s="4">
        <f>'תקציב מינהל תפעול 2022'!E38</f>
        <v>152000</v>
      </c>
      <c r="F38" s="4">
        <f>'תקציב מינהל תפעול 2022'!F38</f>
        <v>0</v>
      </c>
      <c r="G38" s="4">
        <f>'תקציב מינהל תפעול 2022'!G38</f>
        <v>152000</v>
      </c>
      <c r="H38" s="4">
        <f>'תקציב מינהל תפעול 2022'!H38</f>
        <v>138856</v>
      </c>
      <c r="I38" s="4">
        <f>'תקציב מינהל תפעול 2022'!I38</f>
        <v>13144</v>
      </c>
      <c r="J38" s="4">
        <f>'תקציב מינהל תפעול 2022'!J38</f>
        <v>0</v>
      </c>
      <c r="K38" s="4">
        <f>'תקציב מינהל תפעול 2022'!K38</f>
        <v>13144</v>
      </c>
      <c r="L38" s="4">
        <f>'תקציב מינהל תפעול 2022'!L38</f>
        <v>152000</v>
      </c>
      <c r="M38" s="4">
        <f>'תקציב מינהל תפעול 2022'!M38</f>
        <v>0</v>
      </c>
      <c r="N38" s="4">
        <f>'תקציב מינהל תפעול 2022'!N38</f>
        <v>0</v>
      </c>
      <c r="O38" s="4">
        <f>'תקציב מינהל תפעול 2022'!O38</f>
        <v>0</v>
      </c>
      <c r="P38" s="4">
        <f>'תקציב מינהל תפעול 2022'!P38</f>
        <v>0</v>
      </c>
      <c r="Q38" s="4">
        <f>'תקציב מינהל תפעול 2022'!Q38</f>
        <v>0</v>
      </c>
      <c r="R38" s="4">
        <f>'תקציב מינהל תפעול 2022'!R38</f>
        <v>0</v>
      </c>
      <c r="S38" s="4">
        <f>'תקציב מינהל תפעול 2022'!S38</f>
        <v>0</v>
      </c>
      <c r="T38" s="4">
        <f>'תקציב מינהל תפעול 2022'!T38</f>
        <v>0</v>
      </c>
      <c r="U38" s="4">
        <f>'תקציב מינהל תפעול 2022'!U38</f>
        <v>0</v>
      </c>
      <c r="V38" s="4">
        <f>'תקציב מינהל תפעול 2022'!V38</f>
        <v>0</v>
      </c>
      <c r="W38" s="4">
        <f>'תקציב מינהל תפעול 2022'!W38</f>
        <v>0</v>
      </c>
      <c r="X38" s="4">
        <f>'תקציב מינהל תפעול 2022'!X38</f>
        <v>0</v>
      </c>
      <c r="Y38" s="4">
        <f>'תקציב מינהל תפעול 2022'!Y38</f>
        <v>0</v>
      </c>
      <c r="Z38" s="4">
        <f>'תקציב מינהל תפעול 2022'!Z38</f>
        <v>0</v>
      </c>
      <c r="AA38" s="4">
        <f>'תקציב מינהל תפעול 2022'!AA38</f>
        <v>0</v>
      </c>
      <c r="AB38" s="255" t="str">
        <f>'תקציב מינהל תפעול 2022'!AB38</f>
        <v>טרם הסתיימה עבודה בתחנת הצלה חוף הכוכבים .</v>
      </c>
      <c r="AC38" s="3">
        <v>747000</v>
      </c>
    </row>
    <row r="39" spans="1:29" ht="79.150000000000006" customHeight="1">
      <c r="A39" s="3">
        <f t="shared" si="0"/>
        <v>35</v>
      </c>
      <c r="B39" s="3">
        <f>'תקציב מינהל תפעול 2022'!B39</f>
        <v>1947</v>
      </c>
      <c r="C39" s="255" t="str">
        <f>'תקציב מינהל תפעול 2022'!C39</f>
        <v>פיר מעלית ומעלית בנין המועצה הדתית (*) עדכון כולל שיפוץ המרפסת ומדרגות</v>
      </c>
      <c r="D39" s="4">
        <f>'תקציב מינהל תפעול 2022'!D39</f>
        <v>2500000</v>
      </c>
      <c r="E39" s="4">
        <f>'תקציב מינהל תפעול 2022'!E39</f>
        <v>2500000</v>
      </c>
      <c r="F39" s="4">
        <f>'תקציב מינהל תפעול 2022'!F39</f>
        <v>0</v>
      </c>
      <c r="G39" s="4">
        <f>'תקציב מינהל תפעול 2022'!G39</f>
        <v>2500000</v>
      </c>
      <c r="H39" s="4">
        <f>'תקציב מינהל תפעול 2022'!H39</f>
        <v>106321</v>
      </c>
      <c r="I39" s="4">
        <f>'תקציב מינהל תפעול 2022'!I39</f>
        <v>844007</v>
      </c>
      <c r="J39" s="4">
        <f>'תקציב מינהל תפעול 2022'!J39</f>
        <v>75770</v>
      </c>
      <c r="K39" s="4">
        <f>'תקציב מינהל תפעול 2022'!K39</f>
        <v>919777</v>
      </c>
      <c r="L39" s="4">
        <f>'תקציב מינהל תפעול 2022'!L39</f>
        <v>1026098</v>
      </c>
      <c r="M39" s="4">
        <f>'תקציב מינהל תפעול 2022'!M39</f>
        <v>1473902</v>
      </c>
      <c r="N39" s="4">
        <f>'תקציב מינהל תפעול 2022'!N39</f>
        <v>0</v>
      </c>
      <c r="O39" s="4">
        <f>'תקציב מינהל תפעול 2022'!O39</f>
        <v>0</v>
      </c>
      <c r="P39" s="4">
        <f>'תקציב מינהל תפעול 2022'!P39</f>
        <v>1473902</v>
      </c>
      <c r="Q39" s="4">
        <f>'תקציב מינהל תפעול 2022'!Q39</f>
        <v>0</v>
      </c>
      <c r="R39" s="4">
        <f>'תקציב מינהל תפעול 2022'!R39</f>
        <v>0</v>
      </c>
      <c r="S39" s="4">
        <f>'תקציב מינהל תפעול 2022'!S39</f>
        <v>0</v>
      </c>
      <c r="T39" s="4">
        <f>'תקציב מינהל תפעול 2022'!T39</f>
        <v>0</v>
      </c>
      <c r="U39" s="4">
        <f>'תקציב מינהל תפעול 2022'!U39</f>
        <v>0</v>
      </c>
      <c r="V39" s="4">
        <f>'תקציב מינהל תפעול 2022'!V39</f>
        <v>0</v>
      </c>
      <c r="W39" s="4">
        <f>'תקציב מינהל תפעול 2022'!W39</f>
        <v>0</v>
      </c>
      <c r="X39" s="4">
        <f>'תקציב מינהל תפעול 2022'!X39</f>
        <v>0</v>
      </c>
      <c r="Y39" s="4">
        <f>'תקציב מינהל תפעול 2022'!Y39</f>
        <v>0</v>
      </c>
      <c r="Z39" s="4">
        <f>'תקציב מינהל תפעול 2022'!Z39</f>
        <v>0</v>
      </c>
      <c r="AA39" s="4">
        <f>'תקציב מינהל תפעול 2022'!AA39</f>
        <v>0</v>
      </c>
      <c r="AB39" s="255" t="str">
        <f>'תקציב מינהל תפעול 2022'!AB39</f>
        <v>בנית פיר מעלית חיצוני בעקבות ביקורת של יועץ נגישות וקושי הנדסי לבנות את הפיר בתוך המבנה. מימון מ. הדתות. ההיתר בשלבים מתקדמים. כולל שיפוץ המרפסת והמדרגות.</v>
      </c>
      <c r="AC39" s="3">
        <v>850000</v>
      </c>
    </row>
    <row r="40" spans="1:29" ht="30" customHeight="1">
      <c r="A40" s="3">
        <f t="shared" si="0"/>
        <v>36</v>
      </c>
      <c r="B40" s="3">
        <f>'תקציב מינהל תפעול 2022'!B40</f>
        <v>1966</v>
      </c>
      <c r="C40" s="255" t="str">
        <f>'תקציב מינהל תפעול 2022'!C40</f>
        <v>החלפת צ'ילרים אולמות ספורט נ. ישראל,סמדר ,נוף ים</v>
      </c>
      <c r="D40" s="4">
        <f>'תקציב מינהל תפעול 2022'!D40</f>
        <v>1700000</v>
      </c>
      <c r="E40" s="4">
        <f>'תקציב מינהל תפעול 2022'!E40</f>
        <v>1700000</v>
      </c>
      <c r="F40" s="4">
        <f>'תקציב מינהל תפעול 2022'!F40</f>
        <v>0</v>
      </c>
      <c r="G40" s="4">
        <f>'תקציב מינהל תפעול 2022'!G40</f>
        <v>1700000</v>
      </c>
      <c r="H40" s="4">
        <f>'תקציב מינהל תפעול 2022'!H40</f>
        <v>1500715</v>
      </c>
      <c r="I40" s="4">
        <f>'תקציב מינהל תפעול 2022'!I40</f>
        <v>199284</v>
      </c>
      <c r="J40" s="4">
        <f>'תקציב מינהל תפעול 2022'!J40</f>
        <v>0</v>
      </c>
      <c r="K40" s="4">
        <f>'תקציב מינהל תפעול 2022'!K40</f>
        <v>199284</v>
      </c>
      <c r="L40" s="4">
        <f>'תקציב מינהל תפעול 2022'!L40</f>
        <v>1699999</v>
      </c>
      <c r="M40" s="4">
        <f>'תקציב מינהל תפעול 2022'!M40</f>
        <v>1</v>
      </c>
      <c r="N40" s="4">
        <f>'תקציב מינהל תפעול 2022'!N40</f>
        <v>0</v>
      </c>
      <c r="O40" s="4">
        <f>'תקציב מינהל תפעול 2022'!O40</f>
        <v>0</v>
      </c>
      <c r="P40" s="4">
        <f>'תקציב מינהל תפעול 2022'!P40</f>
        <v>1</v>
      </c>
      <c r="Q40" s="4">
        <f>'תקציב מינהל תפעול 2022'!Q40</f>
        <v>0</v>
      </c>
      <c r="R40" s="4">
        <f>'תקציב מינהל תפעול 2022'!R40</f>
        <v>0</v>
      </c>
      <c r="S40" s="4">
        <f>'תקציב מינהל תפעול 2022'!S40</f>
        <v>0</v>
      </c>
      <c r="T40" s="4">
        <f>'תקציב מינהל תפעול 2022'!T40</f>
        <v>0</v>
      </c>
      <c r="U40" s="4">
        <f>'תקציב מינהל תפעול 2022'!U40</f>
        <v>0</v>
      </c>
      <c r="V40" s="4">
        <f>'תקציב מינהל תפעול 2022'!V40</f>
        <v>0</v>
      </c>
      <c r="W40" s="4">
        <f>'תקציב מינהל תפעול 2022'!W40</f>
        <v>0</v>
      </c>
      <c r="X40" s="4">
        <f>'תקציב מינהל תפעול 2022'!X40</f>
        <v>0</v>
      </c>
      <c r="Y40" s="4">
        <f>'תקציב מינהל תפעול 2022'!Y40</f>
        <v>0</v>
      </c>
      <c r="Z40" s="4">
        <f>'תקציב מינהל תפעול 2022'!Z40</f>
        <v>0</v>
      </c>
      <c r="AA40" s="4">
        <f>'תקציב מינהל תפעול 2022'!AA40</f>
        <v>0</v>
      </c>
      <c r="AB40" s="255" t="str">
        <f>'תקציב מינהל תפעול 2022'!AB40</f>
        <v xml:space="preserve">החלפת מערכות צ'לרים באולמות הספורט מימון מ. הכלכלה והתעשיה. </v>
      </c>
      <c r="AC40" s="3">
        <v>870000</v>
      </c>
    </row>
    <row r="41" spans="1:29" ht="45">
      <c r="A41" s="3">
        <f t="shared" si="0"/>
        <v>37</v>
      </c>
      <c r="B41" s="3">
        <f>'תקציב מינהל תפעול 2022'!B41</f>
        <v>1967</v>
      </c>
      <c r="C41" s="255" t="str">
        <f>'תקציב מינהל תפעול 2022'!C41</f>
        <v>התאמות נגישות מוסדות חינוך</v>
      </c>
      <c r="D41" s="4">
        <f>'תקציב מינהל תפעול 2022'!D41</f>
        <v>12929000</v>
      </c>
      <c r="E41" s="4">
        <f>'תקציב מינהל תפעול 2022'!E41</f>
        <v>12929000</v>
      </c>
      <c r="F41" s="4">
        <f>'תקציב מינהל תפעול 2022'!F41</f>
        <v>0</v>
      </c>
      <c r="G41" s="4">
        <f>'תקציב מינהל תפעול 2022'!G41</f>
        <v>12629000</v>
      </c>
      <c r="H41" s="4">
        <f>'תקציב מינהל תפעול 2022'!H41</f>
        <v>2502390</v>
      </c>
      <c r="I41" s="4">
        <f>'תקציב מינהל תפעול 2022'!I41</f>
        <v>42003</v>
      </c>
      <c r="J41" s="4">
        <f>'תקציב מינהל תפעול 2022'!J41</f>
        <v>8286242</v>
      </c>
      <c r="K41" s="4">
        <f>'תקציב מינהל תפעול 2022'!K41</f>
        <v>8328245</v>
      </c>
      <c r="L41" s="4">
        <f>'תקציב מינהל תפעול 2022'!L41</f>
        <v>10830635</v>
      </c>
      <c r="M41" s="4">
        <f>'תקציב מינהל תפעול 2022'!M41</f>
        <v>1798365</v>
      </c>
      <c r="N41" s="4">
        <f>'תקציב מינהל תפעול 2022'!N41</f>
        <v>300000</v>
      </c>
      <c r="O41" s="4">
        <f>'תקציב מינהל תפעול 2022'!O41</f>
        <v>0</v>
      </c>
      <c r="P41" s="4">
        <f>'תקציב מינהל תפעול 2022'!P41</f>
        <v>1798365</v>
      </c>
      <c r="Q41" s="4">
        <f>'תקציב מינהל תפעול 2022'!Q41</f>
        <v>0</v>
      </c>
      <c r="R41" s="4">
        <f>'תקציב מינהל תפעול 2022'!R41</f>
        <v>0</v>
      </c>
      <c r="S41" s="4">
        <f>'תקציב מינהל תפעול 2022'!S41</f>
        <v>0</v>
      </c>
      <c r="T41" s="4">
        <f>'תקציב מינהל תפעול 2022'!T41</f>
        <v>0</v>
      </c>
      <c r="U41" s="4">
        <f>'תקציב מינהל תפעול 2022'!U41</f>
        <v>300000</v>
      </c>
      <c r="V41" s="4">
        <f>'תקציב מינהל תפעול 2022'!V41</f>
        <v>0</v>
      </c>
      <c r="W41" s="4">
        <f>'תקציב מינהל תפעול 2022'!W41</f>
        <v>300000</v>
      </c>
      <c r="X41" s="4">
        <f>'תקציב מינהל תפעול 2022'!X41</f>
        <v>0</v>
      </c>
      <c r="Y41" s="4">
        <f>'תקציב מינהל תפעול 2022'!Y41</f>
        <v>0</v>
      </c>
      <c r="Z41" s="4">
        <f>'תקציב מינהל תפעול 2022'!Z41</f>
        <v>0</v>
      </c>
      <c r="AA41" s="4">
        <f>'תקציב מינהל תפעול 2022'!AA41</f>
        <v>0</v>
      </c>
      <c r="AB41" s="255" t="str">
        <f>'תקציב מינהל תפעול 2022'!AB41</f>
        <v xml:space="preserve">התקנת מעליות, שרותים ,רמפות בבי"ס עפ"י תוכנית רב שנתית. מימון מ. החינוך. </v>
      </c>
      <c r="AC41" s="3">
        <v>810000</v>
      </c>
    </row>
    <row r="42" spans="1:29" ht="45">
      <c r="A42" s="3">
        <f t="shared" si="0"/>
        <v>38</v>
      </c>
      <c r="B42" s="3">
        <f>'תקציב מינהל תפעול 2022'!B42</f>
        <v>1968</v>
      </c>
      <c r="C42" s="255" t="str">
        <f>'תקציב מינהל תפעול 2022'!C42</f>
        <v>שדרוג המרחב הציבורי</v>
      </c>
      <c r="D42" s="4">
        <f>'תקציב מינהל תפעול 2022'!D42</f>
        <v>2170000</v>
      </c>
      <c r="E42" s="4">
        <f>'תקציב מינהל תפעול 2022'!E42</f>
        <v>2170000</v>
      </c>
      <c r="F42" s="4">
        <f>'תקציב מינהל תפעול 2022'!F42</f>
        <v>0</v>
      </c>
      <c r="G42" s="4">
        <f>'תקציב מינהל תפעול 2022'!G42</f>
        <v>2170000</v>
      </c>
      <c r="H42" s="4">
        <f>'תקציב מינהל תפעול 2022'!H42</f>
        <v>1791791</v>
      </c>
      <c r="I42" s="4">
        <f>'תקציב מינהל תפעול 2022'!I42</f>
        <v>0</v>
      </c>
      <c r="J42" s="4">
        <f>'תקציב מינהל תפעול 2022'!J42</f>
        <v>28198</v>
      </c>
      <c r="K42" s="4">
        <f>'תקציב מינהל תפעול 2022'!K42</f>
        <v>28198</v>
      </c>
      <c r="L42" s="4">
        <f>'תקציב מינהל תפעול 2022'!L42</f>
        <v>1819989</v>
      </c>
      <c r="M42" s="4">
        <f>'תקציב מינהל תפעול 2022'!M42</f>
        <v>350011</v>
      </c>
      <c r="N42" s="4">
        <f>'תקציב מינהל תפעול 2022'!N42</f>
        <v>0</v>
      </c>
      <c r="O42" s="4">
        <f>'תקציב מינהל תפעול 2022'!O42</f>
        <v>0</v>
      </c>
      <c r="P42" s="4">
        <f>'תקציב מינהל תפעול 2022'!P42</f>
        <v>350011</v>
      </c>
      <c r="Q42" s="4">
        <f>'תקציב מינהל תפעול 2022'!Q42</f>
        <v>0</v>
      </c>
      <c r="R42" s="4">
        <f>'תקציב מינהל תפעול 2022'!R42</f>
        <v>0</v>
      </c>
      <c r="S42" s="4">
        <f>'תקציב מינהל תפעול 2022'!S42</f>
        <v>0</v>
      </c>
      <c r="T42" s="4">
        <f>'תקציב מינהל תפעול 2022'!T42</f>
        <v>0</v>
      </c>
      <c r="U42" s="4">
        <f>'תקציב מינהל תפעול 2022'!U42</f>
        <v>0</v>
      </c>
      <c r="V42" s="4">
        <f>'תקציב מינהל תפעול 2022'!V42</f>
        <v>0</v>
      </c>
      <c r="W42" s="4">
        <f>'תקציב מינהל תפעול 2022'!W42</f>
        <v>0</v>
      </c>
      <c r="X42" s="4">
        <f>'תקציב מינהל תפעול 2022'!X42</f>
        <v>0</v>
      </c>
      <c r="Y42" s="4">
        <f>'תקציב מינהל תפעול 2022'!Y42</f>
        <v>0</v>
      </c>
      <c r="Z42" s="4">
        <f>'תקציב מינהל תפעול 2022'!Z42</f>
        <v>0</v>
      </c>
      <c r="AA42" s="4">
        <f>'תקציב מינהל תפעול 2022'!AA42</f>
        <v>0</v>
      </c>
      <c r="AB42" s="255" t="str">
        <f>'תקציב מינהל תפעול 2022'!AB42</f>
        <v>מסגרת עבודות במרחב הציבורי. בביצוע שרותים ציבוריים בבית קינן. לאחר מכן ייסגר.</v>
      </c>
      <c r="AC42" s="502">
        <v>848500</v>
      </c>
    </row>
    <row r="43" spans="1:29" ht="63" customHeight="1">
      <c r="A43" s="3">
        <f t="shared" si="0"/>
        <v>39</v>
      </c>
      <c r="B43" s="3">
        <f>'תקציב מינהל תפעול 2022'!B43</f>
        <v>1970</v>
      </c>
      <c r="C43" s="255" t="str">
        <f>'תקציב מינהל תפעול 2022'!C43</f>
        <v xml:space="preserve">שיפוצים שונים מוס"ח </v>
      </c>
      <c r="D43" s="4">
        <f>'תקציב מינהל תפעול 2022'!D43</f>
        <v>32500000</v>
      </c>
      <c r="E43" s="4">
        <f>'תקציב מינהל תפעול 2022'!E43</f>
        <v>32500000</v>
      </c>
      <c r="F43" s="4">
        <f>'תקציב מינהל תפעול 2022'!F43</f>
        <v>0</v>
      </c>
      <c r="G43" s="4">
        <f>'תקציב מינהל תפעול 2022'!G43</f>
        <v>32500000</v>
      </c>
      <c r="H43" s="4">
        <f>'תקציב מינהל תפעול 2022'!H43</f>
        <v>31975060</v>
      </c>
      <c r="I43" s="4">
        <f>'תקציב מינהל תפעול 2022'!I43</f>
        <v>182915</v>
      </c>
      <c r="J43" s="4">
        <f>'תקציב מינהל תפעול 2022'!J43</f>
        <v>330025</v>
      </c>
      <c r="K43" s="4">
        <f>'תקציב מינהל תפעול 2022'!K43</f>
        <v>512940</v>
      </c>
      <c r="L43" s="4">
        <f>'תקציב מינהל תפעול 2022'!L43</f>
        <v>32488000</v>
      </c>
      <c r="M43" s="4">
        <f>'תקציב מינהל תפעול 2022'!M43</f>
        <v>12000</v>
      </c>
      <c r="N43" s="4">
        <f>'תקציב מינהל תפעול 2022'!N43</f>
        <v>0</v>
      </c>
      <c r="O43" s="4">
        <f>'תקציב מינהל תפעול 2022'!O43</f>
        <v>0</v>
      </c>
      <c r="P43" s="4">
        <f>'תקציב מינהל תפעול 2022'!P43</f>
        <v>12000</v>
      </c>
      <c r="Q43" s="4">
        <f>'תקציב מינהל תפעול 2022'!Q43</f>
        <v>0</v>
      </c>
      <c r="R43" s="4">
        <f>'תקציב מינהל תפעול 2022'!R43</f>
        <v>0</v>
      </c>
      <c r="S43" s="4">
        <f>'תקציב מינהל תפעול 2022'!S43</f>
        <v>0</v>
      </c>
      <c r="T43" s="4">
        <f>'תקציב מינהל תפעול 2022'!T43</f>
        <v>0</v>
      </c>
      <c r="U43" s="4">
        <f>'תקציב מינהל תפעול 2022'!U43</f>
        <v>0</v>
      </c>
      <c r="V43" s="4">
        <f>'תקציב מינהל תפעול 2022'!V43</f>
        <v>0</v>
      </c>
      <c r="W43" s="4">
        <f>'תקציב מינהל תפעול 2022'!W43</f>
        <v>0</v>
      </c>
      <c r="X43" s="4">
        <f>'תקציב מינהל תפעול 2022'!X43</f>
        <v>0</v>
      </c>
      <c r="Y43" s="4">
        <f>'תקציב מינהל תפעול 2022'!Y43</f>
        <v>0</v>
      </c>
      <c r="Z43" s="4">
        <f>'תקציב מינהל תפעול 2022'!Z43</f>
        <v>0</v>
      </c>
      <c r="AA43" s="4">
        <f>'תקציב מינהל תפעול 2022'!AA43</f>
        <v>0</v>
      </c>
      <c r="AB43" s="255" t="str">
        <f>'תקציב מינהל תפעול 2022'!AB43</f>
        <v>סל עבודות שיפוצים שונות במוס"ח לרבות שיפוצים יסודיים והתאמת מבנים גנ"י.ראה תב"ר 2177. ייסגר עם קבלת תקבול מ. החינוך יביל יד גיורא.</v>
      </c>
      <c r="AC43" s="3">
        <v>810000</v>
      </c>
    </row>
    <row r="44" spans="1:29" ht="60">
      <c r="A44" s="3">
        <f t="shared" si="0"/>
        <v>40</v>
      </c>
      <c r="B44" s="3">
        <f>'תקציב מינהל תפעול 2022'!B44</f>
        <v>1973</v>
      </c>
      <c r="C44" s="255" t="str">
        <f>'תקציב מינהל תפעול 2022'!C44</f>
        <v>שילוט ברחבי העיר</v>
      </c>
      <c r="D44" s="4">
        <f>'תקציב מינהל תפעול 2022'!D44</f>
        <v>2500000</v>
      </c>
      <c r="E44" s="4">
        <f>'תקציב מינהל תפעול 2022'!E44</f>
        <v>2500000</v>
      </c>
      <c r="F44" s="4">
        <f>'תקציב מינהל תפעול 2022'!F44</f>
        <v>0</v>
      </c>
      <c r="G44" s="4">
        <f>'תקציב מינהל תפעול 2022'!G44</f>
        <v>1150000</v>
      </c>
      <c r="H44" s="4">
        <f>'תקציב מינהל תפעול 2022'!H44</f>
        <v>951066</v>
      </c>
      <c r="I44" s="4">
        <f>'תקציב מינהל תפעול 2022'!I44</f>
        <v>0</v>
      </c>
      <c r="J44" s="4">
        <f>'תקציב מינהל תפעול 2022'!J44</f>
        <v>198933</v>
      </c>
      <c r="K44" s="4">
        <f>'תקציב מינהל תפעול 2022'!K44</f>
        <v>198933</v>
      </c>
      <c r="L44" s="4">
        <f>'תקציב מינהל תפעול 2022'!L44</f>
        <v>1149999</v>
      </c>
      <c r="M44" s="4">
        <f>'תקציב מינהל תפעול 2022'!M44</f>
        <v>1</v>
      </c>
      <c r="N44" s="4">
        <f>'תקציב מינהל תפעול 2022'!N44</f>
        <v>800000</v>
      </c>
      <c r="O44" s="4">
        <f>'תקציב מינהל תפעול 2022'!O44</f>
        <v>550000</v>
      </c>
      <c r="P44" s="4">
        <f>'תקציב מינהל תפעול 2022'!P44</f>
        <v>1</v>
      </c>
      <c r="Q44" s="4">
        <f>'תקציב מינהל תפעול 2022'!Q44</f>
        <v>0</v>
      </c>
      <c r="R44" s="4">
        <f>'תקציב מינהל תפעול 2022'!R44</f>
        <v>0</v>
      </c>
      <c r="S44" s="4">
        <f>'תקציב מינהל תפעול 2022'!S44</f>
        <v>0</v>
      </c>
      <c r="T44" s="4">
        <f>'תקציב מינהל תפעול 2022'!T44</f>
        <v>0</v>
      </c>
      <c r="U44" s="4">
        <f>'תקציב מינהל תפעול 2022'!U44</f>
        <v>800000</v>
      </c>
      <c r="V44" s="4">
        <f>'תקציב מינהל תפעול 2022'!V44</f>
        <v>0</v>
      </c>
      <c r="W44" s="4">
        <f>'תקציב מינהל תפעול 2022'!W44</f>
        <v>800000</v>
      </c>
      <c r="X44" s="4">
        <f>'תקציב מינהל תפעול 2022'!X44</f>
        <v>0</v>
      </c>
      <c r="Y44" s="4">
        <f>'תקציב מינהל תפעול 2022'!Y44</f>
        <v>0</v>
      </c>
      <c r="Z44" s="4">
        <f>'תקציב מינהל תפעול 2022'!Z44</f>
        <v>0</v>
      </c>
      <c r="AA44" s="4">
        <f>'תקציב מינהל תפעול 2022'!AA44</f>
        <v>0</v>
      </c>
      <c r="AB44" s="255" t="str">
        <f>'תקציב מינהל תפעול 2022'!AB44</f>
        <v>תוכנית אב לשילוט של כל סוגי השילוט בעיר בשלב 1 הרצליה הירוקה ,החלפת שלטים לשלטים מחזירי אור ברחבי העיר .</v>
      </c>
      <c r="AC44" s="3">
        <v>742000</v>
      </c>
    </row>
    <row r="45" spans="1:29" ht="45">
      <c r="A45" s="3">
        <f t="shared" si="0"/>
        <v>41</v>
      </c>
      <c r="B45" s="3">
        <f>'תקציב מינהל תפעול 2022'!B45</f>
        <v>1989</v>
      </c>
      <c r="C45" s="255" t="str">
        <f>'תקציב מינהל תפעול 2022'!C45</f>
        <v>פיתוח נופי דרך ירושלים כביש 531</v>
      </c>
      <c r="D45" s="4">
        <f>'תקציב מינהל תפעול 2022'!D45</f>
        <v>1070000</v>
      </c>
      <c r="E45" s="4">
        <f>'תקציב מינהל תפעול 2022'!E45</f>
        <v>1070000</v>
      </c>
      <c r="F45" s="4">
        <f>'תקציב מינהל תפעול 2022'!F45</f>
        <v>0</v>
      </c>
      <c r="G45" s="4">
        <f>'תקציב מינהל תפעול 2022'!G45</f>
        <v>570000</v>
      </c>
      <c r="H45" s="4">
        <f>'תקציב מינהל תפעול 2022'!H45</f>
        <v>542461</v>
      </c>
      <c r="I45" s="4">
        <f>'תקציב מינהל תפעול 2022'!I45</f>
        <v>0</v>
      </c>
      <c r="J45" s="4">
        <f>'תקציב מינהל תפעול 2022'!J45</f>
        <v>26086</v>
      </c>
      <c r="K45" s="4">
        <f>'תקציב מינהל תפעול 2022'!K45</f>
        <v>26086</v>
      </c>
      <c r="L45" s="4">
        <f>'תקציב מינהל תפעול 2022'!L45</f>
        <v>568547</v>
      </c>
      <c r="M45" s="4">
        <f>'תקציב מינהל תפעול 2022'!M45</f>
        <v>1453</v>
      </c>
      <c r="N45" s="4">
        <f>'תקציב מינהל תפעול 2022'!N45</f>
        <v>0</v>
      </c>
      <c r="O45" s="4">
        <f>'תקציב מינהל תפעול 2022'!O45</f>
        <v>500000</v>
      </c>
      <c r="P45" s="4">
        <f>'תקציב מינהל תפעול 2022'!P45</f>
        <v>1453</v>
      </c>
      <c r="Q45" s="4">
        <f>'תקציב מינהל תפעול 2022'!Q45</f>
        <v>0</v>
      </c>
      <c r="R45" s="4">
        <f>'תקציב מינהל תפעול 2022'!R45</f>
        <v>0</v>
      </c>
      <c r="S45" s="4">
        <f>'תקציב מינהל תפעול 2022'!S45</f>
        <v>0</v>
      </c>
      <c r="T45" s="4">
        <f>'תקציב מינהל תפעול 2022'!T45</f>
        <v>0</v>
      </c>
      <c r="U45" s="4">
        <f>'תקציב מינהל תפעול 2022'!U45</f>
        <v>0</v>
      </c>
      <c r="V45" s="4">
        <f>'תקציב מינהל תפעול 2022'!V45</f>
        <v>0</v>
      </c>
      <c r="W45" s="4">
        <f>'תקציב מינהל תפעול 2022'!W45</f>
        <v>0</v>
      </c>
      <c r="X45" s="4">
        <f>'תקציב מינהל תפעול 2022'!X45</f>
        <v>0</v>
      </c>
      <c r="Y45" s="4">
        <f>'תקציב מינהל תפעול 2022'!Y45</f>
        <v>0</v>
      </c>
      <c r="Z45" s="4">
        <f>'תקציב מינהל תפעול 2022'!Z45</f>
        <v>0</v>
      </c>
      <c r="AA45" s="4">
        <f>'תקציב מינהל תפעול 2022'!AA45</f>
        <v>0</v>
      </c>
      <c r="AB45" s="255" t="str">
        <f>'תקציב מינהל תפעול 2022'!AB45</f>
        <v xml:space="preserve">עבודות פיתוח השטח בין שכונת יד התשעה לקיר האקוסטי של כביש 531, כולל פיתוח השצ"פ. </v>
      </c>
      <c r="AC45" s="3">
        <v>746000</v>
      </c>
    </row>
    <row r="46" spans="1:29" ht="30" customHeight="1">
      <c r="A46" s="3">
        <f t="shared" si="0"/>
        <v>42</v>
      </c>
      <c r="B46" s="3">
        <f>'תקציב מינהל תפעול 2022'!B46</f>
        <v>2001</v>
      </c>
      <c r="C46" s="255" t="str">
        <f>'תקציב מינהל תפעול 2022'!C46</f>
        <v>בניית בי"ס ברחוב משה (ירוק)</v>
      </c>
      <c r="D46" s="4">
        <f>'תקציב מינהל תפעול 2022'!D46</f>
        <v>18500000</v>
      </c>
      <c r="E46" s="4">
        <f>'תקציב מינהל תפעול 2022'!E46</f>
        <v>18500000</v>
      </c>
      <c r="F46" s="4">
        <f>'תקציב מינהל תפעול 2022'!F46</f>
        <v>0</v>
      </c>
      <c r="G46" s="4">
        <f>'תקציב מינהל תפעול 2022'!G46</f>
        <v>8398700</v>
      </c>
      <c r="H46" s="4">
        <f>'תקציב מינהל תפעול 2022'!H46</f>
        <v>592347</v>
      </c>
      <c r="I46" s="4">
        <f>'תקציב מינהל תפעול 2022'!I46</f>
        <v>7007029</v>
      </c>
      <c r="J46" s="4">
        <f>'תקציב מינהל תפעול 2022'!J46</f>
        <v>35009</v>
      </c>
      <c r="K46" s="4">
        <f>'תקציב מינהל תפעול 2022'!K46</f>
        <v>7042038</v>
      </c>
      <c r="L46" s="4">
        <f>'תקציב מינהל תפעול 2022'!L46</f>
        <v>7634385</v>
      </c>
      <c r="M46" s="4">
        <f>'תקציב מינהל תפעול 2022'!M46</f>
        <v>764315</v>
      </c>
      <c r="N46" s="4">
        <f>'תקציב מינהל תפעול 2022'!N46</f>
        <v>0</v>
      </c>
      <c r="O46" s="4">
        <f>'תקציב מינהל תפעול 2022'!O46</f>
        <v>10101300</v>
      </c>
      <c r="P46" s="4">
        <f>'תקציב מינהל תפעול 2022'!P46</f>
        <v>764315</v>
      </c>
      <c r="Q46" s="4">
        <f>'תקציב מינהל תפעול 2022'!Q46</f>
        <v>0</v>
      </c>
      <c r="R46" s="4">
        <f>'תקציב מינהל תפעול 2022'!R46</f>
        <v>0</v>
      </c>
      <c r="S46" s="4">
        <f>'תקציב מינהל תפעול 2022'!S46</f>
        <v>0</v>
      </c>
      <c r="T46" s="4">
        <f>'תקציב מינהל תפעול 2022'!T46</f>
        <v>0</v>
      </c>
      <c r="U46" s="4">
        <f>'תקציב מינהל תפעול 2022'!U46</f>
        <v>0</v>
      </c>
      <c r="V46" s="4">
        <f>'תקציב מינהל תפעול 2022'!V46</f>
        <v>0</v>
      </c>
      <c r="W46" s="4">
        <f>'תקציב מינהל תפעול 2022'!W46</f>
        <v>0</v>
      </c>
      <c r="X46" s="4">
        <f>'תקציב מינהל תפעול 2022'!X46</f>
        <v>0</v>
      </c>
      <c r="Y46" s="4">
        <f>'תקציב מינהל תפעול 2022'!Y46</f>
        <v>0</v>
      </c>
      <c r="Z46" s="4">
        <f>'תקציב מינהל תפעול 2022'!Z46</f>
        <v>0</v>
      </c>
      <c r="AA46" s="4">
        <f>'תקציב מינהל תפעול 2022'!AA46</f>
        <v>0</v>
      </c>
      <c r="AB46" s="255" t="str">
        <f>'תקציב מינהל תפעול 2022'!AB46</f>
        <v xml:space="preserve">בניית בית ספר ברח' משה-12 כתות. מימון מ. החינוך. </v>
      </c>
      <c r="AC46" s="3">
        <v>810000</v>
      </c>
    </row>
    <row r="47" spans="1:29" ht="30" customHeight="1">
      <c r="A47" s="3">
        <f t="shared" si="0"/>
        <v>43</v>
      </c>
      <c r="B47" s="3">
        <f>'תקציב מינהל תפעול 2022'!B47</f>
        <v>2028</v>
      </c>
      <c r="C47" s="255" t="str">
        <f>'תקציב מינהל תפעול 2022'!C47</f>
        <v>שיפוץ מעבדת רובוטיקה בהנדסאים</v>
      </c>
      <c r="D47" s="4">
        <f>'תקציב מינהל תפעול 2022'!D47</f>
        <v>2435000</v>
      </c>
      <c r="E47" s="4">
        <f>'תקציב מינהל תפעול 2022'!E47</f>
        <v>2435000</v>
      </c>
      <c r="F47" s="4">
        <f>'תקציב מינהל תפעול 2022'!F47</f>
        <v>0</v>
      </c>
      <c r="G47" s="4">
        <f>'תקציב מינהל תפעול 2022'!G47</f>
        <v>2435000</v>
      </c>
      <c r="H47" s="4">
        <f>'תקציב מינהל תפעול 2022'!H47</f>
        <v>2272968</v>
      </c>
      <c r="I47" s="4">
        <f>'תקציב מינהל תפעול 2022'!I47</f>
        <v>161556</v>
      </c>
      <c r="J47" s="4">
        <f>'תקציב מינהל תפעול 2022'!J47</f>
        <v>0</v>
      </c>
      <c r="K47" s="4">
        <f>'תקציב מינהל תפעול 2022'!K47</f>
        <v>161556</v>
      </c>
      <c r="L47" s="4">
        <f>'תקציב מינהל תפעול 2022'!L47</f>
        <v>2434524</v>
      </c>
      <c r="M47" s="4">
        <f>'תקציב מינהל תפעול 2022'!M47</f>
        <v>476</v>
      </c>
      <c r="N47" s="4">
        <f>'תקציב מינהל תפעול 2022'!N47</f>
        <v>0</v>
      </c>
      <c r="O47" s="4">
        <f>'תקציב מינהל תפעול 2022'!O47</f>
        <v>0</v>
      </c>
      <c r="P47" s="4">
        <f>'תקציב מינהל תפעול 2022'!P47</f>
        <v>476</v>
      </c>
      <c r="Q47" s="4">
        <f>'תקציב מינהל תפעול 2022'!Q47</f>
        <v>0</v>
      </c>
      <c r="R47" s="4">
        <f>'תקציב מינהל תפעול 2022'!R47</f>
        <v>0</v>
      </c>
      <c r="S47" s="4">
        <f>'תקציב מינהל תפעול 2022'!S47</f>
        <v>0</v>
      </c>
      <c r="T47" s="4">
        <f>'תקציב מינהל תפעול 2022'!T47</f>
        <v>0</v>
      </c>
      <c r="U47" s="4">
        <f>'תקציב מינהל תפעול 2022'!U47</f>
        <v>0</v>
      </c>
      <c r="V47" s="4">
        <f>'תקציב מינהל תפעול 2022'!V47</f>
        <v>0</v>
      </c>
      <c r="W47" s="4">
        <f>'תקציב מינהל תפעול 2022'!W47</f>
        <v>0</v>
      </c>
      <c r="X47" s="4">
        <f>'תקציב מינהל תפעול 2022'!X47</f>
        <v>0</v>
      </c>
      <c r="Y47" s="4">
        <f>'תקציב מינהל תפעול 2022'!Y47</f>
        <v>0</v>
      </c>
      <c r="Z47" s="4">
        <f>'תקציב מינהל תפעול 2022'!Z47</f>
        <v>0</v>
      </c>
      <c r="AA47" s="4">
        <f>'תקציב מינהל תפעול 2022'!AA47</f>
        <v>0</v>
      </c>
      <c r="AB47" s="255" t="str">
        <f>'תקציב מינהל תפעול 2022'!AB47</f>
        <v>עבודות חיפוי חיצוני עפ"י דרישת מינהל הנדסה.</v>
      </c>
      <c r="AC47" s="3">
        <v>810000</v>
      </c>
    </row>
    <row r="48" spans="1:29" ht="60">
      <c r="A48" s="3">
        <f t="shared" si="0"/>
        <v>44</v>
      </c>
      <c r="B48" s="3">
        <f>'תקציב מינהל תפעול 2022'!B48</f>
        <v>2030</v>
      </c>
      <c r="C48" s="255" t="str">
        <f>'תקציב מינהל תפעול 2022'!C48</f>
        <v>תיכון ראשונים</v>
      </c>
      <c r="D48" s="4">
        <f>'תקציב מינהל תפעול 2022'!D48</f>
        <v>31500000</v>
      </c>
      <c r="E48" s="4">
        <f>'תקציב מינהל תפעול 2022'!E48</f>
        <v>31500000</v>
      </c>
      <c r="F48" s="4">
        <f>'תקציב מינהל תפעול 2022'!F48</f>
        <v>0</v>
      </c>
      <c r="G48" s="4">
        <f>'תקציב מינהל תפעול 2022'!G48</f>
        <v>14500000</v>
      </c>
      <c r="H48" s="4">
        <f>'תקציב מינהל תפעול 2022'!H48</f>
        <v>4808398</v>
      </c>
      <c r="I48" s="4">
        <f>'תקציב מינהל תפעול 2022'!I48</f>
        <v>5339146</v>
      </c>
      <c r="J48" s="4">
        <f>'תקציב מינהל תפעול 2022'!J48</f>
        <v>1541335</v>
      </c>
      <c r="K48" s="4">
        <f>'תקציב מינהל תפעול 2022'!K48</f>
        <v>6880481</v>
      </c>
      <c r="L48" s="4">
        <f>'תקציב מינהל תפעול 2022'!L48</f>
        <v>11688879</v>
      </c>
      <c r="M48" s="4">
        <f>'תקציב מינהל תפעול 2022'!M48</f>
        <v>811121</v>
      </c>
      <c r="N48" s="4">
        <f>'תקציב מינהל תפעול 2022'!N48</f>
        <v>3750000</v>
      </c>
      <c r="O48" s="4">
        <f>'תקציב מינהל תפעול 2022'!O48</f>
        <v>15250000</v>
      </c>
      <c r="P48" s="4">
        <f>'תקציב מינהל תפעול 2022'!P48</f>
        <v>2811121</v>
      </c>
      <c r="Q48" s="4">
        <f>'תקציב מינהל תפעול 2022'!Q48</f>
        <v>0</v>
      </c>
      <c r="R48" s="4">
        <f>'תקציב מינהל תפעול 2022'!R48</f>
        <v>-2000000</v>
      </c>
      <c r="S48" s="4">
        <f>'תקציב מינהל תפעול 2022'!S48</f>
        <v>-2000000</v>
      </c>
      <c r="T48" s="4">
        <f>'תקציב מינהל תפעול 2022'!T48</f>
        <v>0</v>
      </c>
      <c r="U48" s="4">
        <f>'תקציב מינהל תפעול 2022'!U48</f>
        <v>3750000</v>
      </c>
      <c r="V48" s="4">
        <f>'תקציב מינהל תפעול 2022'!V48</f>
        <v>1750000</v>
      </c>
      <c r="W48" s="4">
        <f>'תקציב מינהל תפעול 2022'!W48</f>
        <v>0</v>
      </c>
      <c r="X48" s="4">
        <f>'תקציב מינהל תפעול 2022'!X48</f>
        <v>0</v>
      </c>
      <c r="Y48" s="4">
        <f>'תקציב מינהל תפעול 2022'!Y48</f>
        <v>0</v>
      </c>
      <c r="Z48" s="4">
        <f>'תקציב מינהל תפעול 2022'!Z48</f>
        <v>0</v>
      </c>
      <c r="AA48" s="4">
        <f>'תקציב מינהל תפעול 2022'!AA48</f>
        <v>2000000</v>
      </c>
      <c r="AB48" s="255" t="str">
        <f>'תקציב מינהל תפעול 2022'!AB48</f>
        <v>פרויקט  בניית אודיטוריום ,תוספת 6 כתות ו-2 ממ"דים ,שיפוץ כללי. אודיטוריום - מימון מ.הפיס.</v>
      </c>
      <c r="AC48" s="3">
        <v>810000</v>
      </c>
    </row>
    <row r="49" spans="1:46" ht="90">
      <c r="A49" s="3">
        <f t="shared" si="0"/>
        <v>45</v>
      </c>
      <c r="B49" s="3">
        <f>'תקציב מינהל תפעול 2022'!B49</f>
        <v>2037</v>
      </c>
      <c r="C49" s="255" t="str">
        <f>'תקציב מינהל תפעול 2022'!C49</f>
        <v xml:space="preserve">הקמת פינות מיחזור וגזם ברחבי העיר </v>
      </c>
      <c r="D49" s="4">
        <f>'תקציב מינהל תפעול 2022'!D49</f>
        <v>5000000</v>
      </c>
      <c r="E49" s="4">
        <f>'תקציב מינהל תפעול 2022'!E49</f>
        <v>5000000</v>
      </c>
      <c r="F49" s="4">
        <f>'תקציב מינהל תפעול 2022'!F49</f>
        <v>0</v>
      </c>
      <c r="G49" s="4">
        <f>'תקציב מינהל תפעול 2022'!G49</f>
        <v>800000</v>
      </c>
      <c r="H49" s="4">
        <f>'תקציב מינהל תפעול 2022'!H49</f>
        <v>549548</v>
      </c>
      <c r="I49" s="4">
        <f>'תקציב מינהל תפעול 2022'!I49</f>
        <v>0</v>
      </c>
      <c r="J49" s="4">
        <f>'תקציב מינהל תפעול 2022'!J49</f>
        <v>237729</v>
      </c>
      <c r="K49" s="4">
        <f>'תקציב מינהל תפעול 2022'!K49</f>
        <v>237729</v>
      </c>
      <c r="L49" s="4">
        <f>'תקציב מינהל תפעול 2022'!L49</f>
        <v>787277</v>
      </c>
      <c r="M49" s="4">
        <f>'תקציב מינהל תפעול 2022'!M49</f>
        <v>12723</v>
      </c>
      <c r="N49" s="4">
        <f>'תקציב מינהל תפעול 2022'!N49</f>
        <v>1000000</v>
      </c>
      <c r="O49" s="4">
        <f>'תקציב מינהל תפעול 2022'!O49</f>
        <v>3200000</v>
      </c>
      <c r="P49" s="4">
        <f>'תקציב מינהל תפעול 2022'!P49</f>
        <v>12723</v>
      </c>
      <c r="Q49" s="4">
        <f>'תקציב מינהל תפעול 2022'!Q49</f>
        <v>0</v>
      </c>
      <c r="R49" s="4">
        <f>'תקציב מינהל תפעול 2022'!R49</f>
        <v>0</v>
      </c>
      <c r="S49" s="4">
        <f>'תקציב מינהל תפעול 2022'!S49</f>
        <v>0</v>
      </c>
      <c r="T49" s="4">
        <f>'תקציב מינהל תפעול 2022'!T49</f>
        <v>0</v>
      </c>
      <c r="U49" s="4">
        <f>'תקציב מינהל תפעול 2022'!U49</f>
        <v>1000000</v>
      </c>
      <c r="V49" s="4">
        <f>'תקציב מינהל תפעול 2022'!V49</f>
        <v>500000</v>
      </c>
      <c r="W49" s="4">
        <f>'תקציב מינהל תפעול 2022'!W49</f>
        <v>500000</v>
      </c>
      <c r="X49" s="4">
        <f>'תקציב מינהל תפעול 2022'!X49</f>
        <v>0</v>
      </c>
      <c r="Y49" s="4">
        <f>'תקציב מינהל תפעול 2022'!Y49</f>
        <v>0</v>
      </c>
      <c r="Z49" s="4">
        <f>'תקציב מינהל תפעול 2022'!Z49</f>
        <v>0</v>
      </c>
      <c r="AA49" s="4">
        <f>'תקציב מינהל תפעול 2022'!AA49</f>
        <v>0</v>
      </c>
      <c r="AB49" s="255" t="str">
        <f>'תקציב מינהל תפעול 2022'!AB49</f>
        <v>הקמת פינות מיחזור ברחבי העיר (פינות המרכזות מיכלי אצירה לסוגים שונים של פסולת כגון: בקבוקים, זכוכית, נייר, אריזות ועוד). שדרוג מיכלי מיחזור לפי דגם אחיד .</v>
      </c>
      <c r="AC49" s="3">
        <v>870000</v>
      </c>
    </row>
    <row r="50" spans="1:46" ht="105">
      <c r="A50" s="3">
        <f t="shared" si="0"/>
        <v>46</v>
      </c>
      <c r="B50" s="3">
        <f>'תקציב מינהל תפעול 2022'!B50</f>
        <v>2038</v>
      </c>
      <c r="C50" s="255" t="str">
        <f>'תקציב מינהל תפעול 2022'!C50</f>
        <v xml:space="preserve">הסדרת שטחי מוס"ח ברחבי העיר </v>
      </c>
      <c r="D50" s="4">
        <f>'תקציב מינהל תפעול 2022'!D50</f>
        <v>4950000</v>
      </c>
      <c r="E50" s="4">
        <f>'תקציב מינהל תפעול 2022'!E50</f>
        <v>4950000</v>
      </c>
      <c r="F50" s="4">
        <f>'תקציב מינהל תפעול 2022'!F50</f>
        <v>0</v>
      </c>
      <c r="G50" s="4">
        <f>'תקציב מינהל תפעול 2022'!G50</f>
        <v>3450000</v>
      </c>
      <c r="H50" s="4">
        <f>'תקציב מינהל תפעול 2022'!H50</f>
        <v>2650756</v>
      </c>
      <c r="I50" s="4">
        <f>'תקציב מינהל תפעול 2022'!I50</f>
        <v>0</v>
      </c>
      <c r="J50" s="4">
        <f>'תקציב מינהל תפעול 2022'!J50</f>
        <v>683824</v>
      </c>
      <c r="K50" s="4">
        <f>'תקציב מינהל תפעול 2022'!K50</f>
        <v>683824</v>
      </c>
      <c r="L50" s="4">
        <f>'תקציב מינהל תפעול 2022'!L50</f>
        <v>3334580</v>
      </c>
      <c r="M50" s="4">
        <f>'תקציב מינהל תפעול 2022'!M50</f>
        <v>115420</v>
      </c>
      <c r="N50" s="4">
        <f>'תקציב מינהל תפעול 2022'!N50</f>
        <v>1000000</v>
      </c>
      <c r="O50" s="4">
        <f>'תקציב מינהל תפעול 2022'!O50</f>
        <v>500000</v>
      </c>
      <c r="P50" s="4">
        <f>'תקציב מינהל תפעול 2022'!P50</f>
        <v>115420</v>
      </c>
      <c r="Q50" s="4">
        <f>'תקציב מינהל תפעול 2022'!Q50</f>
        <v>0</v>
      </c>
      <c r="R50" s="4">
        <f>'תקציב מינהל תפעול 2022'!R50</f>
        <v>0</v>
      </c>
      <c r="S50" s="4">
        <f>'תקציב מינהל תפעול 2022'!S50</f>
        <v>0</v>
      </c>
      <c r="T50" s="4">
        <f>'תקציב מינהל תפעול 2022'!T50</f>
        <v>0</v>
      </c>
      <c r="U50" s="4">
        <f>'תקציב מינהל תפעול 2022'!U50</f>
        <v>1000000</v>
      </c>
      <c r="V50" s="4">
        <f>'תקציב מינהל תפעול 2022'!V50</f>
        <v>500000</v>
      </c>
      <c r="W50" s="4">
        <f>'תקציב מינהל תפעול 2022'!W50</f>
        <v>500000</v>
      </c>
      <c r="X50" s="4">
        <f>'תקציב מינהל תפעול 2022'!X50</f>
        <v>0</v>
      </c>
      <c r="Y50" s="4">
        <f>'תקציב מינהל תפעול 2022'!Y50</f>
        <v>0</v>
      </c>
      <c r="Z50" s="4">
        <f>'תקציב מינהל תפעול 2022'!Z50</f>
        <v>0</v>
      </c>
      <c r="AA50" s="4">
        <f>'תקציב מינהל תפעול 2022'!AA50</f>
        <v>0</v>
      </c>
      <c r="AB50" s="255" t="str">
        <f>'תקציב מינהל תפעול 2022'!AB50</f>
        <v xml:space="preserve">המשך הסדרת שטחי בי"ס ,תוספת הסדרת שטחי גנ"י כולל: עצי הצללה, דשא סינטטי, מערכות השקייה חסכוניות במים והסדרת שטחים מוזנחים. עפ"י תוכנית עבודה שתאושר ע"י הנהלת עיר. </v>
      </c>
      <c r="AC50" s="3">
        <v>810000</v>
      </c>
    </row>
    <row r="51" spans="1:46" ht="45">
      <c r="A51" s="3">
        <f t="shared" si="0"/>
        <v>47</v>
      </c>
      <c r="B51" s="3">
        <f>'תקציב מינהל תפעול 2022'!B51</f>
        <v>2039</v>
      </c>
      <c r="C51" s="255" t="str">
        <f>'תקציב מינהל תפעול 2022'!C51</f>
        <v>הצבת קולרים ברחבי העיר</v>
      </c>
      <c r="D51" s="4">
        <f>'תקציב מינהל תפעול 2022'!D51</f>
        <v>535000</v>
      </c>
      <c r="E51" s="4">
        <f>'תקציב מינהל תפעול 2022'!E51</f>
        <v>535000</v>
      </c>
      <c r="F51" s="4">
        <f>'תקציב מינהל תפעול 2022'!F51</f>
        <v>0</v>
      </c>
      <c r="G51" s="4">
        <f>'תקציב מינהל תפעול 2022'!G51</f>
        <v>35000</v>
      </c>
      <c r="H51" s="4">
        <f>'תקציב מינהל תפעול 2022'!H51</f>
        <v>34999</v>
      </c>
      <c r="I51" s="4">
        <f>'תקציב מינהל תפעול 2022'!I51</f>
        <v>0</v>
      </c>
      <c r="J51" s="4">
        <f>'תקציב מינהל תפעול 2022'!J51</f>
        <v>0</v>
      </c>
      <c r="K51" s="4">
        <f>'תקציב מינהל תפעול 2022'!K51</f>
        <v>0</v>
      </c>
      <c r="L51" s="4">
        <f>'תקציב מינהל תפעול 2022'!L51</f>
        <v>34999</v>
      </c>
      <c r="M51" s="4">
        <f>'תקציב מינהל תפעול 2022'!M51</f>
        <v>1</v>
      </c>
      <c r="N51" s="4">
        <f>'תקציב מינהל תפעול 2022'!N51</f>
        <v>500000</v>
      </c>
      <c r="O51" s="4">
        <f>'תקציב מינהל תפעול 2022'!O51</f>
        <v>0</v>
      </c>
      <c r="P51" s="4">
        <f>'תקציב מינהל תפעול 2022'!P51</f>
        <v>1</v>
      </c>
      <c r="Q51" s="4">
        <f>'תקציב מינהל תפעול 2022'!Q51</f>
        <v>0</v>
      </c>
      <c r="R51" s="4">
        <f>'תקציב מינהל תפעול 2022'!R51</f>
        <v>0</v>
      </c>
      <c r="S51" s="4">
        <f>'תקציב מינהל תפעול 2022'!S51</f>
        <v>0</v>
      </c>
      <c r="T51" s="4">
        <f>'תקציב מינהל תפעול 2022'!T51</f>
        <v>0</v>
      </c>
      <c r="U51" s="4">
        <f>'תקציב מינהל תפעול 2022'!U51</f>
        <v>500000</v>
      </c>
      <c r="V51" s="4">
        <f>'תקציב מינהל תפעול 2022'!V51</f>
        <v>0</v>
      </c>
      <c r="W51" s="4">
        <f>'תקציב מינהל תפעול 2022'!W51</f>
        <v>500000</v>
      </c>
      <c r="X51" s="4">
        <f>'תקציב מינהל תפעול 2022'!X51</f>
        <v>0</v>
      </c>
      <c r="Y51" s="4">
        <f>'תקציב מינהל תפעול 2022'!Y51</f>
        <v>0</v>
      </c>
      <c r="Z51" s="4">
        <f>'תקציב מינהל תפעול 2022'!Z51</f>
        <v>0</v>
      </c>
      <c r="AA51" s="4">
        <f>'תקציב מינהל תפעול 2022'!AA51</f>
        <v>0</v>
      </c>
      <c r="AB51" s="255" t="str">
        <f>'תקציב מינהל תפעול 2022'!AB51</f>
        <v xml:space="preserve">הצבת מתקני שתייה מקוררים כולל תשתיות ברחבי העיר לרווחת התושבים. </v>
      </c>
      <c r="AC51" s="3">
        <v>760000</v>
      </c>
    </row>
    <row r="52" spans="1:46" ht="45">
      <c r="A52" s="3">
        <f t="shared" si="0"/>
        <v>48</v>
      </c>
      <c r="B52" s="3">
        <f>'תקציב מינהל תפעול 2022'!B52</f>
        <v>2040</v>
      </c>
      <c r="C52" s="255" t="str">
        <f>'תקציב מינהל תפעול 2022'!C52</f>
        <v>ספורטק חידוש מתחם מתקני משחק</v>
      </c>
      <c r="D52" s="4">
        <f>'תקציב מינהל תפעול 2022'!D52</f>
        <v>1210000</v>
      </c>
      <c r="E52" s="4">
        <f>'תקציב מינהל תפעול 2022'!E52</f>
        <v>910000</v>
      </c>
      <c r="F52" s="4">
        <f>'תקציב מינהל תפעול 2022'!F52</f>
        <v>300000</v>
      </c>
      <c r="G52" s="4">
        <f>'תקציב מינהל תפעול 2022'!G52</f>
        <v>910000</v>
      </c>
      <c r="H52" s="4">
        <f>'תקציב מינהל תפעול 2022'!H52</f>
        <v>832911</v>
      </c>
      <c r="I52" s="4">
        <f>'תקציב מינהל תפעול 2022'!I52</f>
        <v>0</v>
      </c>
      <c r="J52" s="4">
        <f>'תקציב מינהל תפעול 2022'!J52</f>
        <v>30442</v>
      </c>
      <c r="K52" s="4">
        <f>'תקציב מינהל תפעול 2022'!K52</f>
        <v>30442</v>
      </c>
      <c r="L52" s="4">
        <f>'תקציב מינהל תפעול 2022'!L52</f>
        <v>863353</v>
      </c>
      <c r="M52" s="4">
        <f>'תקציב מינהל תפעול 2022'!M52</f>
        <v>46647</v>
      </c>
      <c r="N52" s="4">
        <f>'תקציב מינהל תפעול 2022'!N52</f>
        <v>300000</v>
      </c>
      <c r="O52" s="4">
        <f>'תקציב מינהל תפעול 2022'!O52</f>
        <v>0</v>
      </c>
      <c r="P52" s="4">
        <f>'תקציב מינהל תפעול 2022'!P52</f>
        <v>46647</v>
      </c>
      <c r="Q52" s="4">
        <f>'תקציב מינהל תפעול 2022'!Q52</f>
        <v>0</v>
      </c>
      <c r="R52" s="4">
        <f>'תקציב מינהל תפעול 2022'!R52</f>
        <v>0</v>
      </c>
      <c r="S52" s="4">
        <f>'תקציב מינהל תפעול 2022'!S52</f>
        <v>0</v>
      </c>
      <c r="T52" s="4">
        <f>'תקציב מינהל תפעול 2022'!T52</f>
        <v>0</v>
      </c>
      <c r="U52" s="4">
        <f>'תקציב מינהל תפעול 2022'!U52</f>
        <v>300000</v>
      </c>
      <c r="V52" s="4">
        <f>'תקציב מינהל תפעול 2022'!V52</f>
        <v>0</v>
      </c>
      <c r="W52" s="4">
        <f>'תקציב מינהל תפעול 2022'!W52</f>
        <v>300000</v>
      </c>
      <c r="X52" s="4">
        <f>'תקציב מינהל תפעול 2022'!X52</f>
        <v>0</v>
      </c>
      <c r="Y52" s="4">
        <f>'תקציב מינהל תפעול 2022'!Y52</f>
        <v>0</v>
      </c>
      <c r="Z52" s="4">
        <f>'תקציב מינהל תפעול 2022'!Z52</f>
        <v>0</v>
      </c>
      <c r="AA52" s="4">
        <f>'תקציב מינהל תפעול 2022'!AA52</f>
        <v>0</v>
      </c>
      <c r="AB52" s="255" t="str">
        <f>'תקציב מינהל תפעול 2022'!AB52</f>
        <v xml:space="preserve">החלפת מתחם ישן ורעוע עשוי מלוחות עץ נרקבים שעומד שעומד לפני פסילת מכון התקנים. </v>
      </c>
      <c r="AC52" s="3">
        <v>829000</v>
      </c>
    </row>
    <row r="53" spans="1:46" ht="60">
      <c r="A53" s="3">
        <f t="shared" si="0"/>
        <v>49</v>
      </c>
      <c r="B53" s="3">
        <f>'תקציב מינהל תפעול 2022'!B53</f>
        <v>2043</v>
      </c>
      <c r="C53" s="255" t="str">
        <f>'תקציב מינהל תפעול 2022'!C53</f>
        <v>פיתוח חופי רחצה</v>
      </c>
      <c r="D53" s="4">
        <f>'תקציב מינהל תפעול 2022'!D53</f>
        <v>9750000</v>
      </c>
      <c r="E53" s="4">
        <f>'תקציב מינהל תפעול 2022'!E53</f>
        <v>7350000</v>
      </c>
      <c r="F53" s="4">
        <f>'תקציב מינהל תפעול 2022'!F53</f>
        <v>2400000</v>
      </c>
      <c r="G53" s="4">
        <f>'תקציב מינהל תפעול 2022'!G53</f>
        <v>6750000</v>
      </c>
      <c r="H53" s="4">
        <f>'תקציב מינהל תפעול 2022'!H53</f>
        <v>6198991</v>
      </c>
      <c r="I53" s="4">
        <f>'תקציב מינהל תפעול 2022'!I53</f>
        <v>277159</v>
      </c>
      <c r="J53" s="4">
        <f>'תקציב מינהל תפעול 2022'!J53</f>
        <v>214042</v>
      </c>
      <c r="K53" s="4">
        <f>'תקציב מינהל תפעול 2022'!K53</f>
        <v>491201</v>
      </c>
      <c r="L53" s="4">
        <f>'תקציב מינהל תפעול 2022'!L53</f>
        <v>6690192</v>
      </c>
      <c r="M53" s="4">
        <f>'תקציב מינהל תפעול 2022'!M53</f>
        <v>59808</v>
      </c>
      <c r="N53" s="4">
        <f>'תקציב מינהל תפעול 2022'!N53</f>
        <v>3000000</v>
      </c>
      <c r="O53" s="4">
        <f>'תקציב מינהל תפעול 2022'!O53</f>
        <v>0</v>
      </c>
      <c r="P53" s="4">
        <f>'תקציב מינהל תפעול 2022'!P53</f>
        <v>59808</v>
      </c>
      <c r="Q53" s="4">
        <f>'תקציב מינהל תפעול 2022'!Q53</f>
        <v>0</v>
      </c>
      <c r="R53" s="4">
        <f>'תקציב מינהל תפעול 2022'!R53</f>
        <v>0</v>
      </c>
      <c r="S53" s="4">
        <f>'תקציב מינהל תפעול 2022'!S53</f>
        <v>0</v>
      </c>
      <c r="T53" s="4">
        <f>'תקציב מינהל תפעול 2022'!T53</f>
        <v>0</v>
      </c>
      <c r="U53" s="4">
        <f>'תקציב מינהל תפעול 2022'!U53</f>
        <v>3000000</v>
      </c>
      <c r="V53" s="4">
        <f>'תקציב מינהל תפעול 2022'!V53</f>
        <v>0</v>
      </c>
      <c r="W53" s="4">
        <f>'תקציב מינהל תפעול 2022'!W53</f>
        <v>3000000</v>
      </c>
      <c r="X53" s="4">
        <f>'תקציב מינהל תפעול 2022'!X53</f>
        <v>0</v>
      </c>
      <c r="Y53" s="4">
        <f>'תקציב מינהל תפעול 2022'!Y53</f>
        <v>0</v>
      </c>
      <c r="Z53" s="4">
        <f>'תקציב מינהל תפעול 2022'!Z53</f>
        <v>0</v>
      </c>
      <c r="AA53" s="4">
        <f>'תקציב מינהל תפעול 2022'!AA53</f>
        <v>0</v>
      </c>
      <c r="AB53" s="255" t="str">
        <f>'תקציב מינהל תפעול 2022'!AB53</f>
        <v>סל עבודות פיתוח גידור,שדרוג והיערכות לקראת פתיחת עונת הרחצה ובמהלכה. עפ"י תוכנית שתאושר ע"י הנהלת העיר.</v>
      </c>
      <c r="AC53" s="3">
        <v>747000</v>
      </c>
    </row>
    <row r="54" spans="1:46" ht="30" customHeight="1">
      <c r="A54" s="3">
        <f t="shared" si="0"/>
        <v>50</v>
      </c>
      <c r="B54" s="3">
        <f>'תקציב מינהל תפעול 2022'!B54</f>
        <v>2044</v>
      </c>
      <c r="C54" s="255" t="str">
        <f>'תקציב מינהל תפעול 2022'!C54</f>
        <v>סככות צל חוף הכוכבים 2017</v>
      </c>
      <c r="D54" s="4">
        <f>'תקציב מינהל תפעול 2022'!D54</f>
        <v>105000</v>
      </c>
      <c r="E54" s="4">
        <f>'תקציב מינהל תפעול 2022'!E54</f>
        <v>105000</v>
      </c>
      <c r="F54" s="4">
        <f>'תקציב מינהל תפעול 2022'!F54</f>
        <v>0</v>
      </c>
      <c r="G54" s="4">
        <f>'תקציב מינהל תפעול 2022'!G54</f>
        <v>105000</v>
      </c>
      <c r="H54" s="4">
        <f>'תקציב מינהל תפעול 2022'!H54</f>
        <v>56160</v>
      </c>
      <c r="I54" s="4">
        <f>'תקציב מינהל תפעול 2022'!I54</f>
        <v>0</v>
      </c>
      <c r="J54" s="4">
        <f>'תקציב מינהל תפעול 2022'!J54</f>
        <v>0</v>
      </c>
      <c r="K54" s="4">
        <f>'תקציב מינהל תפעול 2022'!K54</f>
        <v>0</v>
      </c>
      <c r="L54" s="4">
        <f>'תקציב מינהל תפעול 2022'!L54</f>
        <v>56160</v>
      </c>
      <c r="M54" s="4">
        <f>'תקציב מינהל תפעול 2022'!M54</f>
        <v>48840</v>
      </c>
      <c r="N54" s="4">
        <f>'תקציב מינהל תפעול 2022'!N54</f>
        <v>0</v>
      </c>
      <c r="O54" s="4">
        <f>'תקציב מינהל תפעול 2022'!O54</f>
        <v>0</v>
      </c>
      <c r="P54" s="4">
        <f>'תקציב מינהל תפעול 2022'!P54</f>
        <v>48840</v>
      </c>
      <c r="Q54" s="4">
        <f>'תקציב מינהל תפעול 2022'!Q54</f>
        <v>0</v>
      </c>
      <c r="R54" s="4">
        <f>'תקציב מינהל תפעול 2022'!R54</f>
        <v>0</v>
      </c>
      <c r="S54" s="4">
        <f>'תקציב מינהל תפעול 2022'!S54</f>
        <v>0</v>
      </c>
      <c r="T54" s="4">
        <f>'תקציב מינהל תפעול 2022'!T54</f>
        <v>0</v>
      </c>
      <c r="U54" s="4">
        <f>'תקציב מינהל תפעול 2022'!U54</f>
        <v>0</v>
      </c>
      <c r="V54" s="4">
        <f>'תקציב מינהל תפעול 2022'!V54</f>
        <v>0</v>
      </c>
      <c r="W54" s="4">
        <f>'תקציב מינהל תפעול 2022'!W54</f>
        <v>0</v>
      </c>
      <c r="X54" s="4">
        <f>'תקציב מינהל תפעול 2022'!X54</f>
        <v>0</v>
      </c>
      <c r="Y54" s="4">
        <f>'תקציב מינהל תפעול 2022'!Y54</f>
        <v>0</v>
      </c>
      <c r="Z54" s="4">
        <f>'תקציב מינהל תפעול 2022'!Z54</f>
        <v>0</v>
      </c>
      <c r="AA54" s="4">
        <f>'תקציב מינהל תפעול 2022'!AA54</f>
        <v>0</v>
      </c>
      <c r="AB54" s="255" t="str">
        <f>'תקציב מינהל תפעול 2022'!AB54</f>
        <v>מימון מ. הפנים. עבור רכישת 2 סככות נוספות הצללה לחוף הכוכבים.</v>
      </c>
      <c r="AC54" s="3">
        <v>747000</v>
      </c>
    </row>
    <row r="55" spans="1:46" ht="30" customHeight="1">
      <c r="A55" s="3">
        <f t="shared" si="0"/>
        <v>51</v>
      </c>
      <c r="B55" s="3">
        <f>'תקציב מינהל תפעול 2022'!B55</f>
        <v>2045</v>
      </c>
      <c r="C55" s="255" t="str">
        <f>'תקציב מינהל תפעול 2022'!C55</f>
        <v>הסדרת החוף הנפרד</v>
      </c>
      <c r="D55" s="4">
        <f>'תקציב מינהל תפעול 2022'!D55</f>
        <v>205000</v>
      </c>
      <c r="E55" s="4">
        <f>'תקציב מינהל תפעול 2022'!E55</f>
        <v>205000</v>
      </c>
      <c r="F55" s="4">
        <f>'תקציב מינהל תפעול 2022'!F55</f>
        <v>0</v>
      </c>
      <c r="G55" s="4">
        <f>'תקציב מינהל תפעול 2022'!G55</f>
        <v>205000</v>
      </c>
      <c r="H55" s="4">
        <f>'תקציב מינהל תפעול 2022'!H55</f>
        <v>0</v>
      </c>
      <c r="I55" s="4">
        <f>'תקציב מינהל תפעול 2022'!I55</f>
        <v>184044</v>
      </c>
      <c r="J55" s="4">
        <f>'תקציב מינהל תפעול 2022'!J55</f>
        <v>0</v>
      </c>
      <c r="K55" s="4">
        <f>'תקציב מינהל תפעול 2022'!K55</f>
        <v>184044</v>
      </c>
      <c r="L55" s="4">
        <f>'תקציב מינהל תפעול 2022'!L55</f>
        <v>184044</v>
      </c>
      <c r="M55" s="4">
        <f>'תקציב מינהל תפעול 2022'!M55</f>
        <v>20956</v>
      </c>
      <c r="N55" s="4">
        <f>'תקציב מינהל תפעול 2022'!N55</f>
        <v>0</v>
      </c>
      <c r="O55" s="4">
        <f>'תקציב מינהל תפעול 2022'!O55</f>
        <v>0</v>
      </c>
      <c r="P55" s="4">
        <f>'תקציב מינהל תפעול 2022'!P55</f>
        <v>20956</v>
      </c>
      <c r="Q55" s="4">
        <f>'תקציב מינהל תפעול 2022'!Q55</f>
        <v>0</v>
      </c>
      <c r="R55" s="4">
        <f>'תקציב מינהל תפעול 2022'!R55</f>
        <v>0</v>
      </c>
      <c r="S55" s="4">
        <f>'תקציב מינהל תפעול 2022'!S55</f>
        <v>0</v>
      </c>
      <c r="T55" s="4">
        <f>'תקציב מינהל תפעול 2022'!T55</f>
        <v>0</v>
      </c>
      <c r="U55" s="4">
        <f>'תקציב מינהל תפעול 2022'!U55</f>
        <v>0</v>
      </c>
      <c r="V55" s="4">
        <f>'תקציב מינהל תפעול 2022'!V55</f>
        <v>0</v>
      </c>
      <c r="W55" s="4">
        <f>'תקציב מינהל תפעול 2022'!W55</f>
        <v>0</v>
      </c>
      <c r="X55" s="4">
        <f>'תקציב מינהל תפעול 2022'!X55</f>
        <v>0</v>
      </c>
      <c r="Y55" s="4">
        <f>'תקציב מינהל תפעול 2022'!Y55</f>
        <v>0</v>
      </c>
      <c r="Z55" s="4">
        <f>'תקציב מינהל תפעול 2022'!Z55</f>
        <v>0</v>
      </c>
      <c r="AA55" s="4">
        <f>'תקציב מינהל תפעול 2022'!AA55</f>
        <v>0</v>
      </c>
      <c r="AB55" s="255" t="str">
        <f>'תקציב מינהל תפעול 2022'!AB55</f>
        <v>מימון מ. הפנים. יבוצעו עבודות נוספות בחוף הנפרד.</v>
      </c>
      <c r="AC55" s="3">
        <v>747000</v>
      </c>
    </row>
    <row r="56" spans="1:46" ht="30" customHeight="1">
      <c r="A56" s="3">
        <f t="shared" si="0"/>
        <v>52</v>
      </c>
      <c r="B56" s="3">
        <f>'תקציב מינהל תפעול 2022'!B56</f>
        <v>2047</v>
      </c>
      <c r="C56" s="255" t="str">
        <f>'תקציב מינהל תפעול 2022'!C56</f>
        <v>תחנת הצלה חוף הכוכבים 2017</v>
      </c>
      <c r="D56" s="4">
        <f>'תקציב מינהל תפעול 2022'!D56</f>
        <v>170000</v>
      </c>
      <c r="E56" s="4">
        <f>'תקציב מינהל תפעול 2022'!E56</f>
        <v>170000</v>
      </c>
      <c r="F56" s="4">
        <f>'תקציב מינהל תפעול 2022'!F56</f>
        <v>0</v>
      </c>
      <c r="G56" s="4">
        <f>'תקציב מינהל תפעול 2022'!G56</f>
        <v>170000</v>
      </c>
      <c r="H56" s="4">
        <f>'תקציב מינהל תפעול 2022'!H56</f>
        <v>117000</v>
      </c>
      <c r="I56" s="4">
        <f>'תקציב מינהל תפעול 2022'!I56</f>
        <v>53000</v>
      </c>
      <c r="J56" s="4">
        <f>'תקציב מינהל תפעול 2022'!J56</f>
        <v>0</v>
      </c>
      <c r="K56" s="4">
        <f>'תקציב מינהל תפעול 2022'!K56</f>
        <v>53000</v>
      </c>
      <c r="L56" s="4">
        <f>'תקציב מינהל תפעול 2022'!L56</f>
        <v>170000</v>
      </c>
      <c r="M56" s="4">
        <f>'תקציב מינהל תפעול 2022'!M56</f>
        <v>0</v>
      </c>
      <c r="N56" s="4">
        <f>'תקציב מינהל תפעול 2022'!N56</f>
        <v>0</v>
      </c>
      <c r="O56" s="4">
        <f>'תקציב מינהל תפעול 2022'!O56</f>
        <v>0</v>
      </c>
      <c r="P56" s="4">
        <f>'תקציב מינהל תפעול 2022'!P56</f>
        <v>0</v>
      </c>
      <c r="Q56" s="4">
        <f>'תקציב מינהל תפעול 2022'!Q56</f>
        <v>0</v>
      </c>
      <c r="R56" s="4">
        <f>'תקציב מינהל תפעול 2022'!R56</f>
        <v>0</v>
      </c>
      <c r="S56" s="4">
        <f>'תקציב מינהל תפעול 2022'!S56</f>
        <v>0</v>
      </c>
      <c r="T56" s="4">
        <f>'תקציב מינהל תפעול 2022'!T56</f>
        <v>0</v>
      </c>
      <c r="U56" s="4">
        <f>'תקציב מינהל תפעול 2022'!U56</f>
        <v>0</v>
      </c>
      <c r="V56" s="4">
        <f>'תקציב מינהל תפעול 2022'!V56</f>
        <v>0</v>
      </c>
      <c r="W56" s="4">
        <f>'תקציב מינהל תפעול 2022'!W56</f>
        <v>0</v>
      </c>
      <c r="X56" s="4">
        <f>'תקציב מינהל תפעול 2022'!X56</f>
        <v>0</v>
      </c>
      <c r="Y56" s="4">
        <f>'תקציב מינהל תפעול 2022'!Y56</f>
        <v>0</v>
      </c>
      <c r="Z56" s="4">
        <f>'תקציב מינהל תפעול 2022'!Z56</f>
        <v>0</v>
      </c>
      <c r="AA56" s="4">
        <f>'תקציב מינהל תפעול 2022'!AA56</f>
        <v>0</v>
      </c>
      <c r="AB56" s="255" t="str">
        <f>'תקציב מינהל תפעול 2022'!AB56</f>
        <v xml:space="preserve">מימון מ. הפנים.בניית התחנה טרם הסתיימה. </v>
      </c>
      <c r="AC56" s="3">
        <v>747000</v>
      </c>
    </row>
    <row r="57" spans="1:46" ht="30" customHeight="1">
      <c r="A57" s="3">
        <f t="shared" si="0"/>
        <v>53</v>
      </c>
      <c r="B57" s="3">
        <f>'תקציב מינהל תפעול 2022'!B57</f>
        <v>2063</v>
      </c>
      <c r="C57" s="255" t="str">
        <f>'תקציב מינהל תפעול 2022'!C57</f>
        <v>תוספת כיתות /חדרי ספח ברנדיס</v>
      </c>
      <c r="D57" s="4">
        <f>'תקציב מינהל תפעול 2022'!D57</f>
        <v>2400000</v>
      </c>
      <c r="E57" s="4">
        <f>'תקציב מינהל תפעול 2022'!E57</f>
        <v>2400000</v>
      </c>
      <c r="F57" s="4">
        <f>'תקציב מינהל תפעול 2022'!F57</f>
        <v>0</v>
      </c>
      <c r="G57" s="4">
        <f>'תקציב מינהל תפעול 2022'!G57</f>
        <v>2400000</v>
      </c>
      <c r="H57" s="4">
        <f>'תקציב מינהל תפעול 2022'!H57</f>
        <v>443126</v>
      </c>
      <c r="I57" s="4">
        <f>'תקציב מינהל תפעול 2022'!I57</f>
        <v>1724245</v>
      </c>
      <c r="J57" s="4">
        <f>'תקציב מינהל תפעול 2022'!J57</f>
        <v>13386</v>
      </c>
      <c r="K57" s="4">
        <f>'תקציב מינהל תפעול 2022'!K57</f>
        <v>1737631</v>
      </c>
      <c r="L57" s="4">
        <f>'תקציב מינהל תפעול 2022'!L57</f>
        <v>2180757</v>
      </c>
      <c r="M57" s="4">
        <f>'תקציב מינהל תפעול 2022'!M57</f>
        <v>219243</v>
      </c>
      <c r="N57" s="4">
        <f>'תקציב מינהל תפעול 2022'!N57</f>
        <v>0</v>
      </c>
      <c r="O57" s="4">
        <f>'תקציב מינהל תפעול 2022'!O57</f>
        <v>0</v>
      </c>
      <c r="P57" s="4">
        <f>'תקציב מינהל תפעול 2022'!P57</f>
        <v>219243</v>
      </c>
      <c r="Q57" s="4">
        <f>'תקציב מינהל תפעול 2022'!Q57</f>
        <v>0</v>
      </c>
      <c r="R57" s="4">
        <f>'תקציב מינהל תפעול 2022'!R57</f>
        <v>0</v>
      </c>
      <c r="S57" s="4">
        <f>'תקציב מינהל תפעול 2022'!S57</f>
        <v>0</v>
      </c>
      <c r="T57" s="4">
        <f>'תקציב מינהל תפעול 2022'!T57</f>
        <v>0</v>
      </c>
      <c r="U57" s="4">
        <f>'תקציב מינהל תפעול 2022'!U57</f>
        <v>0</v>
      </c>
      <c r="V57" s="4">
        <f>'תקציב מינהל תפעול 2022'!V57</f>
        <v>0</v>
      </c>
      <c r="W57" s="4">
        <f>'תקציב מינהל תפעול 2022'!W57</f>
        <v>0</v>
      </c>
      <c r="X57" s="4">
        <f>'תקציב מינהל תפעול 2022'!X57</f>
        <v>0</v>
      </c>
      <c r="Y57" s="4">
        <f>'תקציב מינהל תפעול 2022'!Y57</f>
        <v>0</v>
      </c>
      <c r="Z57" s="4">
        <f>'תקציב מינהל תפעול 2022'!Z57</f>
        <v>0</v>
      </c>
      <c r="AA57" s="4">
        <f>'תקציב מינהל תפעול 2022'!AA57</f>
        <v>0</v>
      </c>
      <c r="AB57" s="255" t="str">
        <f>'תקציב מינהל תפעול 2022'!AB57</f>
        <v xml:space="preserve">תוספת כיתות וחדרי ספח בקומת המסד בבי"ס ברנדיס. </v>
      </c>
      <c r="AC57" s="3">
        <v>810000</v>
      </c>
    </row>
    <row r="58" spans="1:46" ht="30" customHeight="1">
      <c r="A58" s="3">
        <f t="shared" si="0"/>
        <v>54</v>
      </c>
      <c r="B58" s="3">
        <f>'תקציב מינהל תפעול 2022'!B58</f>
        <v>2066</v>
      </c>
      <c r="C58" s="255" t="str">
        <f>'תקציב מינהל תפעול 2022'!C58</f>
        <v>סקר טבע עירוני</v>
      </c>
      <c r="D58" s="4">
        <f>'תקציב מינהל תפעול 2022'!D58</f>
        <v>112500</v>
      </c>
      <c r="E58" s="4">
        <f>'תקציב מינהל תפעול 2022'!E58</f>
        <v>112500</v>
      </c>
      <c r="F58" s="4">
        <f>'תקציב מינהל תפעול 2022'!F58</f>
        <v>0</v>
      </c>
      <c r="G58" s="4">
        <f>'תקציב מינהל תפעול 2022'!G58</f>
        <v>112500</v>
      </c>
      <c r="H58" s="4">
        <f>'תקציב מינהל תפעול 2022'!H58</f>
        <v>111299</v>
      </c>
      <c r="I58" s="4">
        <f>'תקציב מינהל תפעול 2022'!I58</f>
        <v>0</v>
      </c>
      <c r="J58" s="4">
        <f>'תקציב מינהל תפעול 2022'!J58</f>
        <v>0</v>
      </c>
      <c r="K58" s="4">
        <f>'תקציב מינהל תפעול 2022'!K58</f>
        <v>0</v>
      </c>
      <c r="L58" s="4">
        <f>'תקציב מינהל תפעול 2022'!L58</f>
        <v>111299</v>
      </c>
      <c r="M58" s="4">
        <f>'תקציב מינהל תפעול 2022'!M58</f>
        <v>1201</v>
      </c>
      <c r="N58" s="4">
        <f>'תקציב מינהל תפעול 2022'!N58</f>
        <v>0</v>
      </c>
      <c r="O58" s="4">
        <f>'תקציב מינהל תפעול 2022'!O58</f>
        <v>0</v>
      </c>
      <c r="P58" s="4">
        <f>'תקציב מינהל תפעול 2022'!P58</f>
        <v>1201</v>
      </c>
      <c r="Q58" s="4">
        <f>'תקציב מינהל תפעול 2022'!Q58</f>
        <v>0</v>
      </c>
      <c r="R58" s="4">
        <f>'תקציב מינהל תפעול 2022'!R58</f>
        <v>0</v>
      </c>
      <c r="S58" s="4">
        <f>'תקציב מינהל תפעול 2022'!S58</f>
        <v>0</v>
      </c>
      <c r="T58" s="4">
        <f>'תקציב מינהל תפעול 2022'!T58</f>
        <v>0</v>
      </c>
      <c r="U58" s="4">
        <f>'תקציב מינהל תפעול 2022'!U58</f>
        <v>0</v>
      </c>
      <c r="V58" s="4">
        <f>'תקציב מינהל תפעול 2022'!V58</f>
        <v>0</v>
      </c>
      <c r="W58" s="4">
        <f>'תקציב מינהל תפעול 2022'!W58</f>
        <v>0</v>
      </c>
      <c r="X58" s="4">
        <f>'תקציב מינהל תפעול 2022'!X58</f>
        <v>0</v>
      </c>
      <c r="Y58" s="4">
        <f>'תקציב מינהל תפעול 2022'!Y58</f>
        <v>0</v>
      </c>
      <c r="Z58" s="4">
        <f>'תקציב מינהל תפעול 2022'!Z58</f>
        <v>0</v>
      </c>
      <c r="AA58" s="4">
        <f>'תקציב מינהל תפעול 2022'!AA58</f>
        <v>0</v>
      </c>
      <c r="AB58" s="255" t="str">
        <f>'תקציב מינהל תפעול 2022'!AB58</f>
        <v>ייסגר עם קבלת תקבולים מ. הגנת הסביבה.</v>
      </c>
      <c r="AC58" s="3">
        <v>732000</v>
      </c>
    </row>
    <row r="59" spans="1:46" ht="30" customHeight="1">
      <c r="A59" s="3">
        <f t="shared" si="0"/>
        <v>55</v>
      </c>
      <c r="B59" s="3">
        <f>'תקציב מינהל תפעול 2022'!B59</f>
        <v>2071</v>
      </c>
      <c r="C59" s="255" t="str">
        <f>'תקציב מינהל תפעול 2022'!C59</f>
        <v>נגישות אקוסטית מ.החינוך 2017</v>
      </c>
      <c r="D59" s="4">
        <f>'תקציב מינהל תפעול 2022'!D59</f>
        <v>300000</v>
      </c>
      <c r="E59" s="4">
        <f>'תקציב מינהל תפעול 2022'!E59</f>
        <v>300000</v>
      </c>
      <c r="F59" s="4">
        <f>'תקציב מינהל תפעול 2022'!F59</f>
        <v>0</v>
      </c>
      <c r="G59" s="4">
        <f>'תקציב מינהל תפעול 2022'!G59</f>
        <v>300000</v>
      </c>
      <c r="H59" s="4">
        <f>'תקציב מינהל תפעול 2022'!H59</f>
        <v>270457</v>
      </c>
      <c r="I59" s="4">
        <f>'תקציב מינהל תפעול 2022'!I59</f>
        <v>0</v>
      </c>
      <c r="J59" s="4">
        <f>'תקציב מינהל תפעול 2022'!J59</f>
        <v>0</v>
      </c>
      <c r="K59" s="4">
        <f>'תקציב מינהל תפעול 2022'!K59</f>
        <v>0</v>
      </c>
      <c r="L59" s="4">
        <f>'תקציב מינהל תפעול 2022'!L59</f>
        <v>270457</v>
      </c>
      <c r="M59" s="4">
        <f>'תקציב מינהל תפעול 2022'!M59</f>
        <v>29543</v>
      </c>
      <c r="N59" s="4">
        <f>'תקציב מינהל תפעול 2022'!N59</f>
        <v>0</v>
      </c>
      <c r="O59" s="4">
        <f>'תקציב מינהל תפעול 2022'!O59</f>
        <v>0</v>
      </c>
      <c r="P59" s="4">
        <f>'תקציב מינהל תפעול 2022'!P59</f>
        <v>29543</v>
      </c>
      <c r="Q59" s="4">
        <f>'תקציב מינהל תפעול 2022'!Q59</f>
        <v>0</v>
      </c>
      <c r="R59" s="4">
        <f>'תקציב מינהל תפעול 2022'!R59</f>
        <v>0</v>
      </c>
      <c r="S59" s="4">
        <f>'תקציב מינהל תפעול 2022'!S59</f>
        <v>0</v>
      </c>
      <c r="T59" s="4">
        <f>'תקציב מינהל תפעול 2022'!T59</f>
        <v>0</v>
      </c>
      <c r="U59" s="4">
        <f>'תקציב מינהל תפעול 2022'!U59</f>
        <v>0</v>
      </c>
      <c r="V59" s="4">
        <f>'תקציב מינהל תפעול 2022'!V59</f>
        <v>0</v>
      </c>
      <c r="W59" s="4">
        <f>'תקציב מינהל תפעול 2022'!W59</f>
        <v>0</v>
      </c>
      <c r="X59" s="4">
        <f>'תקציב מינהל תפעול 2022'!X59</f>
        <v>0</v>
      </c>
      <c r="Y59" s="4">
        <f>'תקציב מינהל תפעול 2022'!Y59</f>
        <v>0</v>
      </c>
      <c r="Z59" s="4">
        <f>'תקציב מינהל תפעול 2022'!Z59</f>
        <v>0</v>
      </c>
      <c r="AA59" s="4">
        <f>'תקציב מינהל תפעול 2022'!AA59</f>
        <v>0</v>
      </c>
      <c r="AB59" s="255" t="str">
        <f>'תקציב מינהל תפעול 2022'!AB59</f>
        <v>מימון מ. החינוך. ממתין לתקבול סופי.</v>
      </c>
      <c r="AC59" s="3">
        <v>810000</v>
      </c>
    </row>
    <row r="60" spans="1:46" ht="30" customHeight="1">
      <c r="A60" s="3">
        <f t="shared" si="0"/>
        <v>56</v>
      </c>
      <c r="B60" s="3">
        <f>'תקציב מינהל תפעול 2022'!B60</f>
        <v>2074</v>
      </c>
      <c r="C60" s="255" t="str">
        <f>'תקציב מינהל תפעול 2022'!C60</f>
        <v>שיפוץ מבנה אגף תבל ואגף הבטחון</v>
      </c>
      <c r="D60" s="4">
        <f>'תקציב מינהל תפעול 2022'!D60</f>
        <v>1500000</v>
      </c>
      <c r="E60" s="4">
        <f>'תקציב מינהל תפעול 2022'!E60</f>
        <v>2000000</v>
      </c>
      <c r="F60" s="4">
        <f>'תקציב מינהל תפעול 2022'!F60</f>
        <v>-500000</v>
      </c>
      <c r="G60" s="4">
        <f>'תקציב מינהל תפעול 2022'!G60</f>
        <v>1500000</v>
      </c>
      <c r="H60" s="4">
        <f>'תקציב מינהל תפעול 2022'!H60</f>
        <v>918775</v>
      </c>
      <c r="I60" s="4">
        <f>'תקציב מינהל תפעול 2022'!I60</f>
        <v>0</v>
      </c>
      <c r="J60" s="4">
        <f>'תקציב מינהל תפעול 2022'!J60</f>
        <v>201211</v>
      </c>
      <c r="K60" s="4">
        <f>'תקציב מינהל תפעול 2022'!K60</f>
        <v>201211</v>
      </c>
      <c r="L60" s="4">
        <f>'תקציב מינהל תפעול 2022'!L60</f>
        <v>1119986</v>
      </c>
      <c r="M60" s="4">
        <f>'תקציב מינהל תפעול 2022'!M60</f>
        <v>380014</v>
      </c>
      <c r="N60" s="4">
        <f>'תקציב מינהל תפעול 2022'!N60</f>
        <v>0</v>
      </c>
      <c r="O60" s="4">
        <f>'תקציב מינהל תפעול 2022'!O60</f>
        <v>0</v>
      </c>
      <c r="P60" s="4">
        <f>'תקציב מינהל תפעול 2022'!P60</f>
        <v>380014</v>
      </c>
      <c r="Q60" s="4">
        <f>'תקציב מינהל תפעול 2022'!Q60</f>
        <v>0</v>
      </c>
      <c r="R60" s="4">
        <f>'תקציב מינהל תפעול 2022'!R60</f>
        <v>0</v>
      </c>
      <c r="S60" s="4">
        <f>'תקציב מינהל תפעול 2022'!S60</f>
        <v>0</v>
      </c>
      <c r="T60" s="4">
        <f>'תקציב מינהל תפעול 2022'!T60</f>
        <v>0</v>
      </c>
      <c r="U60" s="4">
        <f>'תקציב מינהל תפעול 2022'!U60</f>
        <v>0</v>
      </c>
      <c r="V60" s="4">
        <f>'תקציב מינהל תפעול 2022'!V60</f>
        <v>0</v>
      </c>
      <c r="W60" s="4">
        <f>'תקציב מינהל תפעול 2022'!W60</f>
        <v>0</v>
      </c>
      <c r="X60" s="4">
        <f>'תקציב מינהל תפעול 2022'!X60</f>
        <v>0</v>
      </c>
      <c r="Y60" s="4">
        <f>'תקציב מינהל תפעול 2022'!Y60</f>
        <v>0</v>
      </c>
      <c r="Z60" s="4">
        <f>'תקציב מינהל תפעול 2022'!Z60</f>
        <v>0</v>
      </c>
      <c r="AA60" s="4">
        <f>'תקציב מינהל תפעול 2022'!AA60</f>
        <v>0</v>
      </c>
      <c r="AB60" s="255" t="str">
        <f>'תקציב מינהל תפעול 2022'!AB60</f>
        <v>עבודות שיפוץ כללי למשרדי האגפים כולל חדר ישיבות.</v>
      </c>
      <c r="AC60" s="3">
        <v>930000</v>
      </c>
    </row>
    <row r="61" spans="1:46" ht="60">
      <c r="A61" s="3">
        <f t="shared" si="0"/>
        <v>57</v>
      </c>
      <c r="B61" s="3">
        <f>'תקציב מינהל תפעול 2022'!B61</f>
        <v>2088</v>
      </c>
      <c r="C61" s="255" t="str">
        <f>'תקציב מינהל תפעול 2022'!C61</f>
        <v xml:space="preserve">שדרוג גן דפנה אילת </v>
      </c>
      <c r="D61" s="4">
        <f>'תקציב מינהל תפעול 2022'!D61</f>
        <v>1600000</v>
      </c>
      <c r="E61" s="4">
        <f>'תקציב מינהל תפעול 2022'!E61</f>
        <v>1600000</v>
      </c>
      <c r="F61" s="4">
        <f>'תקציב מינהל תפעול 2022'!F61</f>
        <v>0</v>
      </c>
      <c r="G61" s="4">
        <f>'תקציב מינהל תפעול 2022'!G61</f>
        <v>1600000</v>
      </c>
      <c r="H61" s="4">
        <f>'תקציב מינהל תפעול 2022'!H61</f>
        <v>1328832</v>
      </c>
      <c r="I61" s="4">
        <f>'תקציב מינהל תפעול 2022'!I61</f>
        <v>0</v>
      </c>
      <c r="J61" s="4">
        <f>'תקציב מינהל תפעול 2022'!J61</f>
        <v>0</v>
      </c>
      <c r="K61" s="4">
        <f>'תקציב מינהל תפעול 2022'!K61</f>
        <v>0</v>
      </c>
      <c r="L61" s="4">
        <f>'תקציב מינהל תפעול 2022'!L61</f>
        <v>1328832</v>
      </c>
      <c r="M61" s="4">
        <f>'תקציב מינהל תפעול 2022'!M61</f>
        <v>271168</v>
      </c>
      <c r="N61" s="4">
        <f>'תקציב מינהל תפעול 2022'!N61</f>
        <v>0</v>
      </c>
      <c r="O61" s="4">
        <f>'תקציב מינהל תפעול 2022'!O61</f>
        <v>0</v>
      </c>
      <c r="P61" s="4">
        <f>'תקציב מינהל תפעול 2022'!P61</f>
        <v>271168</v>
      </c>
      <c r="Q61" s="4">
        <f>'תקציב מינהל תפעול 2022'!Q61</f>
        <v>0</v>
      </c>
      <c r="R61" s="4">
        <f>'תקציב מינהל תפעול 2022'!R61</f>
        <v>0</v>
      </c>
      <c r="S61" s="4">
        <f>'תקציב מינהל תפעול 2022'!S61</f>
        <v>0</v>
      </c>
      <c r="T61" s="4">
        <f>'תקציב מינהל תפעול 2022'!T61</f>
        <v>0</v>
      </c>
      <c r="U61" s="4">
        <f>'תקציב מינהל תפעול 2022'!U61</f>
        <v>0</v>
      </c>
      <c r="V61" s="4">
        <f>'תקציב מינהל תפעול 2022'!V61</f>
        <v>0</v>
      </c>
      <c r="W61" s="4">
        <f>'תקציב מינהל תפעול 2022'!W61</f>
        <v>0</v>
      </c>
      <c r="X61" s="4">
        <f>'תקציב מינהל תפעול 2022'!X61</f>
        <v>0</v>
      </c>
      <c r="Y61" s="4">
        <f>'תקציב מינהל תפעול 2022'!Y61</f>
        <v>0</v>
      </c>
      <c r="Z61" s="4">
        <f>'תקציב מינהל תפעול 2022'!Z61</f>
        <v>0</v>
      </c>
      <c r="AA61" s="4">
        <f>'תקציב מינהל תפעול 2022'!AA61</f>
        <v>0</v>
      </c>
      <c r="AB61" s="255" t="str">
        <f>'תקציב מינהל תפעול 2022'!AB61</f>
        <v>הסדרת הגן המרכזי בשכונת גן רש"ל כולל: מתקני משחק, משטח גומי, עבודות גינון, השקייה, פיתוח והנגשה.</v>
      </c>
      <c r="AC61" s="3">
        <v>746000</v>
      </c>
    </row>
    <row r="62" spans="1:46" ht="105">
      <c r="A62" s="3">
        <f t="shared" si="0"/>
        <v>58</v>
      </c>
      <c r="B62" s="3">
        <f>'תקציב מינהל תפעול 2022'!B62</f>
        <v>2094</v>
      </c>
      <c r="C62" s="255" t="str">
        <f>'תקציב מינהל תפעול 2022'!C62</f>
        <v>הקמת חפ"ק עירוני חדש</v>
      </c>
      <c r="D62" s="4">
        <f>'תקציב מינהל תפעול 2022'!D62</f>
        <v>1000000</v>
      </c>
      <c r="E62" s="4">
        <f>'תקציב מינהל תפעול 2022'!E62</f>
        <v>1000000</v>
      </c>
      <c r="F62" s="4">
        <f>'תקציב מינהל תפעול 2022'!F62</f>
        <v>0</v>
      </c>
      <c r="G62" s="4">
        <f>'תקציב מינהל תפעול 2022'!G62</f>
        <v>300000</v>
      </c>
      <c r="H62" s="4">
        <f>'תקציב מינהל תפעול 2022'!H62</f>
        <v>224675</v>
      </c>
      <c r="I62" s="4">
        <f>'תקציב מינהל תפעול 2022'!I62</f>
        <v>0</v>
      </c>
      <c r="J62" s="4">
        <f>'תקציב מינהל תפעול 2022'!J62</f>
        <v>15210</v>
      </c>
      <c r="K62" s="4">
        <f>'תקציב מינהל תפעול 2022'!K62</f>
        <v>15210</v>
      </c>
      <c r="L62" s="4">
        <f>'תקציב מינהל תפעול 2022'!L62</f>
        <v>239885</v>
      </c>
      <c r="M62" s="4">
        <f>'תקציב מינהל תפעול 2022'!M62</f>
        <v>60115</v>
      </c>
      <c r="N62" s="4">
        <f>'תקציב מינהל תפעול 2022'!N62</f>
        <v>0</v>
      </c>
      <c r="O62" s="4">
        <f>'תקציב מינהל תפעול 2022'!O62</f>
        <v>700000</v>
      </c>
      <c r="P62" s="4">
        <f>'תקציב מינהל תפעול 2022'!P62</f>
        <v>60115</v>
      </c>
      <c r="Q62" s="4">
        <f>'תקציב מינהל תפעול 2022'!Q62</f>
        <v>0</v>
      </c>
      <c r="R62" s="4">
        <f>'תקציב מינהל תפעול 2022'!R62</f>
        <v>0</v>
      </c>
      <c r="S62" s="4">
        <f>'תקציב מינהל תפעול 2022'!S62</f>
        <v>0</v>
      </c>
      <c r="T62" s="4">
        <f>'תקציב מינהל תפעול 2022'!T62</f>
        <v>0</v>
      </c>
      <c r="U62" s="4">
        <f>'תקציב מינהל תפעול 2022'!U62</f>
        <v>0</v>
      </c>
      <c r="V62" s="4">
        <f>'תקציב מינהל תפעול 2022'!V62</f>
        <v>0</v>
      </c>
      <c r="W62" s="4">
        <f>'תקציב מינהל תפעול 2022'!W62</f>
        <v>0</v>
      </c>
      <c r="X62" s="4">
        <f>'תקציב מינהל תפעול 2022'!X62</f>
        <v>0</v>
      </c>
      <c r="Y62" s="4">
        <f>'תקציב מינהל תפעול 2022'!Y62</f>
        <v>0</v>
      </c>
      <c r="Z62" s="4">
        <f>'תקציב מינהל תפעול 2022'!Z62</f>
        <v>0</v>
      </c>
      <c r="AA62" s="4">
        <f>'תקציב מינהל תפעול 2022'!AA62</f>
        <v>0</v>
      </c>
      <c r="AB62" s="255" t="str">
        <f>'תקציב מינהל תפעול 2022'!AB62</f>
        <v>משרד נייד (רכב)  הכולל : מרכז תקשורת רב ערוצית ,תורן תקשורת טלסקופי,עמדת מחשב,קיר תדרוך,עזרים שונים , בלון תאורה להארה של זירת ארוע ,מיזוג אויר, תאורה,מרכז אנרגיה.</v>
      </c>
      <c r="AC62" s="160">
        <v>720000</v>
      </c>
    </row>
    <row r="63" spans="1:46" s="498" customFormat="1" ht="30" customHeight="1">
      <c r="A63" s="3">
        <f t="shared" si="0"/>
        <v>59</v>
      </c>
      <c r="B63" s="3">
        <f>'תקציב מינהל תפעול 2022'!B63</f>
        <v>2095</v>
      </c>
      <c r="C63" s="255" t="str">
        <f>'תקציב מינהל תפעול 2022'!C63</f>
        <v>ספירת מלאי וסימון הרכוש העירוני</v>
      </c>
      <c r="D63" s="4">
        <f>'תקציב מינהל תפעול 2022'!D63</f>
        <v>160000</v>
      </c>
      <c r="E63" s="4">
        <f>'תקציב מינהל תפעול 2022'!E63</f>
        <v>160000</v>
      </c>
      <c r="F63" s="4">
        <f>'תקציב מינהל תפעול 2022'!F63</f>
        <v>0</v>
      </c>
      <c r="G63" s="4">
        <f>'תקציב מינהל תפעול 2022'!G63</f>
        <v>160000</v>
      </c>
      <c r="H63" s="4">
        <f>'תקציב מינהל תפעול 2022'!H63</f>
        <v>40365</v>
      </c>
      <c r="I63" s="4">
        <f>'תקציב מינהל תפעול 2022'!I63</f>
        <v>0</v>
      </c>
      <c r="J63" s="4">
        <f>'תקציב מינהל תפעול 2022'!J63</f>
        <v>0</v>
      </c>
      <c r="K63" s="4">
        <f>'תקציב מינהל תפעול 2022'!K63</f>
        <v>0</v>
      </c>
      <c r="L63" s="4">
        <f>'תקציב מינהל תפעול 2022'!L63</f>
        <v>40365</v>
      </c>
      <c r="M63" s="4">
        <f>'תקציב מינהל תפעול 2022'!M63</f>
        <v>119635</v>
      </c>
      <c r="N63" s="4">
        <f>'תקציב מינהל תפעול 2022'!N63</f>
        <v>0</v>
      </c>
      <c r="O63" s="4">
        <f>'תקציב מינהל תפעול 2022'!O63</f>
        <v>0</v>
      </c>
      <c r="P63" s="4">
        <f>'תקציב מינהל תפעול 2022'!P63</f>
        <v>119635</v>
      </c>
      <c r="Q63" s="4">
        <f>'תקציב מינהל תפעול 2022'!Q63</f>
        <v>0</v>
      </c>
      <c r="R63" s="4">
        <f>'תקציב מינהל תפעול 2022'!R63</f>
        <v>0</v>
      </c>
      <c r="S63" s="4">
        <f>'תקציב מינהל תפעול 2022'!S63</f>
        <v>0</v>
      </c>
      <c r="T63" s="4">
        <f>'תקציב מינהל תפעול 2022'!T63</f>
        <v>0</v>
      </c>
      <c r="U63" s="4">
        <f>'תקציב מינהל תפעול 2022'!U63</f>
        <v>0</v>
      </c>
      <c r="V63" s="4">
        <f>'תקציב מינהל תפעול 2022'!V63</f>
        <v>0</v>
      </c>
      <c r="W63" s="4">
        <f>'תקציב מינהל תפעול 2022'!W63</f>
        <v>0</v>
      </c>
      <c r="X63" s="4">
        <f>'תקציב מינהל תפעול 2022'!X63</f>
        <v>0</v>
      </c>
      <c r="Y63" s="4">
        <f>'תקציב מינהל תפעול 2022'!Y63</f>
        <v>0</v>
      </c>
      <c r="Z63" s="4">
        <f>'תקציב מינהל תפעול 2022'!Z63</f>
        <v>0</v>
      </c>
      <c r="AA63" s="4">
        <f>'תקציב מינהל תפעול 2022'!AA63</f>
        <v>0</v>
      </c>
      <c r="AB63" s="255" t="str">
        <f>'תקציב מינהל תפעול 2022'!AB63</f>
        <v xml:space="preserve">ספירת רכוש במוסדות חינוך ויחידות עירוניות וסימון הרכוש העירוני. </v>
      </c>
      <c r="AC63" s="3">
        <v>610000</v>
      </c>
      <c r="AD63" s="462"/>
      <c r="AE63" s="462"/>
      <c r="AF63" s="462"/>
      <c r="AG63" s="462"/>
      <c r="AH63" s="462"/>
      <c r="AI63" s="462"/>
      <c r="AJ63" s="462"/>
      <c r="AK63" s="462"/>
      <c r="AL63" s="462"/>
      <c r="AM63" s="462"/>
      <c r="AN63" s="462"/>
      <c r="AO63" s="462"/>
      <c r="AP63" s="462"/>
      <c r="AQ63" s="462"/>
      <c r="AR63" s="462"/>
      <c r="AS63" s="462"/>
      <c r="AT63" s="462"/>
    </row>
    <row r="64" spans="1:46" ht="45">
      <c r="A64" s="3">
        <f t="shared" si="0"/>
        <v>60</v>
      </c>
      <c r="B64" s="3">
        <f>'תקציב מינהל תפעול 2022'!B64</f>
        <v>2096</v>
      </c>
      <c r="C64" s="255" t="str">
        <f>'תקציב מינהל תפעול 2022'!C64</f>
        <v>הצטיידות לחמ"ל החדש</v>
      </c>
      <c r="D64" s="4">
        <f>'תקציב מינהל תפעול 2022'!D64</f>
        <v>1215000</v>
      </c>
      <c r="E64" s="4">
        <f>'תקציב מינהל תפעול 2022'!E64</f>
        <v>1215000</v>
      </c>
      <c r="F64" s="4">
        <f>'תקציב מינהל תפעול 2022'!F64</f>
        <v>0</v>
      </c>
      <c r="G64" s="4">
        <f>'תקציב מינהל תפעול 2022'!G64</f>
        <v>1215000</v>
      </c>
      <c r="H64" s="4">
        <f>'תקציב מינהל תפעול 2022'!H64</f>
        <v>559349</v>
      </c>
      <c r="I64" s="4">
        <f>'תקציב מינהל תפעול 2022'!I64</f>
        <v>0</v>
      </c>
      <c r="J64" s="4">
        <f>'תקציב מינהל תפעול 2022'!J64</f>
        <v>654072</v>
      </c>
      <c r="K64" s="4">
        <f>'תקציב מינהל תפעול 2022'!K64</f>
        <v>654072</v>
      </c>
      <c r="L64" s="4">
        <f>'תקציב מינהל תפעול 2022'!L64</f>
        <v>1213421</v>
      </c>
      <c r="M64" s="4">
        <f>'תקציב מינהל תפעול 2022'!M64</f>
        <v>1579</v>
      </c>
      <c r="N64" s="4">
        <f>'תקציב מינהל תפעול 2022'!N64</f>
        <v>0</v>
      </c>
      <c r="O64" s="4">
        <f>'תקציב מינהל תפעול 2022'!O64</f>
        <v>0</v>
      </c>
      <c r="P64" s="4">
        <f>'תקציב מינהל תפעול 2022'!P64</f>
        <v>1579</v>
      </c>
      <c r="Q64" s="4">
        <f>'תקציב מינהל תפעול 2022'!Q64</f>
        <v>0</v>
      </c>
      <c r="R64" s="4">
        <f>'תקציב מינהל תפעול 2022'!R64</f>
        <v>0</v>
      </c>
      <c r="S64" s="4">
        <f>'תקציב מינהל תפעול 2022'!S64</f>
        <v>0</v>
      </c>
      <c r="T64" s="4">
        <f>'תקציב מינהל תפעול 2022'!T64</f>
        <v>0</v>
      </c>
      <c r="U64" s="4">
        <f>'תקציב מינהל תפעול 2022'!U64</f>
        <v>0</v>
      </c>
      <c r="V64" s="4">
        <f>'תקציב מינהל תפעול 2022'!V64</f>
        <v>0</v>
      </c>
      <c r="W64" s="4">
        <f>'תקציב מינהל תפעול 2022'!W64</f>
        <v>-167615</v>
      </c>
      <c r="X64" s="4">
        <f>'תקציב מינהל תפעול 2022'!X64</f>
        <v>0</v>
      </c>
      <c r="Y64" s="4">
        <f>'תקציב מינהל תפעול 2022'!Y64</f>
        <v>0</v>
      </c>
      <c r="Z64" s="4">
        <f>'תקציב מינהל תפעול 2022'!Z64</f>
        <v>0</v>
      </c>
      <c r="AA64" s="4">
        <f>'תקציב מינהל תפעול 2022'!AA64</f>
        <v>167615</v>
      </c>
      <c r="AB64" s="255" t="str">
        <f>'תקציב מינהל תפעול 2022'!AB64</f>
        <v>עבודות מיזוג, חשמל, נגרות תקשורת  והצטיידות לחמ"ל האחורי. מימון מ. הפנים.</v>
      </c>
      <c r="AC64" s="3">
        <v>930000</v>
      </c>
    </row>
    <row r="65" spans="1:46" ht="30" customHeight="1">
      <c r="A65" s="3">
        <f t="shared" si="0"/>
        <v>61</v>
      </c>
      <c r="B65" s="3">
        <f>'תקציב מינהל תפעול 2022'!B65</f>
        <v>2125</v>
      </c>
      <c r="C65" s="255" t="str">
        <f>'תקציב מינהל תפעול 2022'!C65</f>
        <v>ציוד הצלה ובטיחות 2018</v>
      </c>
      <c r="D65" s="4">
        <f>'תקציב מינהל תפעול 2022'!D65</f>
        <v>146923</v>
      </c>
      <c r="E65" s="4">
        <f>'תקציב מינהל תפעול 2022'!E65</f>
        <v>146923</v>
      </c>
      <c r="F65" s="4">
        <f>'תקציב מינהל תפעול 2022'!F65</f>
        <v>0</v>
      </c>
      <c r="G65" s="4">
        <f>'תקציב מינהל תפעול 2022'!G65</f>
        <v>146923</v>
      </c>
      <c r="H65" s="4">
        <f>'תקציב מינהל תפעול 2022'!H65</f>
        <v>121136</v>
      </c>
      <c r="I65" s="4">
        <f>'תקציב מינהל תפעול 2022'!I65</f>
        <v>0</v>
      </c>
      <c r="J65" s="4">
        <f>'תקציב מינהל תפעול 2022'!J65</f>
        <v>25787</v>
      </c>
      <c r="K65" s="4">
        <f>'תקציב מינהל תפעול 2022'!K65</f>
        <v>25787</v>
      </c>
      <c r="L65" s="4">
        <f>'תקציב מינהל תפעול 2022'!L65</f>
        <v>146923</v>
      </c>
      <c r="M65" s="4">
        <f>'תקציב מינהל תפעול 2022'!M65</f>
        <v>0</v>
      </c>
      <c r="N65" s="4">
        <f>'תקציב מינהל תפעול 2022'!N65</f>
        <v>0</v>
      </c>
      <c r="O65" s="4">
        <f>'תקציב מינהל תפעול 2022'!O65</f>
        <v>0</v>
      </c>
      <c r="P65" s="4">
        <f>'תקציב מינהל תפעול 2022'!P65</f>
        <v>0</v>
      </c>
      <c r="Q65" s="4">
        <f>'תקציב מינהל תפעול 2022'!Q65</f>
        <v>0</v>
      </c>
      <c r="R65" s="4">
        <f>'תקציב מינהל תפעול 2022'!R65</f>
        <v>0</v>
      </c>
      <c r="S65" s="4">
        <f>'תקציב מינהל תפעול 2022'!S65</f>
        <v>0</v>
      </c>
      <c r="T65" s="4">
        <f>'תקציב מינהל תפעול 2022'!T65</f>
        <v>0</v>
      </c>
      <c r="U65" s="4">
        <f>'תקציב מינהל תפעול 2022'!U65</f>
        <v>0</v>
      </c>
      <c r="V65" s="4">
        <f>'תקציב מינהל תפעול 2022'!V65</f>
        <v>0</v>
      </c>
      <c r="W65" s="4">
        <f>'תקציב מינהל תפעול 2022'!W65</f>
        <v>0</v>
      </c>
      <c r="X65" s="4">
        <f>'תקציב מינהל תפעול 2022'!X65</f>
        <v>0</v>
      </c>
      <c r="Y65" s="4">
        <f>'תקציב מינהל תפעול 2022'!Y65</f>
        <v>0</v>
      </c>
      <c r="Z65" s="4">
        <f>'תקציב מינהל תפעול 2022'!Z65</f>
        <v>0</v>
      </c>
      <c r="AA65" s="4">
        <f>'תקציב מינהל תפעול 2022'!AA65</f>
        <v>0</v>
      </c>
      <c r="AB65" s="255" t="str">
        <f>'תקציב מינהל תפעול 2022'!AB65</f>
        <v>החלפה והוספת ציוד הצלה ובטיחות. מימון מ. הפנים.</v>
      </c>
      <c r="AC65" s="3">
        <v>747000</v>
      </c>
    </row>
    <row r="66" spans="1:46" ht="45">
      <c r="A66" s="3">
        <f t="shared" si="0"/>
        <v>62</v>
      </c>
      <c r="B66" s="3">
        <f>'תקציב מינהל תפעול 2022'!B66</f>
        <v>2131</v>
      </c>
      <c r="C66" s="255" t="str">
        <f>'תקציב מינהל תפעול 2022'!C66</f>
        <v>חסכון,התייע' אנרגטית מוסח/ציבור</v>
      </c>
      <c r="D66" s="4">
        <f>'תקציב מינהל תפעול 2022'!D66</f>
        <v>7500000</v>
      </c>
      <c r="E66" s="4">
        <f>'תקציב מינהל תפעול 2022'!E66</f>
        <v>7500000</v>
      </c>
      <c r="F66" s="4">
        <f>'תקציב מינהל תפעול 2022'!F66</f>
        <v>0</v>
      </c>
      <c r="G66" s="4">
        <f>'תקציב מינהל תפעול 2022'!G66</f>
        <v>4020000</v>
      </c>
      <c r="H66" s="4">
        <f>'תקציב מינהל תפעול 2022'!H66</f>
        <v>2699413</v>
      </c>
      <c r="I66" s="4">
        <f>'תקציב מינהל תפעול 2022'!I66</f>
        <v>696330</v>
      </c>
      <c r="J66" s="4">
        <f>'תקציב מינהל תפעול 2022'!J66</f>
        <v>483349</v>
      </c>
      <c r="K66" s="4">
        <f>'תקציב מינהל תפעול 2022'!K66</f>
        <v>1179679</v>
      </c>
      <c r="L66" s="4">
        <f>'תקציב מינהל תפעול 2022'!L66</f>
        <v>3879092</v>
      </c>
      <c r="M66" s="4">
        <f>'תקציב מינהל תפעול 2022'!M66</f>
        <v>140908</v>
      </c>
      <c r="N66" s="4">
        <f>'תקציב מינהל תפעול 2022'!N66</f>
        <v>0</v>
      </c>
      <c r="O66" s="4">
        <f>'תקציב מינהל תפעול 2022'!O66</f>
        <v>3480000</v>
      </c>
      <c r="P66" s="4">
        <f>'תקציב מינהל תפעול 2022'!P66</f>
        <v>140908</v>
      </c>
      <c r="Q66" s="4">
        <f>'תקציב מינהל תפעול 2022'!Q66</f>
        <v>0</v>
      </c>
      <c r="R66" s="4">
        <f>'תקציב מינהל תפעול 2022'!R66</f>
        <v>0</v>
      </c>
      <c r="S66" s="4">
        <f>'תקציב מינהל תפעול 2022'!S66</f>
        <v>0</v>
      </c>
      <c r="T66" s="4">
        <f>'תקציב מינהל תפעול 2022'!T66</f>
        <v>0</v>
      </c>
      <c r="U66" s="4">
        <f>'תקציב מינהל תפעול 2022'!U66</f>
        <v>0</v>
      </c>
      <c r="V66" s="4">
        <f>'תקציב מינהל תפעול 2022'!V66</f>
        <v>0</v>
      </c>
      <c r="W66" s="4">
        <f>'תקציב מינהל תפעול 2022'!W66</f>
        <v>0</v>
      </c>
      <c r="X66" s="4">
        <f>'תקציב מינהל תפעול 2022'!X66</f>
        <v>0</v>
      </c>
      <c r="Y66" s="4">
        <f>'תקציב מינהל תפעול 2022'!Y66</f>
        <v>0</v>
      </c>
      <c r="Z66" s="4">
        <f>'תקציב מינהל תפעול 2022'!Z66</f>
        <v>0</v>
      </c>
      <c r="AA66" s="4">
        <f>'תקציב מינהל תפעול 2022'!AA66</f>
        <v>0</v>
      </c>
      <c r="AB66" s="255" t="str">
        <f>'תקציב מינהל תפעול 2022'!AB66</f>
        <v xml:space="preserve">החלפת מזגנים והחלפת תאורה ללדים במוס"ח. מימון מ. הכלכלה והתעשיה.  </v>
      </c>
      <c r="AC66" s="3">
        <v>870000</v>
      </c>
    </row>
    <row r="67" spans="1:46" ht="45">
      <c r="A67" s="3">
        <f t="shared" si="0"/>
        <v>63</v>
      </c>
      <c r="B67" s="3">
        <f>'תקציב מינהל תפעול 2022'!B67</f>
        <v>2133</v>
      </c>
      <c r="C67" s="255" t="str">
        <f>'תקציב מינהל תפעול 2022'!C67</f>
        <v>רכישת רכבים</v>
      </c>
      <c r="D67" s="4">
        <f>'תקציב מינהל תפעול 2022'!D67</f>
        <v>5150000</v>
      </c>
      <c r="E67" s="4">
        <f>'תקציב מינהל תפעול 2022'!E67</f>
        <v>3150000</v>
      </c>
      <c r="F67" s="4">
        <f>'תקציב מינהל תפעול 2022'!F67</f>
        <v>2000000</v>
      </c>
      <c r="G67" s="4">
        <f>'תקציב מינהל תפעול 2022'!G67</f>
        <v>3150000</v>
      </c>
      <c r="H67" s="4">
        <f>'תקציב מינהל תפעול 2022'!H67</f>
        <v>1399843</v>
      </c>
      <c r="I67" s="4">
        <f>'תקציב מינהל תפעול 2022'!I67</f>
        <v>0</v>
      </c>
      <c r="J67" s="4">
        <f>'תקציב מינהל תפעול 2022'!J67</f>
        <v>827984</v>
      </c>
      <c r="K67" s="4">
        <f>'תקציב מינהל תפעול 2022'!K67</f>
        <v>827984</v>
      </c>
      <c r="L67" s="4">
        <f>'תקציב מינהל תפעול 2022'!L67</f>
        <v>2227827</v>
      </c>
      <c r="M67" s="4">
        <f>'תקציב מינהל תפעול 2022'!M67</f>
        <v>922173</v>
      </c>
      <c r="N67" s="4">
        <f>'תקציב מינהל תפעול 2022'!N67</f>
        <v>2000000</v>
      </c>
      <c r="O67" s="4">
        <f>'תקציב מינהל תפעול 2022'!O67</f>
        <v>0</v>
      </c>
      <c r="P67" s="4">
        <f>'תקציב מינהל תפעול 2022'!P67</f>
        <v>922173</v>
      </c>
      <c r="Q67" s="4">
        <f>'תקציב מינהל תפעול 2022'!Q67</f>
        <v>0</v>
      </c>
      <c r="R67" s="4">
        <f>'תקציב מינהל תפעול 2022'!R67</f>
        <v>0</v>
      </c>
      <c r="S67" s="4">
        <f>'תקציב מינהל תפעול 2022'!S67</f>
        <v>0</v>
      </c>
      <c r="T67" s="4">
        <f>'תקציב מינהל תפעול 2022'!T67</f>
        <v>0</v>
      </c>
      <c r="U67" s="4">
        <f>'תקציב מינהל תפעול 2022'!U67</f>
        <v>2000000</v>
      </c>
      <c r="V67" s="4">
        <f>'תקציב מינהל תפעול 2022'!V67</f>
        <v>0</v>
      </c>
      <c r="W67" s="4">
        <f>'תקציב מינהל תפעול 2022'!W67</f>
        <v>2000000</v>
      </c>
      <c r="X67" s="4">
        <f>'תקציב מינהל תפעול 2022'!X67</f>
        <v>0</v>
      </c>
      <c r="Y67" s="4">
        <f>'תקציב מינהל תפעול 2022'!Y67</f>
        <v>0</v>
      </c>
      <c r="Z67" s="4">
        <f>'תקציב מינהל תפעול 2022'!Z67</f>
        <v>0</v>
      </c>
      <c r="AA67" s="4">
        <f>'תקציב מינהל תפעול 2022'!AA67</f>
        <v>0</v>
      </c>
      <c r="AB67" s="255" t="str">
        <f>'תקציב מינהל תפעול 2022'!AB67</f>
        <v>החלפת רכבים קיימים ורכישת תוספת רכבים עפ"י רשימה שתאושר ע"י הנהלת העיר.</v>
      </c>
      <c r="AC67" s="3">
        <v>930000</v>
      </c>
    </row>
    <row r="68" spans="1:46" ht="30" customHeight="1">
      <c r="A68" s="3">
        <f t="shared" si="0"/>
        <v>64</v>
      </c>
      <c r="B68" s="3">
        <f>'תקציב מינהל תפעול 2022'!B68</f>
        <v>2136</v>
      </c>
      <c r="C68" s="255" t="str">
        <f>'תקציב מינהל תפעול 2022'!C68</f>
        <v>שילוט חופים 2019</v>
      </c>
      <c r="D68" s="4">
        <f>'תקציב מינהל תפעול 2022'!D68</f>
        <v>55226</v>
      </c>
      <c r="E68" s="4">
        <f>'תקציב מינהל תפעול 2022'!E68</f>
        <v>55226</v>
      </c>
      <c r="F68" s="4">
        <f>'תקציב מינהל תפעול 2022'!F68</f>
        <v>0</v>
      </c>
      <c r="G68" s="4">
        <f>'תקציב מינהל תפעול 2022'!G68</f>
        <v>55226</v>
      </c>
      <c r="H68" s="4">
        <f>'תקציב מינהל תפעול 2022'!H68</f>
        <v>55226</v>
      </c>
      <c r="I68" s="4">
        <f>'תקציב מינהל תפעול 2022'!I68</f>
        <v>0</v>
      </c>
      <c r="J68" s="4">
        <f>'תקציב מינהל תפעול 2022'!J68</f>
        <v>0</v>
      </c>
      <c r="K68" s="4">
        <f>'תקציב מינהל תפעול 2022'!K68</f>
        <v>0</v>
      </c>
      <c r="L68" s="4">
        <f>'תקציב מינהל תפעול 2022'!L68</f>
        <v>55226</v>
      </c>
      <c r="M68" s="4">
        <f>'תקציב מינהל תפעול 2022'!M68</f>
        <v>0</v>
      </c>
      <c r="N68" s="4">
        <f>'תקציב מינהל תפעול 2022'!N68</f>
        <v>0</v>
      </c>
      <c r="O68" s="4">
        <f>'תקציב מינהל תפעול 2022'!O68</f>
        <v>0</v>
      </c>
      <c r="P68" s="4">
        <f>'תקציב מינהל תפעול 2022'!P68</f>
        <v>0</v>
      </c>
      <c r="Q68" s="4">
        <f>'תקציב מינהל תפעול 2022'!Q68</f>
        <v>0</v>
      </c>
      <c r="R68" s="4">
        <f>'תקציב מינהל תפעול 2022'!R68</f>
        <v>0</v>
      </c>
      <c r="S68" s="4">
        <f>'תקציב מינהל תפעול 2022'!S68</f>
        <v>0</v>
      </c>
      <c r="T68" s="4">
        <f>'תקציב מינהל תפעול 2022'!T68</f>
        <v>0</v>
      </c>
      <c r="U68" s="4">
        <f>'תקציב מינהל תפעול 2022'!U68</f>
        <v>0</v>
      </c>
      <c r="V68" s="4">
        <f>'תקציב מינהל תפעול 2022'!V68</f>
        <v>0</v>
      </c>
      <c r="W68" s="4">
        <f>'תקציב מינהל תפעול 2022'!W68</f>
        <v>0</v>
      </c>
      <c r="X68" s="4">
        <f>'תקציב מינהל תפעול 2022'!X68</f>
        <v>0</v>
      </c>
      <c r="Y68" s="4">
        <f>'תקציב מינהל תפעול 2022'!Y68</f>
        <v>0</v>
      </c>
      <c r="Z68" s="4">
        <f>'תקציב מינהל תפעול 2022'!Z68</f>
        <v>0</v>
      </c>
      <c r="AA68" s="4">
        <f>'תקציב מינהל תפעול 2022'!AA68</f>
        <v>0</v>
      </c>
      <c r="AB68" s="255" t="str">
        <f>'תקציב מינהל תפעול 2022'!AB68</f>
        <v xml:space="preserve">רכישת אופנוע ים כולל זיווד. מימון מ. הפנים. </v>
      </c>
      <c r="AC68" s="3">
        <v>747000</v>
      </c>
    </row>
    <row r="69" spans="1:46" ht="30" customHeight="1">
      <c r="A69" s="3">
        <f t="shared" si="0"/>
        <v>65</v>
      </c>
      <c r="B69" s="3">
        <f>'תקציב מינהל תפעול 2022'!B69</f>
        <v>2137</v>
      </c>
      <c r="C69" s="255" t="str">
        <f>'תקציב מינהל תפעול 2022'!C69</f>
        <v>ציוד הצלה ובטיחות 2019</v>
      </c>
      <c r="D69" s="4">
        <f>'תקציב מינהל תפעול 2022'!D69</f>
        <v>50000</v>
      </c>
      <c r="E69" s="4">
        <f>'תקציב מינהל תפעול 2022'!E69</f>
        <v>50000</v>
      </c>
      <c r="F69" s="4">
        <f>'תקציב מינהל תפעול 2022'!F69</f>
        <v>0</v>
      </c>
      <c r="G69" s="4">
        <f>'תקציב מינהל תפעול 2022'!G69</f>
        <v>50000</v>
      </c>
      <c r="H69" s="4">
        <f>'תקציב מינהל תפעול 2022'!H69</f>
        <v>5664</v>
      </c>
      <c r="I69" s="4">
        <f>'תקציב מינהל תפעול 2022'!I69</f>
        <v>0</v>
      </c>
      <c r="J69" s="4">
        <f>'תקציב מינהל תפעול 2022'!J69</f>
        <v>34515</v>
      </c>
      <c r="K69" s="4">
        <f>'תקציב מינהל תפעול 2022'!K69</f>
        <v>34515</v>
      </c>
      <c r="L69" s="4">
        <f>'תקציב מינהל תפעול 2022'!L69</f>
        <v>40179</v>
      </c>
      <c r="M69" s="4">
        <f>'תקציב מינהל תפעול 2022'!M69</f>
        <v>9821</v>
      </c>
      <c r="N69" s="4">
        <f>'תקציב מינהל תפעול 2022'!N69</f>
        <v>0</v>
      </c>
      <c r="O69" s="4">
        <f>'תקציב מינהל תפעול 2022'!O69</f>
        <v>0</v>
      </c>
      <c r="P69" s="4">
        <f>'תקציב מינהל תפעול 2022'!P69</f>
        <v>9821</v>
      </c>
      <c r="Q69" s="4">
        <f>'תקציב מינהל תפעול 2022'!Q69</f>
        <v>0</v>
      </c>
      <c r="R69" s="4">
        <f>'תקציב מינהל תפעול 2022'!R69</f>
        <v>0</v>
      </c>
      <c r="S69" s="4">
        <f>'תקציב מינהל תפעול 2022'!S69</f>
        <v>0</v>
      </c>
      <c r="T69" s="4">
        <f>'תקציב מינהל תפעול 2022'!T69</f>
        <v>0</v>
      </c>
      <c r="U69" s="4">
        <f>'תקציב מינהל תפעול 2022'!U69</f>
        <v>0</v>
      </c>
      <c r="V69" s="4">
        <f>'תקציב מינהל תפעול 2022'!V69</f>
        <v>0</v>
      </c>
      <c r="W69" s="4">
        <f>'תקציב מינהל תפעול 2022'!W69</f>
        <v>0</v>
      </c>
      <c r="X69" s="4">
        <f>'תקציב מינהל תפעול 2022'!X69</f>
        <v>0</v>
      </c>
      <c r="Y69" s="4">
        <f>'תקציב מינהל תפעול 2022'!Y69</f>
        <v>0</v>
      </c>
      <c r="Z69" s="4">
        <f>'תקציב מינהל תפעול 2022'!Z69</f>
        <v>0</v>
      </c>
      <c r="AA69" s="4">
        <f>'תקציב מינהל תפעול 2022'!AA69</f>
        <v>0</v>
      </c>
      <c r="AB69" s="255" t="str">
        <f>'תקציב מינהל תפעול 2022'!AB69</f>
        <v xml:space="preserve">החלפה והוספת ציוד הצלה ובטיחות. מימון מ. הפנים. </v>
      </c>
      <c r="AC69" s="3">
        <v>747000</v>
      </c>
    </row>
    <row r="70" spans="1:46" ht="30" customHeight="1">
      <c r="A70" s="3">
        <f t="shared" ref="A70:A126" si="1">A69+1</f>
        <v>66</v>
      </c>
      <c r="B70" s="3">
        <f>'תקציב מינהל תפעול 2022'!B70</f>
        <v>2138</v>
      </c>
      <c r="C70" s="255" t="str">
        <f>'תקציב מינהל תפעול 2022'!C70</f>
        <v>אופנוע ים 2019</v>
      </c>
      <c r="D70" s="4">
        <f>'תקציב מינהל תפעול 2022'!D70</f>
        <v>80000</v>
      </c>
      <c r="E70" s="4">
        <f>'תקציב מינהל תפעול 2022'!E70</f>
        <v>80000</v>
      </c>
      <c r="F70" s="4">
        <f>'תקציב מינהל תפעול 2022'!F70</f>
        <v>0</v>
      </c>
      <c r="G70" s="4">
        <f>'תקציב מינהל תפעול 2022'!G70</f>
        <v>80000</v>
      </c>
      <c r="H70" s="4">
        <f>'תקציב מינהל תפעול 2022'!H70</f>
        <v>0</v>
      </c>
      <c r="I70" s="4">
        <f>'תקציב מינהל תפעול 2022'!I70</f>
        <v>0</v>
      </c>
      <c r="J70" s="4">
        <f>'תקציב מינהל תפעול 2022'!J70</f>
        <v>79750</v>
      </c>
      <c r="K70" s="4">
        <f>'תקציב מינהל תפעול 2022'!K70</f>
        <v>79750</v>
      </c>
      <c r="L70" s="4">
        <f>'תקציב מינהל תפעול 2022'!L70</f>
        <v>79750</v>
      </c>
      <c r="M70" s="4">
        <f>'תקציב מינהל תפעול 2022'!M70</f>
        <v>250</v>
      </c>
      <c r="N70" s="4">
        <f>'תקציב מינהל תפעול 2022'!N70</f>
        <v>0</v>
      </c>
      <c r="O70" s="4">
        <f>'תקציב מינהל תפעול 2022'!O70</f>
        <v>0</v>
      </c>
      <c r="P70" s="4">
        <f>'תקציב מינהל תפעול 2022'!P70</f>
        <v>250</v>
      </c>
      <c r="Q70" s="4">
        <f>'תקציב מינהל תפעול 2022'!Q70</f>
        <v>0</v>
      </c>
      <c r="R70" s="4">
        <f>'תקציב מינהל תפעול 2022'!R70</f>
        <v>0</v>
      </c>
      <c r="S70" s="4">
        <f>'תקציב מינהל תפעול 2022'!S70</f>
        <v>0</v>
      </c>
      <c r="T70" s="4">
        <f>'תקציב מינהל תפעול 2022'!T70</f>
        <v>0</v>
      </c>
      <c r="U70" s="4">
        <f>'תקציב מינהל תפעול 2022'!U70</f>
        <v>0</v>
      </c>
      <c r="V70" s="4">
        <f>'תקציב מינהל תפעול 2022'!V70</f>
        <v>0</v>
      </c>
      <c r="W70" s="4">
        <f>'תקציב מינהל תפעול 2022'!W70</f>
        <v>0</v>
      </c>
      <c r="X70" s="4">
        <f>'תקציב מינהל תפעול 2022'!X70</f>
        <v>0</v>
      </c>
      <c r="Y70" s="4">
        <f>'תקציב מינהל תפעול 2022'!Y70</f>
        <v>0</v>
      </c>
      <c r="Z70" s="4">
        <f>'תקציב מינהל תפעול 2022'!Z70</f>
        <v>0</v>
      </c>
      <c r="AA70" s="4">
        <f>'תקציב מינהל תפעול 2022'!AA70</f>
        <v>0</v>
      </c>
      <c r="AB70" s="255" t="str">
        <f>'תקציב מינהל תפעול 2022'!AB70</f>
        <v xml:space="preserve">החלפה והוספת ציוד הצלה ובטיחות. מימון מ. הפנים. </v>
      </c>
      <c r="AC70" s="3">
        <v>747000</v>
      </c>
    </row>
    <row r="71" spans="1:46" ht="30" customHeight="1">
      <c r="A71" s="3">
        <f t="shared" si="1"/>
        <v>67</v>
      </c>
      <c r="B71" s="3">
        <f>'תקציב מינהל תפעול 2022'!B71</f>
        <v>2140</v>
      </c>
      <c r="C71" s="255" t="str">
        <f>'תקציב מינהל תפעול 2022'!C71</f>
        <v>נגישות אקוסטית 2019 מ. החינוך</v>
      </c>
      <c r="D71" s="4">
        <f>'תקציב מינהל תפעול 2022'!D71</f>
        <v>360000</v>
      </c>
      <c r="E71" s="4">
        <f>'תקציב מינהל תפעול 2022'!E71</f>
        <v>360000</v>
      </c>
      <c r="F71" s="4">
        <f>'תקציב מינהל תפעול 2022'!F71</f>
        <v>0</v>
      </c>
      <c r="G71" s="4">
        <f>'תקציב מינהל תפעול 2022'!G71</f>
        <v>360000</v>
      </c>
      <c r="H71" s="4">
        <f>'תקציב מינהל תפעול 2022'!H71</f>
        <v>283122</v>
      </c>
      <c r="I71" s="4">
        <f>'תקציב מינהל תפעול 2022'!I71</f>
        <v>0</v>
      </c>
      <c r="J71" s="4">
        <f>'תקציב מינהל תפעול 2022'!J71</f>
        <v>0</v>
      </c>
      <c r="K71" s="4">
        <f>'תקציב מינהל תפעול 2022'!K71</f>
        <v>0</v>
      </c>
      <c r="L71" s="4">
        <f>'תקציב מינהל תפעול 2022'!L71</f>
        <v>283122</v>
      </c>
      <c r="M71" s="4">
        <f>'תקציב מינהל תפעול 2022'!M71</f>
        <v>76878</v>
      </c>
      <c r="N71" s="4">
        <f>'תקציב מינהל תפעול 2022'!N71</f>
        <v>0</v>
      </c>
      <c r="O71" s="4">
        <f>'תקציב מינהל תפעול 2022'!O71</f>
        <v>0</v>
      </c>
      <c r="P71" s="4">
        <f>'תקציב מינהל תפעול 2022'!P71</f>
        <v>76878</v>
      </c>
      <c r="Q71" s="4">
        <f>'תקציב מינהל תפעול 2022'!Q71</f>
        <v>0</v>
      </c>
      <c r="R71" s="4">
        <f>'תקציב מינהל תפעול 2022'!R71</f>
        <v>0</v>
      </c>
      <c r="S71" s="4">
        <f>'תקציב מינהל תפעול 2022'!S71</f>
        <v>0</v>
      </c>
      <c r="T71" s="4">
        <f>'תקציב מינהל תפעול 2022'!T71</f>
        <v>0</v>
      </c>
      <c r="U71" s="4">
        <f>'תקציב מינהל תפעול 2022'!U71</f>
        <v>0</v>
      </c>
      <c r="V71" s="4">
        <f>'תקציב מינהל תפעול 2022'!V71</f>
        <v>0</v>
      </c>
      <c r="W71" s="4">
        <f>'תקציב מינהל תפעול 2022'!W71</f>
        <v>0</v>
      </c>
      <c r="X71" s="4">
        <f>'תקציב מינהל תפעול 2022'!X71</f>
        <v>0</v>
      </c>
      <c r="Y71" s="4">
        <f>'תקציב מינהל תפעול 2022'!Y71</f>
        <v>0</v>
      </c>
      <c r="Z71" s="4">
        <f>'תקציב מינהל תפעול 2022'!Z71</f>
        <v>0</v>
      </c>
      <c r="AA71" s="4">
        <f>'תקציב מינהל תפעול 2022'!AA71</f>
        <v>0</v>
      </c>
      <c r="AB71" s="255" t="str">
        <f>'תקציב מינהל תפעול 2022'!AB71</f>
        <v xml:space="preserve">מימון מ. החינוך. </v>
      </c>
      <c r="AC71" s="3">
        <v>810000</v>
      </c>
    </row>
    <row r="72" spans="1:46" ht="60">
      <c r="A72" s="3">
        <f t="shared" si="1"/>
        <v>68</v>
      </c>
      <c r="B72" s="3">
        <f>'תקציב מינהל תפעול 2022'!B72</f>
        <v>2154</v>
      </c>
      <c r="C72" s="255" t="str">
        <f>'תקציב מינהל תפעול 2022'!C72</f>
        <v>חסכון, התיעלות אנרגטית מוסח/ציבור 2020</v>
      </c>
      <c r="D72" s="4">
        <f>'תקציב מינהל תפעול 2022'!D72</f>
        <v>10500000</v>
      </c>
      <c r="E72" s="4">
        <f>'תקציב מינהל תפעול 2022'!E72</f>
        <v>10500000</v>
      </c>
      <c r="F72" s="4">
        <f>'תקציב מינהל תפעול 2022'!F72</f>
        <v>0</v>
      </c>
      <c r="G72" s="4">
        <f>'תקציב מינהל תפעול 2022'!G72</f>
        <v>750000</v>
      </c>
      <c r="H72" s="4">
        <f>'תקציב מינהל תפעול 2022'!H72</f>
        <v>65899</v>
      </c>
      <c r="I72" s="4">
        <f>'תקציב מינהל תפעול 2022'!I72</f>
        <v>0</v>
      </c>
      <c r="J72" s="4">
        <f>'תקציב מינהל תפעול 2022'!J72</f>
        <v>129959</v>
      </c>
      <c r="K72" s="4">
        <f>'תקציב מינהל תפעול 2022'!K72</f>
        <v>129959</v>
      </c>
      <c r="L72" s="4">
        <f>'תקציב מינהל תפעול 2022'!L72</f>
        <v>195858</v>
      </c>
      <c r="M72" s="4">
        <f>'תקציב מינהל תפעול 2022'!M72</f>
        <v>2304142</v>
      </c>
      <c r="N72" s="4">
        <f>'תקציב מינהל תפעול 2022'!N72</f>
        <v>0</v>
      </c>
      <c r="O72" s="4">
        <f>'תקציב מינהל תפעול 2022'!O72</f>
        <v>8000000</v>
      </c>
      <c r="P72" s="4">
        <f>'תקציב מינהל תפעול 2022'!P72</f>
        <v>554142</v>
      </c>
      <c r="Q72" s="4">
        <f>'תקציב מינהל תפעול 2022'!Q72</f>
        <v>1750000</v>
      </c>
      <c r="R72" s="4">
        <f>'תקציב מינהל תפעול 2022'!R72</f>
        <v>0</v>
      </c>
      <c r="S72" s="4">
        <f>'תקציב מינהל תפעול 2022'!S72</f>
        <v>1750000</v>
      </c>
      <c r="T72" s="4">
        <f>'תקציב מינהל תפעול 2022'!T72</f>
        <v>0</v>
      </c>
      <c r="U72" s="4">
        <f>'תקציב מינהל תפעול 2022'!U72</f>
        <v>0</v>
      </c>
      <c r="V72" s="4">
        <f>'תקציב מינהל תפעול 2022'!V72</f>
        <v>0</v>
      </c>
      <c r="W72" s="4">
        <f>'תקציב מינהל תפעול 2022'!W72</f>
        <v>0</v>
      </c>
      <c r="X72" s="4">
        <f>'תקציב מינהל תפעול 2022'!X72</f>
        <v>0</v>
      </c>
      <c r="Y72" s="4">
        <f>'תקציב מינהל תפעול 2022'!Y72</f>
        <v>0</v>
      </c>
      <c r="Z72" s="4">
        <f>'תקציב מינהל תפעול 2022'!Z72</f>
        <v>0</v>
      </c>
      <c r="AA72" s="4">
        <f>'תקציב מינהל תפעול 2022'!AA72</f>
        <v>0</v>
      </c>
      <c r="AB72" s="255" t="str">
        <f>'תקציב מינהל תפעול 2022'!AB72</f>
        <v>החלפת מזגנים , החלפת תאורה ללדים  ובקרת מבנים במוס"ח ובמוסדות עירוניים. מימון מ. הכלכלה והתעשיה.</v>
      </c>
      <c r="AC72" s="3">
        <v>870000</v>
      </c>
    </row>
    <row r="73" spans="1:46" ht="30" customHeight="1">
      <c r="A73" s="3">
        <f t="shared" si="1"/>
        <v>69</v>
      </c>
      <c r="B73" s="3">
        <f>'תקציב מינהל תפעול 2022'!B73</f>
        <v>2155</v>
      </c>
      <c r="C73" s="255" t="str">
        <f>'תקציב מינהל תפעול 2022'!C73</f>
        <v>גידור מרחב האירועים בפארק</v>
      </c>
      <c r="D73" s="4">
        <f>'תקציב מינהל תפעול 2022'!D73</f>
        <v>700000</v>
      </c>
      <c r="E73" s="4">
        <f>'תקציב מינהל תפעול 2022'!E73</f>
        <v>700000</v>
      </c>
      <c r="F73" s="4">
        <f>'תקציב מינהל תפעול 2022'!F73</f>
        <v>0</v>
      </c>
      <c r="G73" s="4">
        <f>'תקציב מינהל תפעול 2022'!G73</f>
        <v>0</v>
      </c>
      <c r="H73" s="4">
        <f>'תקציב מינהל תפעול 2022'!H73</f>
        <v>0</v>
      </c>
      <c r="I73" s="4">
        <f>'תקציב מינהל תפעול 2022'!I73</f>
        <v>0</v>
      </c>
      <c r="J73" s="4">
        <f>'תקציב מינהל תפעול 2022'!J73</f>
        <v>0</v>
      </c>
      <c r="K73" s="4">
        <f>'תקציב מינהל תפעול 2022'!K73</f>
        <v>0</v>
      </c>
      <c r="L73" s="4">
        <f>'תקציב מינהל תפעול 2022'!L73</f>
        <v>0</v>
      </c>
      <c r="M73" s="4">
        <f>'תקציב מינהל תפעול 2022'!M73</f>
        <v>0</v>
      </c>
      <c r="N73" s="4">
        <f>'תקציב מינהל תפעול 2022'!N73</f>
        <v>0</v>
      </c>
      <c r="O73" s="4">
        <f>'תקציב מינהל תפעול 2022'!O73</f>
        <v>700000</v>
      </c>
      <c r="P73" s="4">
        <f>'תקציב מינהל תפעול 2022'!P73</f>
        <v>0</v>
      </c>
      <c r="Q73" s="4">
        <f>'תקציב מינהל תפעול 2022'!Q73</f>
        <v>0</v>
      </c>
      <c r="R73" s="4">
        <f>'תקציב מינהל תפעול 2022'!R73</f>
        <v>0</v>
      </c>
      <c r="S73" s="4">
        <f>'תקציב מינהל תפעול 2022'!S73</f>
        <v>0</v>
      </c>
      <c r="T73" s="4">
        <f>'תקציב מינהל תפעול 2022'!T73</f>
        <v>0</v>
      </c>
      <c r="U73" s="4">
        <f>'תקציב מינהל תפעול 2022'!U73</f>
        <v>0</v>
      </c>
      <c r="V73" s="4">
        <f>'תקציב מינהל תפעול 2022'!V73</f>
        <v>0</v>
      </c>
      <c r="W73" s="4">
        <f>'תקציב מינהל תפעול 2022'!W73</f>
        <v>0</v>
      </c>
      <c r="X73" s="4">
        <f>'תקציב מינהל תפעול 2022'!X73</f>
        <v>0</v>
      </c>
      <c r="Y73" s="4">
        <f>'תקציב מינהל תפעול 2022'!Y73</f>
        <v>0</v>
      </c>
      <c r="Z73" s="4">
        <f>'תקציב מינהל תפעול 2022'!Z73</f>
        <v>0</v>
      </c>
      <c r="AA73" s="4">
        <f>'תקציב מינהל תפעול 2022'!AA73</f>
        <v>0</v>
      </c>
      <c r="AB73" s="255" t="str">
        <f>'תקציב מינהל תפעול 2022'!AB73</f>
        <v>עבודות גידור קבוע, תאורה תשתיות ושערים במרחב האירועים בפארק.</v>
      </c>
      <c r="AC73" s="3">
        <v>746000</v>
      </c>
    </row>
    <row r="74" spans="1:46" s="418" customFormat="1" ht="60">
      <c r="A74" s="3">
        <f t="shared" si="1"/>
        <v>70</v>
      </c>
      <c r="B74" s="3">
        <f>'תקציב מינהל תפעול 2022'!B74</f>
        <v>2156</v>
      </c>
      <c r="C74" s="255" t="str">
        <f>'תקציב מינהל תפעול 2022'!C74</f>
        <v>הקמת יחידת חילוץ הצטיידות</v>
      </c>
      <c r="D74" s="4">
        <f>'תקציב מינהל תפעול 2022'!D74</f>
        <v>1600000</v>
      </c>
      <c r="E74" s="4">
        <f>'תקציב מינהל תפעול 2022'!E74</f>
        <v>1600000</v>
      </c>
      <c r="F74" s="4">
        <f>'תקציב מינהל תפעול 2022'!F74</f>
        <v>0</v>
      </c>
      <c r="G74" s="4">
        <f>'תקציב מינהל תפעול 2022'!G74</f>
        <v>400000</v>
      </c>
      <c r="H74" s="4">
        <f>'תקציב מינהל תפעול 2022'!H74</f>
        <v>23556</v>
      </c>
      <c r="I74" s="4">
        <f>'תקציב מינהל תפעול 2022'!I74</f>
        <v>0</v>
      </c>
      <c r="J74" s="4">
        <f>'תקציב מינהל תפעול 2022'!J74</f>
        <v>5976</v>
      </c>
      <c r="K74" s="4">
        <f>'תקציב מינהל תפעול 2022'!K74</f>
        <v>5976</v>
      </c>
      <c r="L74" s="4">
        <f>'תקציב מינהל תפעול 2022'!L74</f>
        <v>29532</v>
      </c>
      <c r="M74" s="4">
        <f>'תקציב מינהל תפעול 2022'!M74</f>
        <v>370468</v>
      </c>
      <c r="N74" s="4">
        <f>'תקציב מינהל תפעול 2022'!N74</f>
        <v>500000</v>
      </c>
      <c r="O74" s="4">
        <f>'תקציב מינהל תפעול 2022'!O74</f>
        <v>700000</v>
      </c>
      <c r="P74" s="4">
        <f>'תקציב מינהל תפעול 2022'!P74</f>
        <v>370468</v>
      </c>
      <c r="Q74" s="4">
        <f>'תקציב מינהל תפעול 2022'!Q74</f>
        <v>0</v>
      </c>
      <c r="R74" s="4">
        <f>'תקציב מינהל תפעול 2022'!R74</f>
        <v>0</v>
      </c>
      <c r="S74" s="4">
        <f>'תקציב מינהל תפעול 2022'!S74</f>
        <v>0</v>
      </c>
      <c r="T74" s="4">
        <f>'תקציב מינהל תפעול 2022'!T74</f>
        <v>0</v>
      </c>
      <c r="U74" s="4">
        <f>'תקציב מינהל תפעול 2022'!U74</f>
        <v>500000</v>
      </c>
      <c r="V74" s="4">
        <f>'תקציב מינהל תפעול 2022'!V74</f>
        <v>0</v>
      </c>
      <c r="W74" s="4">
        <f>'תקציב מינהל תפעול 2022'!W74</f>
        <v>500000</v>
      </c>
      <c r="X74" s="4">
        <f>'תקציב מינהל תפעול 2022'!X74</f>
        <v>0</v>
      </c>
      <c r="Y74" s="4">
        <f>'תקציב מינהל תפעול 2022'!Y74</f>
        <v>0</v>
      </c>
      <c r="Z74" s="4">
        <f>'תקציב מינהל תפעול 2022'!Z74</f>
        <v>0</v>
      </c>
      <c r="AA74" s="4">
        <f>'תקציב מינהל תפעול 2022'!AA74</f>
        <v>0</v>
      </c>
      <c r="AB74" s="255" t="str">
        <f>'תקציב מינהל תפעול 2022'!AB74</f>
        <v>הצטיידות חד פעמית בהקמת  יחידת חילוץ מתנדבים שעברו הכשרה בפיקוד העורף לתפקוד במצבי חרום .</v>
      </c>
      <c r="AC74" s="3">
        <v>720000</v>
      </c>
      <c r="AD74" s="462"/>
      <c r="AE74" s="462"/>
      <c r="AF74" s="462"/>
      <c r="AG74" s="462"/>
      <c r="AH74" s="462"/>
      <c r="AI74" s="462"/>
      <c r="AJ74" s="462"/>
      <c r="AK74" s="462"/>
      <c r="AL74" s="462"/>
      <c r="AM74" s="462"/>
      <c r="AN74" s="462"/>
      <c r="AO74" s="462"/>
      <c r="AP74" s="462"/>
      <c r="AQ74" s="462"/>
      <c r="AR74" s="462"/>
      <c r="AS74" s="462"/>
      <c r="AT74" s="462"/>
    </row>
    <row r="75" spans="1:46" ht="45">
      <c r="A75" s="3">
        <f t="shared" si="1"/>
        <v>71</v>
      </c>
      <c r="B75" s="3">
        <f>'תקציב מינהל תפעול 2022'!B75</f>
        <v>2157</v>
      </c>
      <c r="C75" s="255" t="str">
        <f>'תקציב מינהל תפעול 2022'!C75</f>
        <v>התקנת חיבורים חיצוניים לגנרטורים מוסח/ציבור</v>
      </c>
      <c r="D75" s="4">
        <f>'תקציב מינהל תפעול 2022'!D75</f>
        <v>5200000</v>
      </c>
      <c r="E75" s="4">
        <f>'תקציב מינהל תפעול 2022'!E75</f>
        <v>5200000</v>
      </c>
      <c r="F75" s="4">
        <f>'תקציב מינהל תפעול 2022'!F75</f>
        <v>0</v>
      </c>
      <c r="G75" s="4">
        <f>'תקציב מינהל תפעול 2022'!G75</f>
        <v>150000</v>
      </c>
      <c r="H75" s="4">
        <f>'תקציב מינהל תפעול 2022'!H75</f>
        <v>0</v>
      </c>
      <c r="I75" s="4">
        <f>'תקציב מינהל תפעול 2022'!I75</f>
        <v>0</v>
      </c>
      <c r="J75" s="4">
        <f>'תקציב מינהל תפעול 2022'!J75</f>
        <v>0</v>
      </c>
      <c r="K75" s="4">
        <f>'תקציב מינהל תפעול 2022'!K75</f>
        <v>0</v>
      </c>
      <c r="L75" s="4">
        <f>'תקציב מינהל תפעול 2022'!L75</f>
        <v>0</v>
      </c>
      <c r="M75" s="4">
        <f>'תקציב מינהל תפעול 2022'!M75</f>
        <v>150000</v>
      </c>
      <c r="N75" s="4">
        <f>'תקציב מינהל תפעול 2022'!N75</f>
        <v>500000</v>
      </c>
      <c r="O75" s="4">
        <f>'תקציב מינהל תפעול 2022'!O75</f>
        <v>4550000</v>
      </c>
      <c r="P75" s="4">
        <f>'תקציב מינהל תפעול 2022'!P75</f>
        <v>150000</v>
      </c>
      <c r="Q75" s="4">
        <f>'תקציב מינהל תפעול 2022'!Q75</f>
        <v>0</v>
      </c>
      <c r="R75" s="4">
        <f>'תקציב מינהל תפעול 2022'!R75</f>
        <v>0</v>
      </c>
      <c r="S75" s="4">
        <f>'תקציב מינהל תפעול 2022'!S75</f>
        <v>0</v>
      </c>
      <c r="T75" s="4">
        <f>'תקציב מינהל תפעול 2022'!T75</f>
        <v>0</v>
      </c>
      <c r="U75" s="4">
        <f>'תקציב מינהל תפעול 2022'!U75</f>
        <v>500000</v>
      </c>
      <c r="V75" s="4">
        <f>'תקציב מינהל תפעול 2022'!V75</f>
        <v>0</v>
      </c>
      <c r="W75" s="4">
        <f>'תקציב מינהל תפעול 2022'!W75</f>
        <v>500000</v>
      </c>
      <c r="X75" s="4">
        <f>'תקציב מינהל תפעול 2022'!X75</f>
        <v>0</v>
      </c>
      <c r="Y75" s="4">
        <f>'תקציב מינהל תפעול 2022'!Y75</f>
        <v>0</v>
      </c>
      <c r="Z75" s="4">
        <f>'תקציב מינהל תפעול 2022'!Z75</f>
        <v>0</v>
      </c>
      <c r="AA75" s="4">
        <f>'תקציב מינהל תפעול 2022'!AA75</f>
        <v>0</v>
      </c>
      <c r="AB75" s="255" t="str">
        <f>'תקציב מינהל תפעול 2022'!AB75</f>
        <v>התקנת חיבורים חיצוניים לגנרטורים  במבני חינוך וציבור לשימוש בעת הצורך.</v>
      </c>
      <c r="AC75" s="3">
        <v>810000</v>
      </c>
    </row>
    <row r="76" spans="1:46" ht="30" customHeight="1">
      <c r="A76" s="3">
        <f t="shared" si="1"/>
        <v>72</v>
      </c>
      <c r="B76" s="3">
        <f>'תקציב מינהל תפעול 2022'!B76</f>
        <v>2164</v>
      </c>
      <c r="C76" s="255" t="str">
        <f>'תקציב מינהל תפעול 2022'!C76</f>
        <v>שדרוג מתחם המשקל העירוני</v>
      </c>
      <c r="D76" s="4">
        <f>'תקציב מינהל תפעול 2022'!D76</f>
        <v>300000</v>
      </c>
      <c r="E76" s="4">
        <f>'תקציב מינהל תפעול 2022'!E76</f>
        <v>300000</v>
      </c>
      <c r="F76" s="4">
        <f>'תקציב מינהל תפעול 2022'!F76</f>
        <v>0</v>
      </c>
      <c r="G76" s="4">
        <f>'תקציב מינהל תפעול 2022'!G76</f>
        <v>300000</v>
      </c>
      <c r="H76" s="4">
        <f>'תקציב מינהל תפעול 2022'!H76</f>
        <v>0</v>
      </c>
      <c r="I76" s="4">
        <f>'תקציב מינהל תפעול 2022'!I76</f>
        <v>0</v>
      </c>
      <c r="J76" s="4">
        <f>'תקציב מינהל תפעול 2022'!J76</f>
        <v>0</v>
      </c>
      <c r="K76" s="4">
        <f>'תקציב מינהל תפעול 2022'!K76</f>
        <v>0</v>
      </c>
      <c r="L76" s="4">
        <f>'תקציב מינהל תפעול 2022'!L76</f>
        <v>0</v>
      </c>
      <c r="M76" s="4">
        <f>'תקציב מינהל תפעול 2022'!M76</f>
        <v>300000</v>
      </c>
      <c r="N76" s="4">
        <f>'תקציב מינהל תפעול 2022'!N76</f>
        <v>0</v>
      </c>
      <c r="O76" s="4">
        <f>'תקציב מינהל תפעול 2022'!O76</f>
        <v>0</v>
      </c>
      <c r="P76" s="4">
        <f>'תקציב מינהל תפעול 2022'!P76</f>
        <v>300000</v>
      </c>
      <c r="Q76" s="4">
        <f>'תקציב מינהל תפעול 2022'!Q76</f>
        <v>0</v>
      </c>
      <c r="R76" s="4">
        <f>'תקציב מינהל תפעול 2022'!R76</f>
        <v>0</v>
      </c>
      <c r="S76" s="4">
        <f>'תקציב מינהל תפעול 2022'!S76</f>
        <v>0</v>
      </c>
      <c r="T76" s="4">
        <f>'תקציב מינהל תפעול 2022'!T76</f>
        <v>0</v>
      </c>
      <c r="U76" s="4">
        <f>'תקציב מינהל תפעול 2022'!U76</f>
        <v>0</v>
      </c>
      <c r="V76" s="4">
        <f>'תקציב מינהל תפעול 2022'!V76</f>
        <v>0</v>
      </c>
      <c r="W76" s="4">
        <f>'תקציב מינהל תפעול 2022'!W76</f>
        <v>0</v>
      </c>
      <c r="X76" s="4">
        <f>'תקציב מינהל תפעול 2022'!X76</f>
        <v>0</v>
      </c>
      <c r="Y76" s="4">
        <f>'תקציב מינהל תפעול 2022'!Y76</f>
        <v>0</v>
      </c>
      <c r="Z76" s="4">
        <f>'תקציב מינהל תפעול 2022'!Z76</f>
        <v>0</v>
      </c>
      <c r="AA76" s="4">
        <f>'תקציב מינהל תפעול 2022'!AA76</f>
        <v>0</v>
      </c>
      <c r="AB76" s="255" t="str">
        <f>'תקציב מינהל תפעול 2022'!AB76</f>
        <v>עבודות במתחם המשקל העירוני להסדרת נושא הבטיחות.</v>
      </c>
      <c r="AC76" s="3">
        <v>742000</v>
      </c>
    </row>
    <row r="77" spans="1:46" s="498" customFormat="1" ht="30" customHeight="1">
      <c r="A77" s="3">
        <f t="shared" si="1"/>
        <v>73</v>
      </c>
      <c r="B77" s="3">
        <f>'תקציב מינהל תפעול 2022'!B77</f>
        <v>2165</v>
      </c>
      <c r="C77" s="255" t="str">
        <f>'תקציב מינהל תפעול 2022'!C77</f>
        <v>שדרוג רחוב וינגייט</v>
      </c>
      <c r="D77" s="4">
        <f>'תקציב מינהל תפעול 2022'!D77</f>
        <v>1040000</v>
      </c>
      <c r="E77" s="4">
        <f>'תקציב מינהל תפעול 2022'!E77</f>
        <v>1040000</v>
      </c>
      <c r="F77" s="4">
        <f>'תקציב מינהל תפעול 2022'!F77</f>
        <v>0</v>
      </c>
      <c r="G77" s="4">
        <f>'תקציב מינהל תפעול 2022'!G77</f>
        <v>0</v>
      </c>
      <c r="H77" s="4">
        <f>'תקציב מינהל תפעול 2022'!H77</f>
        <v>0</v>
      </c>
      <c r="I77" s="4">
        <f>'תקציב מינהל תפעול 2022'!I77</f>
        <v>0</v>
      </c>
      <c r="J77" s="4">
        <f>'תקציב מינהל תפעול 2022'!J77</f>
        <v>0</v>
      </c>
      <c r="K77" s="4">
        <f>'תקציב מינהל תפעול 2022'!K77</f>
        <v>0</v>
      </c>
      <c r="L77" s="4">
        <f>'תקציב מינהל תפעול 2022'!L77</f>
        <v>0</v>
      </c>
      <c r="M77" s="4">
        <f>'תקציב מינהל תפעול 2022'!M77</f>
        <v>0</v>
      </c>
      <c r="N77" s="4">
        <f>'תקציב מינהל תפעול 2022'!N77</f>
        <v>0</v>
      </c>
      <c r="O77" s="4">
        <f>'תקציב מינהל תפעול 2022'!O77</f>
        <v>1040000</v>
      </c>
      <c r="P77" s="4">
        <f>'תקציב מינהל תפעול 2022'!P77</f>
        <v>0</v>
      </c>
      <c r="Q77" s="4">
        <f>'תקציב מינהל תפעול 2022'!Q77</f>
        <v>0</v>
      </c>
      <c r="R77" s="4">
        <f>'תקציב מינהל תפעול 2022'!R77</f>
        <v>0</v>
      </c>
      <c r="S77" s="4">
        <f>'תקציב מינהל תפעול 2022'!S77</f>
        <v>0</v>
      </c>
      <c r="T77" s="4">
        <f>'תקציב מינהל תפעול 2022'!T77</f>
        <v>0</v>
      </c>
      <c r="U77" s="4">
        <f>'תקציב מינהל תפעול 2022'!U77</f>
        <v>0</v>
      </c>
      <c r="V77" s="4">
        <f>'תקציב מינהל תפעול 2022'!V77</f>
        <v>0</v>
      </c>
      <c r="W77" s="4">
        <f>'תקציב מינהל תפעול 2022'!W77</f>
        <v>0</v>
      </c>
      <c r="X77" s="4">
        <f>'תקציב מינהל תפעול 2022'!X77</f>
        <v>0</v>
      </c>
      <c r="Y77" s="4">
        <f>'תקציב מינהל תפעול 2022'!Y77</f>
        <v>0</v>
      </c>
      <c r="Z77" s="4">
        <f>'תקציב מינהל תפעול 2022'!Z77</f>
        <v>0</v>
      </c>
      <c r="AA77" s="4">
        <f>'תקציב מינהל תפעול 2022'!AA77</f>
        <v>0</v>
      </c>
      <c r="AB77" s="255" t="str">
        <f>'תקציב מינהל תפעול 2022'!AB77</f>
        <v xml:space="preserve">עבודות שדרוג ושיקום לאורך כל רחוב וינגייט. </v>
      </c>
      <c r="AC77" s="3">
        <v>746000</v>
      </c>
      <c r="AD77" s="462"/>
      <c r="AE77" s="462"/>
      <c r="AF77" s="462"/>
      <c r="AG77" s="462"/>
      <c r="AH77" s="462"/>
      <c r="AI77" s="462"/>
      <c r="AJ77" s="462"/>
      <c r="AK77" s="462"/>
      <c r="AL77" s="462"/>
      <c r="AM77" s="462"/>
      <c r="AN77" s="462"/>
      <c r="AO77" s="462"/>
      <c r="AP77" s="462"/>
      <c r="AQ77" s="462"/>
      <c r="AR77" s="462"/>
      <c r="AS77" s="462"/>
      <c r="AT77" s="462"/>
    </row>
    <row r="78" spans="1:46" ht="60">
      <c r="A78" s="3">
        <f t="shared" si="1"/>
        <v>74</v>
      </c>
      <c r="B78" s="3">
        <f>'תקציב מינהל תפעול 2022'!B78</f>
        <v>2166</v>
      </c>
      <c r="C78" s="255" t="str">
        <f>'תקציב מינהל תפעול 2022'!C78</f>
        <v>שדרוג רחוב בן גוריון</v>
      </c>
      <c r="D78" s="4">
        <f>'תקציב מינהל תפעול 2022'!D78</f>
        <v>500000</v>
      </c>
      <c r="E78" s="4">
        <f>'תקציב מינהל תפעול 2022'!E78</f>
        <v>500000</v>
      </c>
      <c r="F78" s="4">
        <f>'תקציב מינהל תפעול 2022'!F78</f>
        <v>0</v>
      </c>
      <c r="G78" s="4">
        <f>'תקציב מינהל תפעול 2022'!G78</f>
        <v>0</v>
      </c>
      <c r="H78" s="4">
        <f>'תקציב מינהל תפעול 2022'!H78</f>
        <v>0</v>
      </c>
      <c r="I78" s="4">
        <f>'תקציב מינהל תפעול 2022'!I78</f>
        <v>0</v>
      </c>
      <c r="J78" s="4">
        <f>'תקציב מינהל תפעול 2022'!J78</f>
        <v>0</v>
      </c>
      <c r="K78" s="4">
        <f>'תקציב מינהל תפעול 2022'!K78</f>
        <v>0</v>
      </c>
      <c r="L78" s="4">
        <f>'תקציב מינהל תפעול 2022'!L78</f>
        <v>0</v>
      </c>
      <c r="M78" s="4">
        <f>'תקציב מינהל תפעול 2022'!M78</f>
        <v>0</v>
      </c>
      <c r="N78" s="4">
        <f>'תקציב מינהל תפעול 2022'!N78</f>
        <v>500000</v>
      </c>
      <c r="O78" s="4">
        <f>'תקציב מינהל תפעול 2022'!O78</f>
        <v>0</v>
      </c>
      <c r="P78" s="4">
        <f>'תקציב מינהל תפעול 2022'!P78</f>
        <v>0</v>
      </c>
      <c r="Q78" s="4">
        <f>'תקציב מינהל תפעול 2022'!Q78</f>
        <v>0</v>
      </c>
      <c r="R78" s="4">
        <f>'תקציב מינהל תפעול 2022'!R78</f>
        <v>0</v>
      </c>
      <c r="S78" s="4">
        <f>'תקציב מינהל תפעול 2022'!S78</f>
        <v>0</v>
      </c>
      <c r="T78" s="4">
        <f>'תקציב מינהל תפעול 2022'!T78</f>
        <v>0</v>
      </c>
      <c r="U78" s="4">
        <f>'תקציב מינהל תפעול 2022'!U78</f>
        <v>500000</v>
      </c>
      <c r="V78" s="4">
        <f>'תקציב מינהל תפעול 2022'!V78</f>
        <v>0</v>
      </c>
      <c r="W78" s="4">
        <f>'תקציב מינהל תפעול 2022'!W78</f>
        <v>500000</v>
      </c>
      <c r="X78" s="4">
        <f>'תקציב מינהל תפעול 2022'!X78</f>
        <v>0</v>
      </c>
      <c r="Y78" s="4">
        <f>'תקציב מינהל תפעול 2022'!Y78</f>
        <v>0</v>
      </c>
      <c r="Z78" s="4">
        <f>'תקציב מינהל תפעול 2022'!Z78</f>
        <v>0</v>
      </c>
      <c r="AA78" s="4">
        <f>'תקציב מינהל תפעול 2022'!AA78</f>
        <v>0</v>
      </c>
      <c r="AB78" s="255" t="str">
        <f>'תקציב מינהל תפעול 2022'!AB78</f>
        <v>עבודות שדרוג ושיקום שטחי הגינון  לצידי הרחוב במקטעים שטרם שודרגו.  (כניסה מרמת השרון).</v>
      </c>
      <c r="AC78" s="3">
        <v>746000</v>
      </c>
    </row>
    <row r="79" spans="1:46" ht="60">
      <c r="A79" s="3">
        <f t="shared" si="1"/>
        <v>75</v>
      </c>
      <c r="B79" s="3">
        <f>'תקציב מינהל תפעול 2022'!B79</f>
        <v>2167</v>
      </c>
      <c r="C79" s="255" t="str">
        <f>'תקציב מינהל תפעול 2022'!C79</f>
        <v>הקמת סככות המתנה לאוטובוס כולל תשתיות</v>
      </c>
      <c r="D79" s="4">
        <f>'תקציב מינהל תפעול 2022'!D79</f>
        <v>1400000</v>
      </c>
      <c r="E79" s="4">
        <f>'תקציב מינהל תפעול 2022'!E79</f>
        <v>1400000</v>
      </c>
      <c r="F79" s="4">
        <f>'תקציב מינהל תפעול 2022'!F79</f>
        <v>0</v>
      </c>
      <c r="G79" s="4">
        <f>'תקציב מינהל תפעול 2022'!G79</f>
        <v>100000</v>
      </c>
      <c r="H79" s="4">
        <f>'תקציב מינהל תפעול 2022'!H79</f>
        <v>0</v>
      </c>
      <c r="I79" s="4">
        <f>'תקציב מינהל תפעול 2022'!I79</f>
        <v>0</v>
      </c>
      <c r="J79" s="4">
        <f>'תקציב מינהל תפעול 2022'!J79</f>
        <v>0</v>
      </c>
      <c r="K79" s="4">
        <f>'תקציב מינהל תפעול 2022'!K79</f>
        <v>0</v>
      </c>
      <c r="L79" s="4">
        <f>'תקציב מינהל תפעול 2022'!L79</f>
        <v>0</v>
      </c>
      <c r="M79" s="4">
        <f>'תקציב מינהל תפעול 2022'!M79</f>
        <v>100000</v>
      </c>
      <c r="N79" s="4">
        <f>'תקציב מינהל תפעול 2022'!N79</f>
        <v>270000</v>
      </c>
      <c r="O79" s="4">
        <f>'תקציב מינהל תפעול 2022'!O79</f>
        <v>1030000</v>
      </c>
      <c r="P79" s="4">
        <f>'תקציב מינהל תפעול 2022'!P79</f>
        <v>100000</v>
      </c>
      <c r="Q79" s="4">
        <f>'תקציב מינהל תפעול 2022'!Q79</f>
        <v>0</v>
      </c>
      <c r="R79" s="4">
        <f>'תקציב מינהל תפעול 2022'!R79</f>
        <v>0</v>
      </c>
      <c r="S79" s="4">
        <f>'תקציב מינהל תפעול 2022'!S79</f>
        <v>0</v>
      </c>
      <c r="T79" s="4">
        <f>'תקציב מינהל תפעול 2022'!T79</f>
        <v>0</v>
      </c>
      <c r="U79" s="4">
        <f>'תקציב מינהל תפעול 2022'!U79</f>
        <v>270000</v>
      </c>
      <c r="V79" s="4">
        <f>'תקציב מינהל תפעול 2022'!V79</f>
        <v>0</v>
      </c>
      <c r="W79" s="4">
        <f>'תקציב מינהל תפעול 2022'!W79</f>
        <v>270000</v>
      </c>
      <c r="X79" s="4">
        <f>'תקציב מינהל תפעול 2022'!X79</f>
        <v>0</v>
      </c>
      <c r="Y79" s="4">
        <f>'תקציב מינהל תפעול 2022'!Y79</f>
        <v>0</v>
      </c>
      <c r="Z79" s="4">
        <f>'תקציב מינהל תפעול 2022'!Z79</f>
        <v>0</v>
      </c>
      <c r="AA79" s="4">
        <f>'תקציב מינהל תפעול 2022'!AA79</f>
        <v>0</v>
      </c>
      <c r="AB79" s="255" t="str">
        <f>'תקציב מינהל תפעול 2022'!AB79</f>
        <v>התקנת תאורה בתחנות אוטובוס ברחבי העיר שהקים מ.התחבורה  וביצוע תשתיות לתחנות אוטובוס שיוצבו ע"י מ. התחבורה ב - 2022.</v>
      </c>
      <c r="AC79" s="3">
        <v>742000</v>
      </c>
    </row>
    <row r="80" spans="1:46" ht="105">
      <c r="A80" s="3">
        <f t="shared" si="1"/>
        <v>76</v>
      </c>
      <c r="B80" s="3">
        <f>'תקציב מינהל תפעול 2022'!B80</f>
        <v>2168</v>
      </c>
      <c r="C80" s="255" t="str">
        <f>'תקציב מינהל תפעול 2022'!C80</f>
        <v>קידום ושימור הטבע העירוני בעיר</v>
      </c>
      <c r="D80" s="4">
        <f>'תקציב מינהל תפעול 2022'!D80</f>
        <v>100000</v>
      </c>
      <c r="E80" s="4">
        <f>'תקציב מינהל תפעול 2022'!E80</f>
        <v>240000</v>
      </c>
      <c r="F80" s="4">
        <f>'תקציב מינהל תפעול 2022'!F80</f>
        <v>-140000</v>
      </c>
      <c r="G80" s="4">
        <f>'תקציב מינהל תפעול 2022'!G80</f>
        <v>100000</v>
      </c>
      <c r="H80" s="4">
        <f>'תקציב מינהל תפעול 2022'!H80</f>
        <v>0</v>
      </c>
      <c r="I80" s="4">
        <f>'תקציב מינהל תפעול 2022'!I80</f>
        <v>0</v>
      </c>
      <c r="J80" s="4">
        <f>'תקציב מינהל תפעול 2022'!J80</f>
        <v>0</v>
      </c>
      <c r="K80" s="4">
        <f>'תקציב מינהל תפעול 2022'!K80</f>
        <v>0</v>
      </c>
      <c r="L80" s="4">
        <f>'תקציב מינהל תפעול 2022'!L80</f>
        <v>0</v>
      </c>
      <c r="M80" s="4">
        <f>'תקציב מינהל תפעול 2022'!M80</f>
        <v>100000</v>
      </c>
      <c r="N80" s="4">
        <f>'תקציב מינהל תפעול 2022'!N80</f>
        <v>0</v>
      </c>
      <c r="O80" s="4">
        <f>'תקציב מינהל תפעול 2022'!O80</f>
        <v>0</v>
      </c>
      <c r="P80" s="4">
        <f>'תקציב מינהל תפעול 2022'!P80</f>
        <v>100000</v>
      </c>
      <c r="Q80" s="4">
        <f>'תקציב מינהל תפעול 2022'!Q80</f>
        <v>0</v>
      </c>
      <c r="R80" s="4">
        <f>'תקציב מינהל תפעול 2022'!R80</f>
        <v>0</v>
      </c>
      <c r="S80" s="4">
        <f>'תקציב מינהל תפעול 2022'!S80</f>
        <v>0</v>
      </c>
      <c r="T80" s="4">
        <f>'תקציב מינהל תפעול 2022'!T80</f>
        <v>0</v>
      </c>
      <c r="U80" s="4">
        <f>'תקציב מינהל תפעול 2022'!U80</f>
        <v>0</v>
      </c>
      <c r="V80" s="4">
        <f>'תקציב מינהל תפעול 2022'!V80</f>
        <v>0</v>
      </c>
      <c r="W80" s="4">
        <f>'תקציב מינהל תפעול 2022'!W80</f>
        <v>0</v>
      </c>
      <c r="X80" s="4">
        <f>'תקציב מינהל תפעול 2022'!X80</f>
        <v>0</v>
      </c>
      <c r="Y80" s="4">
        <f>'תקציב מינהל תפעול 2022'!Y80</f>
        <v>0</v>
      </c>
      <c r="Z80" s="4">
        <f>'תקציב מינהל תפעול 2022'!Z80</f>
        <v>0</v>
      </c>
      <c r="AA80" s="4">
        <f>'תקציב מינהל תפעול 2022'!AA80</f>
        <v>0</v>
      </c>
      <c r="AB80" s="255" t="str">
        <f>'תקציב מינהל תפעול 2022'!AB80</f>
        <v>פעילות חד פעמית בעקבות ממצאי סקר טבע עירוני. הפעילות כוללת: סילוק מינים פולשים של צמחייה , סגירת אזורים עם בולדרים,שילוט וכתיבת מסמך מדיניות טבע עירונית.</v>
      </c>
      <c r="AC80" s="3">
        <v>746000</v>
      </c>
    </row>
    <row r="81" spans="1:29" ht="30" customHeight="1">
      <c r="A81" s="3">
        <f t="shared" si="1"/>
        <v>77</v>
      </c>
      <c r="B81" s="3">
        <f>'תקציב מינהל תפעול 2022'!B81</f>
        <v>2177</v>
      </c>
      <c r="C81" s="255" t="str">
        <f>'תקציב מינהל תפעול 2022'!C81</f>
        <v>תוכ. אב רב שנתית שיפוצים מוס"ח 2021  ואילך.</v>
      </c>
      <c r="D81" s="4">
        <f>'תקציב מינהל תפעול 2022'!D81</f>
        <v>12500000</v>
      </c>
      <c r="E81" s="4">
        <f>'תקציב מינהל תפעול 2022'!E81</f>
        <v>12500000</v>
      </c>
      <c r="F81" s="4">
        <f>'תקציב מינהל תפעול 2022'!F81</f>
        <v>0</v>
      </c>
      <c r="G81" s="4">
        <f>'תקציב מינהל תפעול 2022'!G81</f>
        <v>11500000</v>
      </c>
      <c r="H81" s="4">
        <f>'תקציב מינהל תפעול 2022'!H81</f>
        <v>4466072</v>
      </c>
      <c r="I81" s="4">
        <f>'תקציב מינהל תפעול 2022'!I81</f>
        <v>254817</v>
      </c>
      <c r="J81" s="4">
        <f>'תקציב מינהל תפעול 2022'!J81</f>
        <v>6637456</v>
      </c>
      <c r="K81" s="4">
        <f>'תקציב מינהל תפעול 2022'!K81</f>
        <v>6892273</v>
      </c>
      <c r="L81" s="4">
        <f>'תקציב מינהל תפעול 2022'!L81</f>
        <v>11358345</v>
      </c>
      <c r="M81" s="4">
        <f>'תקציב מינהל תפעול 2022'!M81</f>
        <v>1141655</v>
      </c>
      <c r="N81" s="4">
        <f>'תקציב מינהל תפעול 2022'!N81</f>
        <v>0</v>
      </c>
      <c r="O81" s="4">
        <f>'תקציב מינהל תפעול 2022'!O81</f>
        <v>0</v>
      </c>
      <c r="P81" s="4">
        <f>'תקציב מינהל תפעול 2022'!P81</f>
        <v>141655</v>
      </c>
      <c r="Q81" s="4">
        <f>'תקציב מינהל תפעול 2022'!Q81</f>
        <v>0</v>
      </c>
      <c r="R81" s="4">
        <f>'תקציב מינהל תפעול 2022'!R81</f>
        <v>1000000</v>
      </c>
      <c r="S81" s="4">
        <f>'תקציב מינהל תפעול 2022'!S81</f>
        <v>1000000</v>
      </c>
      <c r="T81" s="4">
        <f>'תקציב מינהל תפעול 2022'!T81</f>
        <v>0</v>
      </c>
      <c r="U81" s="4">
        <f>'תקציב מינהל תפעול 2022'!U81</f>
        <v>0</v>
      </c>
      <c r="V81" s="4">
        <f>'תקציב מינהל תפעול 2022'!V81</f>
        <v>0</v>
      </c>
      <c r="W81" s="4">
        <f>'תקציב מינהל תפעול 2022'!W81</f>
        <v>0</v>
      </c>
      <c r="X81" s="4">
        <f>'תקציב מינהל תפעול 2022'!X81</f>
        <v>0</v>
      </c>
      <c r="Y81" s="4">
        <f>'תקציב מינהל תפעול 2022'!Y81</f>
        <v>0</v>
      </c>
      <c r="Z81" s="4">
        <f>'תקציב מינהל תפעול 2022'!Z81</f>
        <v>0</v>
      </c>
      <c r="AA81" s="4">
        <f>'תקציב מינהל תפעול 2022'!AA81</f>
        <v>0</v>
      </c>
      <c r="AB81" s="255" t="str">
        <f>'תקציב מינהל תפעול 2022'!AB81</f>
        <v>סל עבודות במוס"ח לרבות שיפוצים יסודיים , התאמת מבנים ושדרוג גנ"י .</v>
      </c>
      <c r="AC81" s="3">
        <v>810000</v>
      </c>
    </row>
    <row r="82" spans="1:29" ht="30" customHeight="1">
      <c r="A82" s="3">
        <f t="shared" si="1"/>
        <v>78</v>
      </c>
      <c r="B82" s="3">
        <f>'תקציב מינהל תפעול 2022'!B82</f>
        <v>2178</v>
      </c>
      <c r="C82" s="255" t="str">
        <f>'תקציב מינהל תפעול 2022'!C82</f>
        <v>תיכון היובל</v>
      </c>
      <c r="D82" s="4">
        <f>'תקציב מינהל תפעול 2022'!D82</f>
        <v>2100000</v>
      </c>
      <c r="E82" s="4">
        <f>'תקציב מינהל תפעול 2022'!E82</f>
        <v>2100000</v>
      </c>
      <c r="F82" s="4">
        <f>'תקציב מינהל תפעול 2022'!F82</f>
        <v>0</v>
      </c>
      <c r="G82" s="4">
        <f>'תקציב מינהל תפעול 2022'!G82</f>
        <v>3100000</v>
      </c>
      <c r="H82" s="4">
        <f>'תקציב מינהל תפעול 2022'!H82</f>
        <v>1415462</v>
      </c>
      <c r="I82" s="4">
        <f>'תקציב מינהל תפעול 2022'!I82</f>
        <v>159611</v>
      </c>
      <c r="J82" s="4">
        <f>'תקציב מינהל תפעול 2022'!J82</f>
        <v>311123</v>
      </c>
      <c r="K82" s="4">
        <f>'תקציב מינהל תפעול 2022'!K82</f>
        <v>470734</v>
      </c>
      <c r="L82" s="4">
        <f>'תקציב מינהל תפעול 2022'!L82</f>
        <v>1886196</v>
      </c>
      <c r="M82" s="4">
        <f>'תקציב מינהל תפעול 2022'!M82</f>
        <v>213804</v>
      </c>
      <c r="N82" s="4">
        <f>'תקציב מינהל תפעול 2022'!N82</f>
        <v>0</v>
      </c>
      <c r="O82" s="4">
        <f>'תקציב מינהל תפעול 2022'!O82</f>
        <v>0</v>
      </c>
      <c r="P82" s="4">
        <f>'תקציב מינהל תפעול 2022'!P82</f>
        <v>1213804</v>
      </c>
      <c r="Q82" s="4">
        <f>'תקציב מינהל תפעול 2022'!Q82</f>
        <v>0</v>
      </c>
      <c r="R82" s="4">
        <f>'תקציב מינהל תפעול 2022'!R82</f>
        <v>-1000000</v>
      </c>
      <c r="S82" s="4">
        <f>'תקציב מינהל תפעול 2022'!S82</f>
        <v>-1000000</v>
      </c>
      <c r="T82" s="4">
        <f>'תקציב מינהל תפעול 2022'!T82</f>
        <v>0</v>
      </c>
      <c r="U82" s="4">
        <f>'תקציב מינהל תפעול 2022'!U82</f>
        <v>0</v>
      </c>
      <c r="V82" s="4">
        <f>'תקציב מינהל תפעול 2022'!V82</f>
        <v>-210000</v>
      </c>
      <c r="W82" s="4">
        <f>'תקציב מינהל תפעול 2022'!W82</f>
        <v>0</v>
      </c>
      <c r="X82" s="4">
        <f>'תקציב מינהל תפעול 2022'!X82</f>
        <v>0</v>
      </c>
      <c r="Y82" s="4">
        <f>'תקציב מינהל תפעול 2022'!Y82</f>
        <v>0</v>
      </c>
      <c r="Z82" s="4">
        <f>'תקציב מינהל תפעול 2022'!Z82</f>
        <v>0</v>
      </c>
      <c r="AA82" s="4">
        <f>'תקציב מינהל תפעול 2022'!AA82</f>
        <v>210000</v>
      </c>
      <c r="AB82" s="255" t="str">
        <f>'תקציב מינהל תפעול 2022'!AB82</f>
        <v>בניית 3 כיתות (קרוואנים), מעבדות, תכנון תוספת כיתות. מימון מ. החינוך.</v>
      </c>
      <c r="AC82" s="3">
        <v>810000</v>
      </c>
    </row>
    <row r="83" spans="1:29" ht="30" customHeight="1">
      <c r="A83" s="3">
        <f t="shared" si="1"/>
        <v>79</v>
      </c>
      <c r="B83" s="3">
        <f>'תקציב מינהל תפעול 2022'!B83</f>
        <v>2181</v>
      </c>
      <c r="C83" s="255" t="str">
        <f>'תקציב מינהל תפעול 2022'!C83</f>
        <v>טיפול במפגעי בטיחות במצוק</v>
      </c>
      <c r="D83" s="4">
        <f>'תקציב מינהל תפעול 2022'!D83</f>
        <v>1259000</v>
      </c>
      <c r="E83" s="4">
        <f>'תקציב מינהל תפעול 2022'!E83</f>
        <v>1259000</v>
      </c>
      <c r="F83" s="4">
        <f>'תקציב מינהל תפעול 2022'!F83</f>
        <v>0</v>
      </c>
      <c r="G83" s="4">
        <f>'תקציב מינהל תפעול 2022'!G83</f>
        <v>1259000</v>
      </c>
      <c r="H83" s="4">
        <f>'תקציב מינהל תפעול 2022'!H83</f>
        <v>1191759</v>
      </c>
      <c r="I83" s="4">
        <f>'תקציב מינהל תפעול 2022'!I83</f>
        <v>0</v>
      </c>
      <c r="J83" s="4">
        <f>'תקציב מינהל תפעול 2022'!J83</f>
        <v>0</v>
      </c>
      <c r="K83" s="4">
        <f>'תקציב מינהל תפעול 2022'!K83</f>
        <v>0</v>
      </c>
      <c r="L83" s="4">
        <f>'תקציב מינהל תפעול 2022'!L83</f>
        <v>1191759</v>
      </c>
      <c r="M83" s="4">
        <f>'תקציב מינהל תפעול 2022'!M83</f>
        <v>67241</v>
      </c>
      <c r="N83" s="4">
        <f>'תקציב מינהל תפעול 2022'!N83</f>
        <v>0</v>
      </c>
      <c r="O83" s="4">
        <f>'תקציב מינהל תפעול 2022'!O83</f>
        <v>0</v>
      </c>
      <c r="P83" s="4">
        <f>'תקציב מינהל תפעול 2022'!P83</f>
        <v>67241</v>
      </c>
      <c r="Q83" s="4">
        <f>'תקציב מינהל תפעול 2022'!Q83</f>
        <v>0</v>
      </c>
      <c r="R83" s="4">
        <f>'תקציב מינהל תפעול 2022'!R83</f>
        <v>0</v>
      </c>
      <c r="S83" s="4">
        <f>'תקציב מינהל תפעול 2022'!S83</f>
        <v>0</v>
      </c>
      <c r="T83" s="4">
        <f>'תקציב מינהל תפעול 2022'!T83</f>
        <v>0</v>
      </c>
      <c r="U83" s="4">
        <f>'תקציב מינהל תפעול 2022'!U83</f>
        <v>0</v>
      </c>
      <c r="V83" s="4">
        <f>'תקציב מינהל תפעול 2022'!V83</f>
        <v>0</v>
      </c>
      <c r="W83" s="4">
        <f>'תקציב מינהל תפעול 2022'!W83</f>
        <v>0</v>
      </c>
      <c r="X83" s="4">
        <f>'תקציב מינהל תפעול 2022'!X83</f>
        <v>0</v>
      </c>
      <c r="Y83" s="4">
        <f>'תקציב מינהל תפעול 2022'!Y83</f>
        <v>0</v>
      </c>
      <c r="Z83" s="4">
        <f>'תקציב מינהל תפעול 2022'!Z83</f>
        <v>0</v>
      </c>
      <c r="AA83" s="4">
        <f>'תקציב מינהל תפעול 2022'!AA83</f>
        <v>0</v>
      </c>
      <c r="AB83" s="255" t="str">
        <f>'תקציב מינהל תפעול 2022'!AB83</f>
        <v>ביצוע עבודות לטיפול במפגעי בטיחות במצוק. מימון מ. הפנים.</v>
      </c>
      <c r="AC83" s="3">
        <v>747000</v>
      </c>
    </row>
    <row r="84" spans="1:29" ht="30" customHeight="1">
      <c r="A84" s="3">
        <f t="shared" si="1"/>
        <v>80</v>
      </c>
      <c r="B84" s="3">
        <f>'תקציב מינהל תפעול 2022'!B84</f>
        <v>2184</v>
      </c>
      <c r="C84" s="255" t="str">
        <f>'תקציב מינהל תפעול 2022'!C84</f>
        <v>שיקום חזית מבנה דיור לקשיש</v>
      </c>
      <c r="D84" s="4">
        <f>'תקציב מינהל תפעול 2022'!D84</f>
        <v>2180000</v>
      </c>
      <c r="E84" s="4">
        <f>'תקציב מינהל תפעול 2022'!E84</f>
        <v>2180000</v>
      </c>
      <c r="F84" s="4">
        <f>'תקציב מינהל תפעול 2022'!F84</f>
        <v>0</v>
      </c>
      <c r="G84" s="4">
        <f>'תקציב מינהל תפעול 2022'!G84</f>
        <v>560000</v>
      </c>
      <c r="H84" s="4">
        <f>'תקציב מינהל תפעול 2022'!H84</f>
        <v>38078</v>
      </c>
      <c r="I84" s="4">
        <f>'תקציב מינהל תפעול 2022'!I84</f>
        <v>0</v>
      </c>
      <c r="J84" s="4">
        <f>'תקציב מינהל תפעול 2022'!J84</f>
        <v>5354</v>
      </c>
      <c r="K84" s="4">
        <f>'תקציב מינהל תפעול 2022'!K84</f>
        <v>5354</v>
      </c>
      <c r="L84" s="4">
        <f>'תקציב מינהל תפעול 2022'!L84</f>
        <v>43432</v>
      </c>
      <c r="M84" s="4">
        <f>'תקציב מינהל תפעול 2022'!M84</f>
        <v>516568</v>
      </c>
      <c r="N84" s="4">
        <f>'תקציב מינהל תפעול 2022'!N84</f>
        <v>0</v>
      </c>
      <c r="O84" s="4">
        <f>'תקציב מינהל תפעול 2022'!O84</f>
        <v>1620000</v>
      </c>
      <c r="P84" s="4">
        <f>'תקציב מינהל תפעול 2022'!P84</f>
        <v>516568</v>
      </c>
      <c r="Q84" s="4">
        <f>'תקציב מינהל תפעול 2022'!Q84</f>
        <v>0</v>
      </c>
      <c r="R84" s="4">
        <f>'תקציב מינהל תפעול 2022'!R84</f>
        <v>0</v>
      </c>
      <c r="S84" s="4">
        <f>'תקציב מינהל תפעול 2022'!S84</f>
        <v>0</v>
      </c>
      <c r="T84" s="4">
        <f>'תקציב מינהל תפעול 2022'!T84</f>
        <v>0</v>
      </c>
      <c r="U84" s="4">
        <f>'תקציב מינהל תפעול 2022'!U84</f>
        <v>0</v>
      </c>
      <c r="V84" s="4">
        <f>'תקציב מינהל תפעול 2022'!V84</f>
        <v>0</v>
      </c>
      <c r="W84" s="4">
        <f>'תקציב מינהל תפעול 2022'!W84</f>
        <v>0</v>
      </c>
      <c r="X84" s="4">
        <f>'תקציב מינהל תפעול 2022'!X84</f>
        <v>0</v>
      </c>
      <c r="Y84" s="4">
        <f>'תקציב מינהל תפעול 2022'!Y84</f>
        <v>0</v>
      </c>
      <c r="Z84" s="4">
        <f>'תקציב מינהל תפעול 2022'!Z84</f>
        <v>0</v>
      </c>
      <c r="AA84" s="4">
        <f>'תקציב מינהל תפעול 2022'!AA84</f>
        <v>0</v>
      </c>
      <c r="AB84" s="255" t="str">
        <f>'תקציב מינהל תפעול 2022'!AB84</f>
        <v xml:space="preserve">שיקום חזיתות בנין דיור לקשיש ברח' שמאי. שלב א' חזית דרומית בביצוע. </v>
      </c>
      <c r="AC84" s="3">
        <v>930000</v>
      </c>
    </row>
    <row r="85" spans="1:29" ht="30" customHeight="1">
      <c r="A85" s="3">
        <f t="shared" si="1"/>
        <v>81</v>
      </c>
      <c r="B85" s="3">
        <f>'תקציב מינהל תפעול 2022'!B85</f>
        <v>2187</v>
      </c>
      <c r="C85" s="255" t="str">
        <f>'תקציב מינהל תפעול 2022'!C85</f>
        <v>בי"ס חלופי בפארק הרצליה</v>
      </c>
      <c r="D85" s="4">
        <f>'תקציב מינהל תפעול 2022'!D85</f>
        <v>10600000</v>
      </c>
      <c r="E85" s="4">
        <f>'תקציב מינהל תפעול 2022'!E85</f>
        <v>9100000</v>
      </c>
      <c r="F85" s="4">
        <f>'תקציב מינהל תפעול 2022'!F85</f>
        <v>1500000</v>
      </c>
      <c r="G85" s="4">
        <f>'תקציב מינהל תפעול 2022'!G85</f>
        <v>9100000</v>
      </c>
      <c r="H85" s="4">
        <f>'תקציב מינהל תפעול 2022'!H85</f>
        <v>3736923</v>
      </c>
      <c r="I85" s="4">
        <f>'תקציב מינהל תפעול 2022'!I85</f>
        <v>4756370</v>
      </c>
      <c r="J85" s="4">
        <f>'תקציב מינהל תפעול 2022'!J85</f>
        <v>606586</v>
      </c>
      <c r="K85" s="4">
        <f>'תקציב מינהל תפעול 2022'!K85</f>
        <v>5362956</v>
      </c>
      <c r="L85" s="4">
        <f>'תקציב מינהל תפעול 2022'!L85</f>
        <v>9099879</v>
      </c>
      <c r="M85" s="4">
        <f>'תקציב מינהל תפעול 2022'!M85</f>
        <v>121</v>
      </c>
      <c r="N85" s="4">
        <f>'תקציב מינהל תפעול 2022'!N85</f>
        <v>1500000</v>
      </c>
      <c r="O85" s="4">
        <f>'תקציב מינהל תפעול 2022'!O85</f>
        <v>0</v>
      </c>
      <c r="P85" s="4">
        <f>'תקציב מינהל תפעול 2022'!P85</f>
        <v>121</v>
      </c>
      <c r="Q85" s="4">
        <f>'תקציב מינהל תפעול 2022'!Q85</f>
        <v>0</v>
      </c>
      <c r="R85" s="4">
        <f>'תקציב מינהל תפעול 2022'!R85</f>
        <v>0</v>
      </c>
      <c r="S85" s="4">
        <f>'תקציב מינהל תפעול 2022'!S85</f>
        <v>0</v>
      </c>
      <c r="T85" s="4">
        <f>'תקציב מינהל תפעול 2022'!T85</f>
        <v>0</v>
      </c>
      <c r="U85" s="4">
        <f>'תקציב מינהל תפעול 2022'!U85</f>
        <v>1500000</v>
      </c>
      <c r="V85" s="4">
        <f>'תקציב מינהל תפעול 2022'!V85</f>
        <v>1500000</v>
      </c>
      <c r="W85" s="4">
        <f>'תקציב מינהל תפעול 2022'!W85</f>
        <v>0</v>
      </c>
      <c r="X85" s="4">
        <f>'תקציב מינהל תפעול 2022'!X85</f>
        <v>0</v>
      </c>
      <c r="Y85" s="4">
        <f>'תקציב מינהל תפעול 2022'!Y85</f>
        <v>0</v>
      </c>
      <c r="Z85" s="4">
        <f>'תקציב מינהל תפעול 2022'!Z85</f>
        <v>0</v>
      </c>
      <c r="AA85" s="4">
        <f>'תקציב מינהל תפעול 2022'!AA85</f>
        <v>0</v>
      </c>
      <c r="AB85" s="255" t="str">
        <f>'תקציב מינהל תפעול 2022'!AB85</f>
        <v>השלמת תכנון וביצוע הקמת בי"ס חלופי בפארק.</v>
      </c>
      <c r="AC85" s="3">
        <v>810000</v>
      </c>
    </row>
    <row r="86" spans="1:29" ht="45">
      <c r="A86" s="3">
        <f t="shared" si="1"/>
        <v>82</v>
      </c>
      <c r="B86" s="3">
        <f>'תקציב מינהל תפעול 2022'!B86</f>
        <v>2211</v>
      </c>
      <c r="C86" s="255" t="str">
        <f>'תקציב מינהל תפעול 2022'!C86</f>
        <v>בי"ס דמוקרטי- התאמת מבנה  בפארק  (*) עדכון שם בחט"ב סמדר</v>
      </c>
      <c r="D86" s="4">
        <f>'תקציב מינהל תפעול 2022'!D86</f>
        <v>800000</v>
      </c>
      <c r="E86" s="4">
        <f>'תקציב מינהל תפעול 2022'!E86</f>
        <v>800000</v>
      </c>
      <c r="F86" s="4">
        <f>'תקציב מינהל תפעול 2022'!F86</f>
        <v>0</v>
      </c>
      <c r="G86" s="4">
        <f>'תקציב מינהל תפעול 2022'!G86</f>
        <v>800000</v>
      </c>
      <c r="H86" s="4">
        <f>'תקציב מינהל תפעול 2022'!H86</f>
        <v>0</v>
      </c>
      <c r="I86" s="4">
        <f>'תקציב מינהל תפעול 2022'!I86</f>
        <v>442254</v>
      </c>
      <c r="J86" s="4">
        <f>'תקציב מינהל תפעול 2022'!J86</f>
        <v>57166</v>
      </c>
      <c r="K86" s="4">
        <f>'תקציב מינהל תפעול 2022'!K86</f>
        <v>499420</v>
      </c>
      <c r="L86" s="4">
        <f>'תקציב מינהל תפעול 2022'!L86</f>
        <v>499420</v>
      </c>
      <c r="M86" s="4">
        <f>'תקציב מינהל תפעול 2022'!M86</f>
        <v>300580</v>
      </c>
      <c r="N86" s="4">
        <f>'תקציב מינהל תפעול 2022'!N86</f>
        <v>0</v>
      </c>
      <c r="O86" s="4">
        <f>'תקציב מינהל תפעול 2022'!O86</f>
        <v>0</v>
      </c>
      <c r="P86" s="4">
        <f>'תקציב מינהל תפעול 2022'!P86</f>
        <v>300580</v>
      </c>
      <c r="Q86" s="4">
        <f>'תקציב מינהל תפעול 2022'!Q86</f>
        <v>0</v>
      </c>
      <c r="R86" s="4">
        <f>'תקציב מינהל תפעול 2022'!R86</f>
        <v>0</v>
      </c>
      <c r="S86" s="4">
        <f>'תקציב מינהל תפעול 2022'!S86</f>
        <v>0</v>
      </c>
      <c r="T86" s="4">
        <f>'תקציב מינהל תפעול 2022'!T86</f>
        <v>0</v>
      </c>
      <c r="U86" s="4">
        <f>'תקציב מינהל תפעול 2022'!U86</f>
        <v>0</v>
      </c>
      <c r="V86" s="4">
        <f>'תקציב מינהל תפעול 2022'!V86</f>
        <v>0</v>
      </c>
      <c r="W86" s="4">
        <f>'תקציב מינהל תפעול 2022'!W86</f>
        <v>0</v>
      </c>
      <c r="X86" s="4">
        <f>'תקציב מינהל תפעול 2022'!X86</f>
        <v>0</v>
      </c>
      <c r="Y86" s="4">
        <f>'תקציב מינהל תפעול 2022'!Y86</f>
        <v>0</v>
      </c>
      <c r="Z86" s="4">
        <f>'תקציב מינהל תפעול 2022'!Z86</f>
        <v>0</v>
      </c>
      <c r="AA86" s="4">
        <f>'תקציב מינהל תפעול 2022'!AA86</f>
        <v>0</v>
      </c>
      <c r="AB86" s="255" t="str">
        <f>'תקציב מינהל תפעול 2022'!AB86</f>
        <v>התאמת מבנים בפארק לבי"ס דמוקרטי.</v>
      </c>
      <c r="AC86" s="3">
        <v>810000</v>
      </c>
    </row>
    <row r="87" spans="1:29" ht="60">
      <c r="A87" s="3">
        <f t="shared" si="1"/>
        <v>83</v>
      </c>
      <c r="B87" s="3">
        <f>'תקציב מינהל תפעול 2022'!B87</f>
        <v>2212</v>
      </c>
      <c r="C87" s="255" t="str">
        <f>'תקציב מינהל תפעול 2022'!C87</f>
        <v>שדרוג חט"ב זאב</v>
      </c>
      <c r="D87" s="4">
        <f>'תקציב מינהל תפעול 2022'!D87</f>
        <v>8000000</v>
      </c>
      <c r="E87" s="4">
        <f>'תקציב מינהל תפעול 2022'!E87</f>
        <v>8000000</v>
      </c>
      <c r="F87" s="4">
        <f>'תקציב מינהל תפעול 2022'!F87</f>
        <v>0</v>
      </c>
      <c r="G87" s="4">
        <f>'תקציב מינהל תפעול 2022'!G87</f>
        <v>1000000</v>
      </c>
      <c r="H87" s="4">
        <f>'תקציב מינהל תפעול 2022'!H87</f>
        <v>1586</v>
      </c>
      <c r="I87" s="4">
        <f>'תקציב מינהל תפעול 2022'!I87</f>
        <v>0</v>
      </c>
      <c r="J87" s="4">
        <f>'תקציב מינהל תפעול 2022'!J87</f>
        <v>300000</v>
      </c>
      <c r="K87" s="4">
        <f>'תקציב מינהל תפעול 2022'!K87</f>
        <v>300000</v>
      </c>
      <c r="L87" s="4">
        <f>'תקציב מינהל תפעול 2022'!L87</f>
        <v>301586</v>
      </c>
      <c r="M87" s="4">
        <f>'תקציב מינהל תפעול 2022'!M87</f>
        <v>698414</v>
      </c>
      <c r="N87" s="4">
        <f>'תקציב מינהל תפעול 2022'!N87</f>
        <v>0</v>
      </c>
      <c r="O87" s="4">
        <f>'תקציב מינהל תפעול 2022'!O87</f>
        <v>7000000</v>
      </c>
      <c r="P87" s="4">
        <f>'תקציב מינהל תפעול 2022'!P87</f>
        <v>698414</v>
      </c>
      <c r="Q87" s="4">
        <f>'תקציב מינהל תפעול 2022'!Q87</f>
        <v>0</v>
      </c>
      <c r="R87" s="4">
        <f>'תקציב מינהל תפעול 2022'!R87</f>
        <v>0</v>
      </c>
      <c r="S87" s="4">
        <f>'תקציב מינהל תפעול 2022'!S87</f>
        <v>0</v>
      </c>
      <c r="T87" s="4">
        <f>'תקציב מינהל תפעול 2022'!T87</f>
        <v>0</v>
      </c>
      <c r="U87" s="4">
        <f>'תקציב מינהל תפעול 2022'!U87</f>
        <v>0</v>
      </c>
      <c r="V87" s="4">
        <f>'תקציב מינהל תפעול 2022'!V87</f>
        <v>0</v>
      </c>
      <c r="W87" s="4">
        <f>'תקציב מינהל תפעול 2022'!W87</f>
        <v>0</v>
      </c>
      <c r="X87" s="4">
        <f>'תקציב מינהל תפעול 2022'!X87</f>
        <v>0</v>
      </c>
      <c r="Y87" s="4">
        <f>'תקציב מינהל תפעול 2022'!Y87</f>
        <v>0</v>
      </c>
      <c r="Z87" s="4">
        <f>'תקציב מינהל תפעול 2022'!Z87</f>
        <v>0</v>
      </c>
      <c r="AA87" s="4">
        <f>'תקציב מינהל תפעול 2022'!AA87</f>
        <v>0</v>
      </c>
      <c r="AB87" s="255" t="str">
        <f>'תקציב מינהל תפעול 2022'!AB87</f>
        <v xml:space="preserve">עבודות שיפוצים וחזיתות מבנה ביה"ס בשטח של כ - 2,650 מ"ר, עבודות פיתוח ותשתיות מים וביוב. </v>
      </c>
      <c r="AC87" s="3">
        <v>810000</v>
      </c>
    </row>
    <row r="88" spans="1:29" ht="30" customHeight="1">
      <c r="A88" s="3">
        <f t="shared" si="1"/>
        <v>84</v>
      </c>
      <c r="B88" s="3">
        <f>'תקציב מינהל תפעול 2022'!B88</f>
        <v>2214</v>
      </c>
      <c r="C88" s="255" t="str">
        <f>'תקציב מינהל תפעול 2022'!C88</f>
        <v>רישוי תחנת הדלק העירונית</v>
      </c>
      <c r="D88" s="4">
        <f>'תקציב מינהל תפעול 2022'!D88</f>
        <v>200000</v>
      </c>
      <c r="E88" s="4">
        <f>'תקציב מינהל תפעול 2022'!E88</f>
        <v>200000</v>
      </c>
      <c r="F88" s="4">
        <f>'תקציב מינהל תפעול 2022'!F88</f>
        <v>0</v>
      </c>
      <c r="G88" s="4">
        <f>'תקציב מינהל תפעול 2022'!G88</f>
        <v>200000</v>
      </c>
      <c r="H88" s="4">
        <f>'תקציב מינהל תפעול 2022'!H88</f>
        <v>26395</v>
      </c>
      <c r="I88" s="4">
        <f>'תקציב מינהל תפעול 2022'!I88</f>
        <v>0</v>
      </c>
      <c r="J88" s="4">
        <f>'תקציב מינהל תפעול 2022'!J88</f>
        <v>33474</v>
      </c>
      <c r="K88" s="4">
        <f>'תקציב מינהל תפעול 2022'!K88</f>
        <v>33474</v>
      </c>
      <c r="L88" s="4">
        <f>'תקציב מינהל תפעול 2022'!L88</f>
        <v>59869</v>
      </c>
      <c r="M88" s="4">
        <f>'תקציב מינהל תפעול 2022'!M88</f>
        <v>140131</v>
      </c>
      <c r="N88" s="4">
        <f>'תקציב מינהל תפעול 2022'!N88</f>
        <v>0</v>
      </c>
      <c r="O88" s="4">
        <f>'תקציב מינהל תפעול 2022'!O88</f>
        <v>0</v>
      </c>
      <c r="P88" s="4">
        <f>'תקציב מינהל תפעול 2022'!P88</f>
        <v>140131</v>
      </c>
      <c r="Q88" s="4">
        <f>'תקציב מינהל תפעול 2022'!Q88</f>
        <v>0</v>
      </c>
      <c r="R88" s="4">
        <f>'תקציב מינהל תפעול 2022'!R88</f>
        <v>0</v>
      </c>
      <c r="S88" s="4">
        <f>'תקציב מינהל תפעול 2022'!S88</f>
        <v>0</v>
      </c>
      <c r="T88" s="4">
        <f>'תקציב מינהל תפעול 2022'!T88</f>
        <v>0</v>
      </c>
      <c r="U88" s="4">
        <f>'תקציב מינהל תפעול 2022'!U88</f>
        <v>0</v>
      </c>
      <c r="V88" s="4">
        <f>'תקציב מינהל תפעול 2022'!V88</f>
        <v>0</v>
      </c>
      <c r="W88" s="4">
        <f>'תקציב מינהל תפעול 2022'!W88</f>
        <v>0</v>
      </c>
      <c r="X88" s="4">
        <f>'תקציב מינהל תפעול 2022'!X88</f>
        <v>0</v>
      </c>
      <c r="Y88" s="4">
        <f>'תקציב מינהל תפעול 2022'!Y88</f>
        <v>0</v>
      </c>
      <c r="Z88" s="4">
        <f>'תקציב מינהל תפעול 2022'!Z88</f>
        <v>0</v>
      </c>
      <c r="AA88" s="4">
        <f>'תקציב מינהל תפעול 2022'!AA88</f>
        <v>0</v>
      </c>
      <c r="AB88" s="255" t="str">
        <f>'תקציב מינהל תפעול 2022'!AB88</f>
        <v>עלויות רישוי/היתר לתחנת הדלק העירונית במתחם אגף תבל.</v>
      </c>
      <c r="AC88" s="3">
        <v>930000</v>
      </c>
    </row>
    <row r="89" spans="1:29" ht="30" customHeight="1">
      <c r="A89" s="3">
        <f t="shared" si="1"/>
        <v>85</v>
      </c>
      <c r="B89" s="3">
        <f>'תקציב מינהל תפעול 2022'!B89</f>
        <v>2215</v>
      </c>
      <c r="C89" s="255" t="str">
        <f>'תקציב מינהל תפעול 2022'!C89</f>
        <v>נגישות אקוסטית 2020 מ. החינוך</v>
      </c>
      <c r="D89" s="4">
        <f>'תקציב מינהל תפעול 2022'!D89</f>
        <v>420000</v>
      </c>
      <c r="E89" s="4">
        <f>'תקציב מינהל תפעול 2022'!E89</f>
        <v>420000</v>
      </c>
      <c r="F89" s="4">
        <f>'תקציב מינהל תפעול 2022'!F89</f>
        <v>0</v>
      </c>
      <c r="G89" s="4">
        <f>'תקציב מינהל תפעול 2022'!G89</f>
        <v>420000</v>
      </c>
      <c r="H89" s="4">
        <f>'תקציב מינהל תפעול 2022'!H89</f>
        <v>243161</v>
      </c>
      <c r="I89" s="4">
        <f>'תקציב מינהל תפעול 2022'!I89</f>
        <v>0</v>
      </c>
      <c r="J89" s="4">
        <f>'תקציב מינהל תפעול 2022'!J89</f>
        <v>48330</v>
      </c>
      <c r="K89" s="4">
        <f>'תקציב מינהל תפעול 2022'!K89</f>
        <v>48330</v>
      </c>
      <c r="L89" s="4">
        <f>'תקציב מינהל תפעול 2022'!L89</f>
        <v>291491</v>
      </c>
      <c r="M89" s="4">
        <f>'תקציב מינהל תפעול 2022'!M89</f>
        <v>128509</v>
      </c>
      <c r="N89" s="4">
        <f>'תקציב מינהל תפעול 2022'!N89</f>
        <v>0</v>
      </c>
      <c r="O89" s="4">
        <f>'תקציב מינהל תפעול 2022'!O89</f>
        <v>0</v>
      </c>
      <c r="P89" s="4">
        <f>'תקציב מינהל תפעול 2022'!P89</f>
        <v>128509</v>
      </c>
      <c r="Q89" s="4">
        <f>'תקציב מינהל תפעול 2022'!Q89</f>
        <v>0</v>
      </c>
      <c r="R89" s="4">
        <f>'תקציב מינהל תפעול 2022'!R89</f>
        <v>0</v>
      </c>
      <c r="S89" s="4">
        <f>'תקציב מינהל תפעול 2022'!S89</f>
        <v>0</v>
      </c>
      <c r="T89" s="4">
        <f>'תקציב מינהל תפעול 2022'!T89</f>
        <v>0</v>
      </c>
      <c r="U89" s="4">
        <f>'תקציב מינהל תפעול 2022'!U89</f>
        <v>0</v>
      </c>
      <c r="V89" s="4">
        <f>'תקציב מינהל תפעול 2022'!V89</f>
        <v>0</v>
      </c>
      <c r="W89" s="4">
        <f>'תקציב מינהל תפעול 2022'!W89</f>
        <v>0</v>
      </c>
      <c r="X89" s="4">
        <f>'תקציב מינהל תפעול 2022'!X89</f>
        <v>0</v>
      </c>
      <c r="Y89" s="4">
        <f>'תקציב מינהל תפעול 2022'!Y89</f>
        <v>0</v>
      </c>
      <c r="Z89" s="4">
        <f>'תקציב מינהל תפעול 2022'!Z89</f>
        <v>0</v>
      </c>
      <c r="AA89" s="4">
        <f>'תקציב מינהל תפעול 2022'!AA89</f>
        <v>0</v>
      </c>
      <c r="AB89" s="255" t="str">
        <f>'תקציב מינהל תפעול 2022'!AB89</f>
        <v>נגישות אקוסטית גנ"י וכיתות בי"ס . מימון מ.החינוך.</v>
      </c>
      <c r="AC89" s="3">
        <v>810000</v>
      </c>
    </row>
    <row r="90" spans="1:29" ht="30" customHeight="1">
      <c r="A90" s="3">
        <f t="shared" si="1"/>
        <v>86</v>
      </c>
      <c r="B90" s="3">
        <f>'תקציב מינהל תפעול 2022'!B90</f>
        <v>2216</v>
      </c>
      <c r="C90" s="255" t="str">
        <f>'תקציב מינהל תפעול 2022'!C90</f>
        <v>שיקום מבנה החינוך הימי במרינה</v>
      </c>
      <c r="D90" s="4">
        <f>'תקציב מינהל תפעול 2022'!D90</f>
        <v>2600000</v>
      </c>
      <c r="E90" s="4">
        <f>'תקציב מינהל תפעול 2022'!E90</f>
        <v>2600000</v>
      </c>
      <c r="F90" s="4">
        <f>'תקציב מינהל תפעול 2022'!F90</f>
        <v>0</v>
      </c>
      <c r="G90" s="4">
        <f>'תקציב מינהל תפעול 2022'!G90</f>
        <v>300000</v>
      </c>
      <c r="H90" s="4">
        <f>'תקציב מינהל תפעול 2022'!H90</f>
        <v>7139</v>
      </c>
      <c r="I90" s="4">
        <f>'תקציב מינהל תפעול 2022'!I90</f>
        <v>0</v>
      </c>
      <c r="J90" s="4">
        <f>'תקציב מינהל תפעול 2022'!J90</f>
        <v>0</v>
      </c>
      <c r="K90" s="4">
        <f>'תקציב מינהל תפעול 2022'!K90</f>
        <v>0</v>
      </c>
      <c r="L90" s="4">
        <f>'תקציב מינהל תפעול 2022'!L90</f>
        <v>7139</v>
      </c>
      <c r="M90" s="4">
        <f>'תקציב מינהל תפעול 2022'!M90</f>
        <v>292861</v>
      </c>
      <c r="N90" s="4">
        <f>'תקציב מינהל תפעול 2022'!N90</f>
        <v>300000</v>
      </c>
      <c r="O90" s="4">
        <f>'תקציב מינהל תפעול 2022'!O90</f>
        <v>2000000</v>
      </c>
      <c r="P90" s="4">
        <f>'תקציב מינהל תפעול 2022'!P90</f>
        <v>292861</v>
      </c>
      <c r="Q90" s="4">
        <f>'תקציב מינהל תפעול 2022'!Q90</f>
        <v>0</v>
      </c>
      <c r="R90" s="4">
        <f>'תקציב מינהל תפעול 2022'!R90</f>
        <v>0</v>
      </c>
      <c r="S90" s="4">
        <f>'תקציב מינהל תפעול 2022'!S90</f>
        <v>0</v>
      </c>
      <c r="T90" s="4">
        <f>'תקציב מינהל תפעול 2022'!T90</f>
        <v>0</v>
      </c>
      <c r="U90" s="4">
        <f>'תקציב מינהל תפעול 2022'!U90</f>
        <v>300000</v>
      </c>
      <c r="V90" s="4">
        <f>'תקציב מינהל תפעול 2022'!V90</f>
        <v>300000</v>
      </c>
      <c r="W90" s="4">
        <f>'תקציב מינהל תפעול 2022'!W90</f>
        <v>0</v>
      </c>
      <c r="X90" s="4">
        <f>'תקציב מינהל תפעול 2022'!X90</f>
        <v>0</v>
      </c>
      <c r="Y90" s="4">
        <f>'תקציב מינהל תפעול 2022'!Y90</f>
        <v>0</v>
      </c>
      <c r="Z90" s="4">
        <f>'תקציב מינהל תפעול 2022'!Z90</f>
        <v>0</v>
      </c>
      <c r="AA90" s="4">
        <f>'תקציב מינהל תפעול 2022'!AA90</f>
        <v>0</v>
      </c>
      <c r="AB90" s="255" t="str">
        <f>'תקציב מינהל תפעול 2022'!AB90</f>
        <v>שיקום המבנה גג המבנה, שרותים ועבודות פיתוח.</v>
      </c>
      <c r="AC90" s="3">
        <v>810000</v>
      </c>
    </row>
    <row r="91" spans="1:29" ht="30" customHeight="1">
      <c r="A91" s="3">
        <f t="shared" si="1"/>
        <v>87</v>
      </c>
      <c r="B91" s="3">
        <f>'תקציב מינהל תפעול 2022'!B91</f>
        <v>2221</v>
      </c>
      <c r="C91" s="255" t="str">
        <f>'תקציב מינהל תפעול 2022'!C91</f>
        <v>ציוד הצלה ובטיחות 2020</v>
      </c>
      <c r="D91" s="4">
        <f>'תקציב מינהל תפעול 2022'!D91</f>
        <v>91304</v>
      </c>
      <c r="E91" s="4">
        <f>'תקציב מינהל תפעול 2022'!E91</f>
        <v>91304</v>
      </c>
      <c r="F91" s="4">
        <f>'תקציב מינהל תפעול 2022'!F91</f>
        <v>0</v>
      </c>
      <c r="G91" s="4">
        <f>'תקציב מינהל תפעול 2022'!G91</f>
        <v>91304</v>
      </c>
      <c r="H91" s="4">
        <f>'תקציב מינהל תפעול 2022'!H91</f>
        <v>0</v>
      </c>
      <c r="I91" s="4">
        <f>'תקציב מינהל תפעול 2022'!I91</f>
        <v>0</v>
      </c>
      <c r="J91" s="4">
        <f>'תקציב מינהל תפעול 2022'!J91</f>
        <v>61850</v>
      </c>
      <c r="K91" s="4">
        <f>'תקציב מינהל תפעול 2022'!K91</f>
        <v>61850</v>
      </c>
      <c r="L91" s="4">
        <f>'תקציב מינהל תפעול 2022'!L91</f>
        <v>61850</v>
      </c>
      <c r="M91" s="4">
        <f>'תקציב מינהל תפעול 2022'!M91</f>
        <v>29454</v>
      </c>
      <c r="N91" s="4">
        <f>'תקציב מינהל תפעול 2022'!N91</f>
        <v>0</v>
      </c>
      <c r="O91" s="4">
        <f>'תקציב מינהל תפעול 2022'!O91</f>
        <v>0</v>
      </c>
      <c r="P91" s="4">
        <f>'תקציב מינהל תפעול 2022'!P91</f>
        <v>29454</v>
      </c>
      <c r="Q91" s="4">
        <f>'תקציב מינהל תפעול 2022'!Q91</f>
        <v>0</v>
      </c>
      <c r="R91" s="4">
        <f>'תקציב מינהל תפעול 2022'!R91</f>
        <v>0</v>
      </c>
      <c r="S91" s="4">
        <f>'תקציב מינהל תפעול 2022'!S91</f>
        <v>0</v>
      </c>
      <c r="T91" s="4">
        <f>'תקציב מינהל תפעול 2022'!T91</f>
        <v>0</v>
      </c>
      <c r="U91" s="4">
        <f>'תקציב מינהל תפעול 2022'!U91</f>
        <v>0</v>
      </c>
      <c r="V91" s="4">
        <f>'תקציב מינהל תפעול 2022'!V91</f>
        <v>0</v>
      </c>
      <c r="W91" s="4">
        <f>'תקציב מינהל תפעול 2022'!W91</f>
        <v>0</v>
      </c>
      <c r="X91" s="4">
        <f>'תקציב מינהל תפעול 2022'!X91</f>
        <v>0</v>
      </c>
      <c r="Y91" s="4">
        <f>'תקציב מינהל תפעול 2022'!Y91</f>
        <v>0</v>
      </c>
      <c r="Z91" s="4">
        <f>'תקציב מינהל תפעול 2022'!Z91</f>
        <v>0</v>
      </c>
      <c r="AA91" s="4">
        <f>'תקציב מינהל תפעול 2022'!AA91</f>
        <v>0</v>
      </c>
      <c r="AB91" s="255" t="str">
        <f>'תקציב מינהל תפעול 2022'!AB91</f>
        <v>מימון מ. הפנים.</v>
      </c>
      <c r="AC91" s="3">
        <v>747000</v>
      </c>
    </row>
    <row r="92" spans="1:29" ht="30" customHeight="1">
      <c r="A92" s="3">
        <f t="shared" si="1"/>
        <v>88</v>
      </c>
      <c r="B92" s="3">
        <f>'תקציב מינהל תפעול 2022'!B92</f>
        <v>2225</v>
      </c>
      <c r="C92" s="255" t="str">
        <f>'תקציב מינהל תפעול 2022'!C92</f>
        <v>נגישות אקוסטית 2020 מ. החינוך</v>
      </c>
      <c r="D92" s="4">
        <f>'תקציב מינהל תפעול 2022'!D92</f>
        <v>150000</v>
      </c>
      <c r="E92" s="4">
        <f>'תקציב מינהל תפעול 2022'!E92</f>
        <v>150000</v>
      </c>
      <c r="F92" s="4">
        <f>'תקציב מינהל תפעול 2022'!F92</f>
        <v>0</v>
      </c>
      <c r="G92" s="4">
        <f>'תקציב מינהל תפעול 2022'!G92</f>
        <v>150000</v>
      </c>
      <c r="H92" s="4">
        <f>'תקציב מינהל תפעול 2022'!H92</f>
        <v>68711</v>
      </c>
      <c r="I92" s="4">
        <f>'תקציב מינהל תפעול 2022'!I92</f>
        <v>0</v>
      </c>
      <c r="J92" s="4">
        <f>'תקציב מינהל תפעול 2022'!J92</f>
        <v>0</v>
      </c>
      <c r="K92" s="4">
        <f>'תקציב מינהל תפעול 2022'!K92</f>
        <v>0</v>
      </c>
      <c r="L92" s="4">
        <f>'תקציב מינהל תפעול 2022'!L92</f>
        <v>68711</v>
      </c>
      <c r="M92" s="4">
        <f>'תקציב מינהל תפעול 2022'!M92</f>
        <v>81289</v>
      </c>
      <c r="N92" s="4">
        <f>'תקציב מינהל תפעול 2022'!N92</f>
        <v>0</v>
      </c>
      <c r="O92" s="4">
        <f>'תקציב מינהל תפעול 2022'!O92</f>
        <v>0</v>
      </c>
      <c r="P92" s="4">
        <f>'תקציב מינהל תפעול 2022'!P92</f>
        <v>81289</v>
      </c>
      <c r="Q92" s="4">
        <f>'תקציב מינהל תפעול 2022'!Q92</f>
        <v>0</v>
      </c>
      <c r="R92" s="4">
        <f>'תקציב מינהל תפעול 2022'!R92</f>
        <v>0</v>
      </c>
      <c r="S92" s="4">
        <f>'תקציב מינהל תפעול 2022'!S92</f>
        <v>0</v>
      </c>
      <c r="T92" s="4">
        <f>'תקציב מינהל תפעול 2022'!T92</f>
        <v>0</v>
      </c>
      <c r="U92" s="4">
        <f>'תקציב מינהל תפעול 2022'!U92</f>
        <v>0</v>
      </c>
      <c r="V92" s="4">
        <f>'תקציב מינהל תפעול 2022'!V92</f>
        <v>0</v>
      </c>
      <c r="W92" s="4">
        <f>'תקציב מינהל תפעול 2022'!W92</f>
        <v>0</v>
      </c>
      <c r="X92" s="4">
        <f>'תקציב מינהל תפעול 2022'!X92</f>
        <v>0</v>
      </c>
      <c r="Y92" s="4">
        <f>'תקציב מינהל תפעול 2022'!Y92</f>
        <v>0</v>
      </c>
      <c r="Z92" s="4">
        <f>'תקציב מינהל תפעול 2022'!Z92</f>
        <v>0</v>
      </c>
      <c r="AA92" s="4">
        <f>'תקציב מינהל תפעול 2022'!AA92</f>
        <v>0</v>
      </c>
      <c r="AB92" s="255" t="str">
        <f>'תקציב מינהל תפעול 2022'!AB92</f>
        <v>נגישות אקוסטית כיתות בי"ס . מימון מ.החינוך.</v>
      </c>
      <c r="AC92" s="3">
        <v>810000</v>
      </c>
    </row>
    <row r="93" spans="1:29" ht="30" customHeight="1">
      <c r="A93" s="3">
        <f t="shared" si="1"/>
        <v>89</v>
      </c>
      <c r="B93" s="3">
        <f>'תקציב מינהל תפעול 2022'!B93</f>
        <v>2226</v>
      </c>
      <c r="C93" s="255" t="str">
        <f>'תקציב מינהל תפעול 2022'!C93</f>
        <v>מיול וזיווד חופים 2020 מ.הפנים</v>
      </c>
      <c r="D93" s="4">
        <f>'תקציב מינהל תפעול 2022'!D93</f>
        <v>91304</v>
      </c>
      <c r="E93" s="4">
        <f>'תקציב מינהל תפעול 2022'!E93</f>
        <v>91304</v>
      </c>
      <c r="F93" s="4">
        <f>'תקציב מינהל תפעול 2022'!F93</f>
        <v>0</v>
      </c>
      <c r="G93" s="4">
        <f>'תקציב מינהל תפעול 2022'!G93</f>
        <v>91304</v>
      </c>
      <c r="H93" s="4">
        <f>'תקציב מינהל תפעול 2022'!H93</f>
        <v>0</v>
      </c>
      <c r="I93" s="4">
        <f>'תקציב מינהל תפעול 2022'!I93</f>
        <v>0</v>
      </c>
      <c r="J93" s="4">
        <f>'תקציב מינהל תפעול 2022'!J93</f>
        <v>91304</v>
      </c>
      <c r="K93" s="4">
        <f>'תקציב מינהל תפעול 2022'!K93</f>
        <v>91304</v>
      </c>
      <c r="L93" s="4">
        <f>'תקציב מינהל תפעול 2022'!L93</f>
        <v>91304</v>
      </c>
      <c r="M93" s="4">
        <f>'תקציב מינהל תפעול 2022'!M93</f>
        <v>0</v>
      </c>
      <c r="N93" s="4">
        <f>'תקציב מינהל תפעול 2022'!N93</f>
        <v>0</v>
      </c>
      <c r="O93" s="4">
        <f>'תקציב מינהל תפעול 2022'!O93</f>
        <v>0</v>
      </c>
      <c r="P93" s="4">
        <f>'תקציב מינהל תפעול 2022'!P93</f>
        <v>0</v>
      </c>
      <c r="Q93" s="4">
        <f>'תקציב מינהל תפעול 2022'!Q93</f>
        <v>0</v>
      </c>
      <c r="R93" s="4">
        <f>'תקציב מינהל תפעול 2022'!R93</f>
        <v>0</v>
      </c>
      <c r="S93" s="4">
        <f>'תקציב מינהל תפעול 2022'!S93</f>
        <v>0</v>
      </c>
      <c r="T93" s="4">
        <f>'תקציב מינהל תפעול 2022'!T93</f>
        <v>0</v>
      </c>
      <c r="U93" s="4">
        <f>'תקציב מינהל תפעול 2022'!U93</f>
        <v>0</v>
      </c>
      <c r="V93" s="4">
        <f>'תקציב מינהל תפעול 2022'!V93</f>
        <v>0</v>
      </c>
      <c r="W93" s="4">
        <f>'תקציב מינהל תפעול 2022'!W93</f>
        <v>0</v>
      </c>
      <c r="X93" s="4">
        <f>'תקציב מינהל תפעול 2022'!X93</f>
        <v>0</v>
      </c>
      <c r="Y93" s="4">
        <f>'תקציב מינהל תפעול 2022'!Y93</f>
        <v>0</v>
      </c>
      <c r="Z93" s="4">
        <f>'תקציב מינהל תפעול 2022'!Z93</f>
        <v>0</v>
      </c>
      <c r="AA93" s="4">
        <f>'תקציב מינהל תפעול 2022'!AA93</f>
        <v>0</v>
      </c>
      <c r="AB93" s="255" t="str">
        <f>'תקציב מינהל תפעול 2022'!AB93</f>
        <v>מימון מ. הפנים.</v>
      </c>
      <c r="AC93" s="3">
        <v>747000</v>
      </c>
    </row>
    <row r="94" spans="1:29" ht="60">
      <c r="A94" s="3">
        <f t="shared" si="1"/>
        <v>90</v>
      </c>
      <c r="B94" s="3">
        <f>'תקציב מינהל תפעול 2022'!B94</f>
        <v>2228</v>
      </c>
      <c r="C94" s="255" t="str">
        <f>'תקציב מינהל תפעול 2022'!C94</f>
        <v>עבודות תאורה תשתית האשל,שבטי מנשה,יהודה הלוי,שמואל הנגיד,אבן גבירול</v>
      </c>
      <c r="D94" s="4">
        <f>'תקציב מינהל תפעול 2022'!D94</f>
        <v>1700000</v>
      </c>
      <c r="E94" s="4">
        <f>'תקציב מינהל תפעול 2022'!E94</f>
        <v>1700000</v>
      </c>
      <c r="F94" s="4">
        <f>'תקציב מינהל תפעול 2022'!F94</f>
        <v>0</v>
      </c>
      <c r="G94" s="4">
        <f>'תקציב מינהל תפעול 2022'!G94</f>
        <v>1700000</v>
      </c>
      <c r="H94" s="4">
        <f>'תקציב מינהל תפעול 2022'!H94</f>
        <v>806754</v>
      </c>
      <c r="I94" s="4">
        <f>'תקציב מינהל תפעול 2022'!I94</f>
        <v>0</v>
      </c>
      <c r="J94" s="4">
        <f>'תקציב מינהל תפעול 2022'!J94</f>
        <v>893179</v>
      </c>
      <c r="K94" s="4">
        <f>'תקציב מינהל תפעול 2022'!K94</f>
        <v>893179</v>
      </c>
      <c r="L94" s="4">
        <f>'תקציב מינהל תפעול 2022'!L94</f>
        <v>1699933</v>
      </c>
      <c r="M94" s="4">
        <f>'תקציב מינהל תפעול 2022'!M94</f>
        <v>67</v>
      </c>
      <c r="N94" s="4">
        <f>'תקציב מינהל תפעול 2022'!N94</f>
        <v>0</v>
      </c>
      <c r="O94" s="4">
        <f>'תקציב מינהל תפעול 2022'!O94</f>
        <v>0</v>
      </c>
      <c r="P94" s="4">
        <f>'תקציב מינהל תפעול 2022'!P94</f>
        <v>67</v>
      </c>
      <c r="Q94" s="4">
        <f>'תקציב מינהל תפעול 2022'!Q94</f>
        <v>0</v>
      </c>
      <c r="R94" s="4">
        <f>'תקציב מינהל תפעול 2022'!R94</f>
        <v>0</v>
      </c>
      <c r="S94" s="4">
        <f>'תקציב מינהל תפעול 2022'!S94</f>
        <v>0</v>
      </c>
      <c r="T94" s="4">
        <f>'תקציב מינהל תפעול 2022'!T94</f>
        <v>0</v>
      </c>
      <c r="U94" s="4">
        <f>'תקציב מינהל תפעול 2022'!U94</f>
        <v>0</v>
      </c>
      <c r="V94" s="4">
        <f>'תקציב מינהל תפעול 2022'!V94</f>
        <v>0</v>
      </c>
      <c r="W94" s="4">
        <f>'תקציב מינהל תפעול 2022'!W94</f>
        <v>0</v>
      </c>
      <c r="X94" s="4">
        <f>'תקציב מינהל תפעול 2022'!X94</f>
        <v>0</v>
      </c>
      <c r="Y94" s="4">
        <f>'תקציב מינהל תפעול 2022'!Y94</f>
        <v>0</v>
      </c>
      <c r="Z94" s="4">
        <f>'תקציב מינהל תפעול 2022'!Z94</f>
        <v>0</v>
      </c>
      <c r="AA94" s="4">
        <f>'תקציב מינהל תפעול 2022'!AA94</f>
        <v>0</v>
      </c>
      <c r="AB94" s="255" t="str">
        <f>'תקציב מינהל תפעול 2022'!AB94</f>
        <v>עבודות תשתית ותאורה בעקבות עבודות ח"ח של הטמנת הרשת העילית.</v>
      </c>
      <c r="AC94" s="3">
        <v>742000</v>
      </c>
    </row>
    <row r="95" spans="1:29" ht="30" customHeight="1">
      <c r="A95" s="3">
        <f t="shared" si="1"/>
        <v>91</v>
      </c>
      <c r="B95" s="3">
        <f>'תקציב מינהל תפעול 2022'!B95</f>
        <v>2229</v>
      </c>
      <c r="C95" s="255" t="str">
        <f>'תקציב מינהל תפעול 2022'!C95</f>
        <v>התקנת תקרות אקוסטיות משרדי רווחה</v>
      </c>
      <c r="D95" s="4">
        <f>'תקציב מינהל תפעול 2022'!D95</f>
        <v>350000</v>
      </c>
      <c r="E95" s="4">
        <f>'תקציב מינהל תפעול 2022'!E95</f>
        <v>350000</v>
      </c>
      <c r="F95" s="4">
        <f>'תקציב מינהל תפעול 2022'!F95</f>
        <v>0</v>
      </c>
      <c r="G95" s="4">
        <f>'תקציב מינהל תפעול 2022'!G95</f>
        <v>350000</v>
      </c>
      <c r="H95" s="4">
        <f>'תקציב מינהל תפעול 2022'!H95</f>
        <v>0</v>
      </c>
      <c r="I95" s="4">
        <f>'תקציב מינהל תפעול 2022'!I95</f>
        <v>0</v>
      </c>
      <c r="J95" s="4">
        <f>'תקציב מינהל תפעול 2022'!J95</f>
        <v>0</v>
      </c>
      <c r="K95" s="4">
        <f>'תקציב מינהל תפעול 2022'!K95</f>
        <v>0</v>
      </c>
      <c r="L95" s="4">
        <f>'תקציב מינהל תפעול 2022'!L95</f>
        <v>0</v>
      </c>
      <c r="M95" s="4">
        <f>'תקציב מינהל תפעול 2022'!M95</f>
        <v>350000</v>
      </c>
      <c r="N95" s="4">
        <f>'תקציב מינהל תפעול 2022'!N95</f>
        <v>0</v>
      </c>
      <c r="O95" s="4">
        <f>'תקציב מינהל תפעול 2022'!O95</f>
        <v>0</v>
      </c>
      <c r="P95" s="4">
        <f>'תקציב מינהל תפעול 2022'!P95</f>
        <v>350000</v>
      </c>
      <c r="Q95" s="4">
        <f>'תקציב מינהל תפעול 2022'!Q95</f>
        <v>0</v>
      </c>
      <c r="R95" s="4">
        <f>'תקציב מינהל תפעול 2022'!R95</f>
        <v>0</v>
      </c>
      <c r="S95" s="4">
        <f>'תקציב מינהל תפעול 2022'!S95</f>
        <v>0</v>
      </c>
      <c r="T95" s="4">
        <f>'תקציב מינהל תפעול 2022'!T95</f>
        <v>0</v>
      </c>
      <c r="U95" s="4">
        <f>'תקציב מינהל תפעול 2022'!U95</f>
        <v>0</v>
      </c>
      <c r="V95" s="4">
        <f>'תקציב מינהל תפעול 2022'!V95</f>
        <v>0</v>
      </c>
      <c r="W95" s="4">
        <f>'תקציב מינהל תפעול 2022'!W95</f>
        <v>0</v>
      </c>
      <c r="X95" s="4">
        <f>'תקציב מינהל תפעול 2022'!X95</f>
        <v>0</v>
      </c>
      <c r="Y95" s="4">
        <f>'תקציב מינהל תפעול 2022'!Y95</f>
        <v>0</v>
      </c>
      <c r="Z95" s="4">
        <f>'תקציב מינהל תפעול 2022'!Z95</f>
        <v>0</v>
      </c>
      <c r="AA95" s="4">
        <f>'תקציב מינהל תפעול 2022'!AA95</f>
        <v>0</v>
      </c>
      <c r="AB95" s="255" t="str">
        <f>'תקציב מינהל תפעול 2022'!AB95</f>
        <v xml:space="preserve"> תקרות אקוסטיות אגף רווחה בן גוריון 14-16,קומה ב'.</v>
      </c>
      <c r="AC95" s="3">
        <v>930000</v>
      </c>
    </row>
    <row r="96" spans="1:29" ht="30" customHeight="1">
      <c r="A96" s="3">
        <f t="shared" si="1"/>
        <v>92</v>
      </c>
      <c r="B96" s="3">
        <f>'תקציב מינהל תפעול 2022'!B96</f>
        <v>2230</v>
      </c>
      <c r="C96" s="255" t="str">
        <f>'תקציב מינהל תפעול 2022'!C96</f>
        <v>שיפוץ בית הרמלין</v>
      </c>
      <c r="D96" s="4">
        <f>'תקציב מינהל תפעול 2022'!D96</f>
        <v>370000</v>
      </c>
      <c r="E96" s="4">
        <f>'תקציב מינהל תפעול 2022'!E96</f>
        <v>370000</v>
      </c>
      <c r="F96" s="4">
        <f>'תקציב מינהל תפעול 2022'!F96</f>
        <v>0</v>
      </c>
      <c r="G96" s="4">
        <f>'תקציב מינהל תפעול 2022'!G96</f>
        <v>370000</v>
      </c>
      <c r="H96" s="4">
        <f>'תקציב מינהל תפעול 2022'!H96</f>
        <v>220393</v>
      </c>
      <c r="I96" s="4">
        <f>'תקציב מינהל תפעול 2022'!I96</f>
        <v>0</v>
      </c>
      <c r="J96" s="4">
        <f>'תקציב מינהל תפעול 2022'!J96</f>
        <v>148297</v>
      </c>
      <c r="K96" s="4">
        <f>'תקציב מינהל תפעול 2022'!K96</f>
        <v>148297</v>
      </c>
      <c r="L96" s="4">
        <f>'תקציב מינהל תפעול 2022'!L96</f>
        <v>368690</v>
      </c>
      <c r="M96" s="4">
        <f>'תקציב מינהל תפעול 2022'!M96</f>
        <v>1310</v>
      </c>
      <c r="N96" s="4">
        <f>'תקציב מינהל תפעול 2022'!N96</f>
        <v>0</v>
      </c>
      <c r="O96" s="4">
        <f>'תקציב מינהל תפעול 2022'!O96</f>
        <v>0</v>
      </c>
      <c r="P96" s="4">
        <f>'תקציב מינהל תפעול 2022'!P96</f>
        <v>1310</v>
      </c>
      <c r="Q96" s="4">
        <f>'תקציב מינהל תפעול 2022'!Q96</f>
        <v>0</v>
      </c>
      <c r="R96" s="4">
        <f>'תקציב מינהל תפעול 2022'!R96</f>
        <v>0</v>
      </c>
      <c r="S96" s="4">
        <f>'תקציב מינהל תפעול 2022'!S96</f>
        <v>0</v>
      </c>
      <c r="T96" s="4">
        <f>'תקציב מינהל תפעול 2022'!T96</f>
        <v>0</v>
      </c>
      <c r="U96" s="4">
        <f>'תקציב מינהל תפעול 2022'!U96</f>
        <v>0</v>
      </c>
      <c r="V96" s="4">
        <f>'תקציב מינהל תפעול 2022'!V96</f>
        <v>0</v>
      </c>
      <c r="W96" s="4">
        <f>'תקציב מינהל תפעול 2022'!W96</f>
        <v>0</v>
      </c>
      <c r="X96" s="4">
        <f>'תקציב מינהל תפעול 2022'!X96</f>
        <v>0</v>
      </c>
      <c r="Y96" s="4">
        <f>'תקציב מינהל תפעול 2022'!Y96</f>
        <v>0</v>
      </c>
      <c r="Z96" s="4">
        <f>'תקציב מינהל תפעול 2022'!Z96</f>
        <v>0</v>
      </c>
      <c r="AA96" s="4">
        <f>'תקציב מינהל תפעול 2022'!AA96</f>
        <v>0</v>
      </c>
      <c r="AB96" s="255" t="str">
        <f>'תקציב מינהל תפעול 2022'!AB96</f>
        <v>אגף רווחה. הסבת אולם למעון יום של עמותת אלווין.</v>
      </c>
      <c r="AC96" s="3">
        <v>840000</v>
      </c>
    </row>
    <row r="97" spans="1:46" ht="30" customHeight="1">
      <c r="A97" s="3">
        <f t="shared" si="1"/>
        <v>93</v>
      </c>
      <c r="B97" s="3">
        <f>'תקציב מינהל תפעול 2022'!B97</f>
        <v>2234</v>
      </c>
      <c r="C97" s="255" t="str">
        <f>'תקציב מינהל תפעול 2022'!C97</f>
        <v>נגישות אקוסטית 2021 מ.החינוך</v>
      </c>
      <c r="D97" s="4">
        <f>'תקציב מינהל תפעול 2022'!D97</f>
        <v>270000</v>
      </c>
      <c r="E97" s="4">
        <f>'תקציב מינהל תפעול 2022'!E97</f>
        <v>270000</v>
      </c>
      <c r="F97" s="4">
        <f>'תקציב מינהל תפעול 2022'!F97</f>
        <v>0</v>
      </c>
      <c r="G97" s="4">
        <f>'תקציב מינהל תפעול 2022'!G97</f>
        <v>270000</v>
      </c>
      <c r="H97" s="4">
        <f>'תקציב מינהל תפעול 2022'!H97</f>
        <v>0</v>
      </c>
      <c r="I97" s="4">
        <f>'תקציב מינהל תפעול 2022'!I97</f>
        <v>0</v>
      </c>
      <c r="J97" s="4">
        <f>'תקציב מינהל תפעול 2022'!J97</f>
        <v>18552</v>
      </c>
      <c r="K97" s="4">
        <f>'תקציב מינהל תפעול 2022'!K97</f>
        <v>18552</v>
      </c>
      <c r="L97" s="4">
        <f>'תקציב מינהל תפעול 2022'!L97</f>
        <v>18552</v>
      </c>
      <c r="M97" s="4">
        <f>'תקציב מינהל תפעול 2022'!M97</f>
        <v>251448</v>
      </c>
      <c r="N97" s="4">
        <f>'תקציב מינהל תפעול 2022'!N97</f>
        <v>0</v>
      </c>
      <c r="O97" s="4">
        <f>'תקציב מינהל תפעול 2022'!O97</f>
        <v>0</v>
      </c>
      <c r="P97" s="4">
        <f>'תקציב מינהל תפעול 2022'!P97</f>
        <v>251448</v>
      </c>
      <c r="Q97" s="4">
        <f>'תקציב מינהל תפעול 2022'!Q97</f>
        <v>0</v>
      </c>
      <c r="R97" s="4">
        <f>'תקציב מינהל תפעול 2022'!R97</f>
        <v>0</v>
      </c>
      <c r="S97" s="4">
        <f>'תקציב מינהל תפעול 2022'!S97</f>
        <v>0</v>
      </c>
      <c r="T97" s="4">
        <f>'תקציב מינהל תפעול 2022'!T97</f>
        <v>0</v>
      </c>
      <c r="U97" s="4">
        <f>'תקציב מינהל תפעול 2022'!U97</f>
        <v>0</v>
      </c>
      <c r="V97" s="4">
        <f>'תקציב מינהל תפעול 2022'!V97</f>
        <v>0</v>
      </c>
      <c r="W97" s="4">
        <f>'תקציב מינהל תפעול 2022'!W97</f>
        <v>0</v>
      </c>
      <c r="X97" s="4">
        <f>'תקציב מינהל תפעול 2022'!X97</f>
        <v>0</v>
      </c>
      <c r="Y97" s="4">
        <f>'תקציב מינהל תפעול 2022'!Y97</f>
        <v>0</v>
      </c>
      <c r="Z97" s="4">
        <f>'תקציב מינהל תפעול 2022'!Z97</f>
        <v>0</v>
      </c>
      <c r="AA97" s="4">
        <f>'תקציב מינהל תפעול 2022'!AA97</f>
        <v>0</v>
      </c>
      <c r="AB97" s="255" t="str">
        <f>'תקציב מינהל תפעול 2022'!AB97</f>
        <v>נגישות אקוסטית 9 כיתות. מימון מ. החינוך.</v>
      </c>
      <c r="AC97" s="3">
        <v>810000</v>
      </c>
    </row>
    <row r="98" spans="1:46" ht="30" customHeight="1">
      <c r="A98" s="3">
        <f t="shared" si="1"/>
        <v>94</v>
      </c>
      <c r="B98" s="3">
        <f>'תקציב מינהל תפעול 2022'!B98</f>
        <v>2235</v>
      </c>
      <c r="C98" s="255" t="str">
        <f>'תקציב מינהל תפעול 2022'!C98</f>
        <v>הקמת מבנים יבילים חדשים באיצטדיון</v>
      </c>
      <c r="D98" s="4">
        <f>'תקציב מינהל תפעול 2022'!D98</f>
        <v>1400000</v>
      </c>
      <c r="E98" s="4">
        <f>'תקציב מינהל תפעול 2022'!E98</f>
        <v>1400000</v>
      </c>
      <c r="F98" s="4">
        <f>'תקציב מינהל תפעול 2022'!F98</f>
        <v>0</v>
      </c>
      <c r="G98" s="4">
        <f>'תקציב מינהל תפעול 2022'!G98</f>
        <v>1400000</v>
      </c>
      <c r="H98" s="4">
        <f>'תקציב מינהל תפעול 2022'!H98</f>
        <v>11249</v>
      </c>
      <c r="I98" s="4">
        <f>'תקציב מינהל תפעול 2022'!I98</f>
        <v>0</v>
      </c>
      <c r="J98" s="4">
        <f>'תקציב מינהל תפעול 2022'!J98</f>
        <v>19873</v>
      </c>
      <c r="K98" s="4">
        <f>'תקציב מינהל תפעול 2022'!K98</f>
        <v>19873</v>
      </c>
      <c r="L98" s="4">
        <f>'תקציב מינהל תפעול 2022'!L98</f>
        <v>31122</v>
      </c>
      <c r="M98" s="4">
        <f>'תקציב מינהל תפעול 2022'!M98</f>
        <v>1368878</v>
      </c>
      <c r="N98" s="4">
        <f>'תקציב מינהל תפעול 2022'!N98</f>
        <v>0</v>
      </c>
      <c r="O98" s="4">
        <f>'תקציב מינהל תפעול 2022'!O98</f>
        <v>0</v>
      </c>
      <c r="P98" s="4">
        <f>'תקציב מינהל תפעול 2022'!P98</f>
        <v>1368878</v>
      </c>
      <c r="Q98" s="4">
        <f>'תקציב מינהל תפעול 2022'!Q98</f>
        <v>0</v>
      </c>
      <c r="R98" s="4">
        <f>'תקציב מינהל תפעול 2022'!R98</f>
        <v>0</v>
      </c>
      <c r="S98" s="4">
        <f>'תקציב מינהל תפעול 2022'!S98</f>
        <v>0</v>
      </c>
      <c r="T98" s="4">
        <f>'תקציב מינהל תפעול 2022'!T98</f>
        <v>0</v>
      </c>
      <c r="U98" s="4">
        <f>'תקציב מינהל תפעול 2022'!U98</f>
        <v>0</v>
      </c>
      <c r="V98" s="4">
        <f>'תקציב מינהל תפעול 2022'!V98</f>
        <v>0</v>
      </c>
      <c r="W98" s="4">
        <f>'תקציב מינהל תפעול 2022'!W98</f>
        <v>0</v>
      </c>
      <c r="X98" s="4">
        <f>'תקציב מינהל תפעול 2022'!X98</f>
        <v>0</v>
      </c>
      <c r="Y98" s="4">
        <f>'תקציב מינהל תפעול 2022'!Y98</f>
        <v>0</v>
      </c>
      <c r="Z98" s="4">
        <f>'תקציב מינהל תפעול 2022'!Z98</f>
        <v>0</v>
      </c>
      <c r="AA98" s="4">
        <f>'תקציב מינהל תפעול 2022'!AA98</f>
        <v>0</v>
      </c>
      <c r="AB98" s="255" t="str">
        <f>'תקציב מינהל תפעול 2022'!AB98</f>
        <v xml:space="preserve"> הקמת 3 מבנים יבילים  באיצטדיון כולל תשתיות ופיתוח דרכי גישה.</v>
      </c>
      <c r="AC98" s="3">
        <v>829000</v>
      </c>
    </row>
    <row r="99" spans="1:46" ht="30" customHeight="1">
      <c r="A99" s="3">
        <f t="shared" si="1"/>
        <v>95</v>
      </c>
      <c r="B99" s="3">
        <f>'תקציב מינהל תפעול 2022'!B99</f>
        <v>2236</v>
      </c>
      <c r="C99" s="255" t="str">
        <f>'תקציב מינהל תפעול 2022'!C99</f>
        <v>נגישות אקוסטית 2021 מ.החינוך</v>
      </c>
      <c r="D99" s="4">
        <f>'תקציב מינהל תפעול 2022'!D99</f>
        <v>180000</v>
      </c>
      <c r="E99" s="4">
        <f>'תקציב מינהל תפעול 2022'!E99</f>
        <v>150000</v>
      </c>
      <c r="F99" s="4">
        <f>'תקציב מינהל תפעול 2022'!F99</f>
        <v>30000</v>
      </c>
      <c r="G99" s="4">
        <f>'תקציב מינהל תפעול 2022'!G99</f>
        <v>150000</v>
      </c>
      <c r="H99" s="4">
        <f>'תקציב מינהל תפעול 2022'!H99</f>
        <v>0</v>
      </c>
      <c r="I99" s="4">
        <f>'תקציב מינהל תפעול 2022'!I99</f>
        <v>0</v>
      </c>
      <c r="J99" s="4">
        <f>'תקציב מינהל תפעול 2022'!J99</f>
        <v>4638</v>
      </c>
      <c r="K99" s="4">
        <f>'תקציב מינהל תפעול 2022'!K99</f>
        <v>4638</v>
      </c>
      <c r="L99" s="4">
        <f>'תקציב מינהל תפעול 2022'!L99</f>
        <v>4638</v>
      </c>
      <c r="M99" s="4">
        <f>'תקציב מינהל תפעול 2022'!M99</f>
        <v>145362</v>
      </c>
      <c r="N99" s="4">
        <f>'תקציב מינהל תפעול 2022'!N99</f>
        <v>30000</v>
      </c>
      <c r="O99" s="4">
        <f>'תקציב מינהל תפעול 2022'!O99</f>
        <v>0</v>
      </c>
      <c r="P99" s="4">
        <f>'תקציב מינהל תפעול 2022'!P99</f>
        <v>145362</v>
      </c>
      <c r="Q99" s="4">
        <f>'תקציב מינהל תפעול 2022'!Q99</f>
        <v>0</v>
      </c>
      <c r="R99" s="4">
        <f>'תקציב מינהל תפעול 2022'!R99</f>
        <v>0</v>
      </c>
      <c r="S99" s="4">
        <f>'תקציב מינהל תפעול 2022'!S99</f>
        <v>0</v>
      </c>
      <c r="T99" s="4">
        <f>'תקציב מינהל תפעול 2022'!T99</f>
        <v>0</v>
      </c>
      <c r="U99" s="4">
        <f>'תקציב מינהל תפעול 2022'!U99</f>
        <v>30000</v>
      </c>
      <c r="V99" s="4">
        <f>'תקציב מינהל תפעול 2022'!V99</f>
        <v>0</v>
      </c>
      <c r="W99" s="4">
        <f>'תקציב מינהל תפעול 2022'!W99</f>
        <v>0</v>
      </c>
      <c r="X99" s="4">
        <f>'תקציב מינהל תפעול 2022'!X99</f>
        <v>0</v>
      </c>
      <c r="Y99" s="4">
        <f>'תקציב מינהל תפעול 2022'!Y99</f>
        <v>0</v>
      </c>
      <c r="Z99" s="4">
        <f>'תקציב מינהל תפעול 2022'!Z99</f>
        <v>0</v>
      </c>
      <c r="AA99" s="4">
        <f>'תקציב מינהל תפעול 2022'!AA99</f>
        <v>30000</v>
      </c>
      <c r="AB99" s="255" t="str">
        <f>'תקציב מינהל תפעול 2022'!AB99</f>
        <v>נגישות אקוסטית .מימון מ. החינוך. 2022 : תיכון ראשונים.</v>
      </c>
      <c r="AC99" s="3">
        <v>810000</v>
      </c>
    </row>
    <row r="100" spans="1:46" ht="30" customHeight="1">
      <c r="A100" s="3">
        <f t="shared" si="1"/>
        <v>96</v>
      </c>
      <c r="B100" s="3">
        <f>'תקציב מינהל תפעול 2022'!B100</f>
        <v>2237</v>
      </c>
      <c r="C100" s="255" t="str">
        <f>'תקציב מינהל תפעול 2022'!C100</f>
        <v>הקמת קירות תמך ברחבי העיר</v>
      </c>
      <c r="D100" s="4">
        <f>'תקציב מינהל תפעול 2022'!D100</f>
        <v>1700000</v>
      </c>
      <c r="E100" s="4">
        <f>'תקציב מינהל תפעול 2022'!E100</f>
        <v>1700000</v>
      </c>
      <c r="F100" s="4">
        <f>'תקציב מינהל תפעול 2022'!F100</f>
        <v>0</v>
      </c>
      <c r="G100" s="4">
        <f>'תקציב מינהל תפעול 2022'!G100</f>
        <v>600000</v>
      </c>
      <c r="H100" s="4">
        <f>'תקציב מינהל תפעול 2022'!H100</f>
        <v>0</v>
      </c>
      <c r="I100" s="4">
        <f>'תקציב מינהל תפעול 2022'!I100</f>
        <v>0</v>
      </c>
      <c r="J100" s="4">
        <f>'תקציב מינהל תפעול 2022'!J100</f>
        <v>0</v>
      </c>
      <c r="K100" s="4">
        <f>'תקציב מינהל תפעול 2022'!K100</f>
        <v>0</v>
      </c>
      <c r="L100" s="4">
        <f>'תקציב מינהל תפעול 2022'!L100</f>
        <v>0</v>
      </c>
      <c r="M100" s="4">
        <f>'תקציב מינהל תפעול 2022'!M100</f>
        <v>600000</v>
      </c>
      <c r="N100" s="4">
        <f>'תקציב מינהל תפעול 2022'!N100</f>
        <v>1100000</v>
      </c>
      <c r="O100" s="4">
        <f>'תקציב מינהל תפעול 2022'!O100</f>
        <v>0</v>
      </c>
      <c r="P100" s="4">
        <f>'תקציב מינהל תפעול 2022'!P100</f>
        <v>600000</v>
      </c>
      <c r="Q100" s="4">
        <f>'תקציב מינהל תפעול 2022'!Q100</f>
        <v>0</v>
      </c>
      <c r="R100" s="4">
        <f>'תקציב מינהל תפעול 2022'!R100</f>
        <v>0</v>
      </c>
      <c r="S100" s="4">
        <f>'תקציב מינהל תפעול 2022'!S100</f>
        <v>0</v>
      </c>
      <c r="T100" s="4">
        <f>'תקציב מינהל תפעול 2022'!T100</f>
        <v>0</v>
      </c>
      <c r="U100" s="4">
        <f>'תקציב מינהל תפעול 2022'!U100</f>
        <v>1100000</v>
      </c>
      <c r="V100" s="4">
        <f>'תקציב מינהל תפעול 2022'!V100</f>
        <v>1100000</v>
      </c>
      <c r="W100" s="4">
        <f>'תקציב מינהל תפעול 2022'!W100</f>
        <v>0</v>
      </c>
      <c r="X100" s="4">
        <f>'תקציב מינהל תפעול 2022'!X100</f>
        <v>0</v>
      </c>
      <c r="Y100" s="4">
        <f>'תקציב מינהל תפעול 2022'!Y100</f>
        <v>0</v>
      </c>
      <c r="Z100" s="4">
        <f>'תקציב מינהל תפעול 2022'!Z100</f>
        <v>0</v>
      </c>
      <c r="AA100" s="4">
        <f>'תקציב מינהל תפעול 2022'!AA100</f>
        <v>0</v>
      </c>
      <c r="AB100" s="255" t="str">
        <f>'תקציב מינהל תפעול 2022'!AB100</f>
        <v>הקמת קירות תמך עקב בעיות בטיחות במרחב הציבורי</v>
      </c>
      <c r="AC100" s="3">
        <v>742000</v>
      </c>
    </row>
    <row r="101" spans="1:46" ht="30" customHeight="1">
      <c r="A101" s="3">
        <f t="shared" si="1"/>
        <v>97</v>
      </c>
      <c r="B101" s="3">
        <f>'תקציב מינהל תפעול 2022'!B101</f>
        <v>2238</v>
      </c>
      <c r="C101" s="255" t="str">
        <f>'תקציב מינהל תפעול 2022'!C101</f>
        <v>הגנת מצוקי הים</v>
      </c>
      <c r="D101" s="4">
        <f>'תקציב מינהל תפעול 2022'!D101</f>
        <v>5100000</v>
      </c>
      <c r="E101" s="4">
        <f>'תקציב מינהל תפעול 2022'!E101</f>
        <v>3100000</v>
      </c>
      <c r="F101" s="4">
        <f>'תקציב מינהל תפעול 2022'!F101</f>
        <v>2000000</v>
      </c>
      <c r="G101" s="4">
        <f>'תקציב מינהל תפעול 2022'!G101</f>
        <v>3100000</v>
      </c>
      <c r="H101" s="4">
        <f>'תקציב מינהל תפעול 2022'!H101</f>
        <v>561258</v>
      </c>
      <c r="I101" s="4">
        <f>'תקציב מינהל תפעול 2022'!I101</f>
        <v>0</v>
      </c>
      <c r="J101" s="4">
        <f>'תקציב מינהל תפעול 2022'!J101</f>
        <v>560353</v>
      </c>
      <c r="K101" s="4">
        <f>'תקציב מינהל תפעול 2022'!K101</f>
        <v>560353</v>
      </c>
      <c r="L101" s="4">
        <f>'תקציב מינהל תפעול 2022'!L101</f>
        <v>1121611</v>
      </c>
      <c r="M101" s="4">
        <f>'תקציב מינהל תפעול 2022'!M101</f>
        <v>1978389</v>
      </c>
      <c r="N101" s="4">
        <f>'תקציב מינהל תפעול 2022'!N101</f>
        <v>2000000</v>
      </c>
      <c r="O101" s="4">
        <f>'תקציב מינהל תפעול 2022'!O101</f>
        <v>0</v>
      </c>
      <c r="P101" s="4">
        <f>'תקציב מינהל תפעול 2022'!P101</f>
        <v>1978389</v>
      </c>
      <c r="Q101" s="4">
        <f>'תקציב מינהל תפעול 2022'!Q101</f>
        <v>0</v>
      </c>
      <c r="R101" s="4">
        <f>'תקציב מינהל תפעול 2022'!R101</f>
        <v>0</v>
      </c>
      <c r="S101" s="4">
        <f>'תקציב מינהל תפעול 2022'!S101</f>
        <v>0</v>
      </c>
      <c r="T101" s="4">
        <f>'תקציב מינהל תפעול 2022'!T101</f>
        <v>0</v>
      </c>
      <c r="U101" s="4">
        <f>'תקציב מינהל תפעול 2022'!U101</f>
        <v>2000000</v>
      </c>
      <c r="V101" s="4">
        <f>'תקציב מינהל תפעול 2022'!V101</f>
        <v>2000000</v>
      </c>
      <c r="W101" s="4">
        <f>'תקציב מינהל תפעול 2022'!W101</f>
        <v>0</v>
      </c>
      <c r="X101" s="4">
        <f>'תקציב מינהל תפעול 2022'!X101</f>
        <v>0</v>
      </c>
      <c r="Y101" s="4">
        <f>'תקציב מינהל תפעול 2022'!Y101</f>
        <v>0</v>
      </c>
      <c r="Z101" s="4">
        <f>'תקציב מינהל תפעול 2022'!Z101</f>
        <v>0</v>
      </c>
      <c r="AA101" s="4">
        <f>'תקציב מינהל תפעול 2022'!AA101</f>
        <v>0</v>
      </c>
      <c r="AB101" s="255" t="str">
        <f>'תקציב מינהל תפעול 2022'!AB101</f>
        <v>עבודות עפר,בטיחות וגידור לטיפול במצוקים בחופי הים</v>
      </c>
      <c r="AC101" s="3">
        <v>747000</v>
      </c>
    </row>
    <row r="102" spans="1:46" ht="60">
      <c r="A102" s="3">
        <f t="shared" si="1"/>
        <v>98</v>
      </c>
      <c r="B102" s="3">
        <f>'תקציב מינהל תפעול 2022'!B102</f>
        <v>2239</v>
      </c>
      <c r="C102" s="255" t="str">
        <f>'תקציב מינהל תפעול 2022'!C102</f>
        <v>מתיחת פנים בנווה עמל</v>
      </c>
      <c r="D102" s="4">
        <f>'תקציב מינהל תפעול 2022'!D102</f>
        <v>30000000</v>
      </c>
      <c r="E102" s="4">
        <f>'תקציב מינהל תפעול 2022'!E102</f>
        <v>4700000</v>
      </c>
      <c r="F102" s="4">
        <f>'תקציב מינהל תפעול 2022'!F102</f>
        <v>25300000</v>
      </c>
      <c r="G102" s="4">
        <f>'תקציב מינהל תפעול 2022'!G102</f>
        <v>0</v>
      </c>
      <c r="H102" s="4">
        <f>'תקציב מינהל תפעול 2022'!H102</f>
        <v>0</v>
      </c>
      <c r="I102" s="4">
        <f>'תקציב מינהל תפעול 2022'!I102</f>
        <v>0</v>
      </c>
      <c r="J102" s="4">
        <f>'תקציב מינהל תפעול 2022'!J102</f>
        <v>0</v>
      </c>
      <c r="K102" s="4">
        <f>'תקציב מינהל תפעול 2022'!K102</f>
        <v>0</v>
      </c>
      <c r="L102" s="4">
        <f>'תקציב מינהל תפעול 2022'!L102</f>
        <v>0</v>
      </c>
      <c r="M102" s="4">
        <f>'תקציב מינהל תפעול 2022'!M102</f>
        <v>2000000</v>
      </c>
      <c r="N102" s="4">
        <f>'תקציב מינהל תפעול 2022'!N102</f>
        <v>1500000</v>
      </c>
      <c r="O102" s="4">
        <f>'תקציב מינהל תפעול 2022'!O102</f>
        <v>26500000</v>
      </c>
      <c r="P102" s="4">
        <f>'תקציב מינהל תפעול 2022'!P102</f>
        <v>0</v>
      </c>
      <c r="Q102" s="4">
        <f>'תקציב מינהל תפעול 2022'!Q102</f>
        <v>0</v>
      </c>
      <c r="R102" s="4">
        <f>'תקציב מינהל תפעול 2022'!R102</f>
        <v>2000000</v>
      </c>
      <c r="S102" s="4">
        <f>'תקציב מינהל תפעול 2022'!S102</f>
        <v>2000000</v>
      </c>
      <c r="T102" s="4">
        <f>'תקציב מינהל תפעול 2022'!T102</f>
        <v>0</v>
      </c>
      <c r="U102" s="4">
        <f>'תקציב מינהל תפעול 2022'!U102</f>
        <v>1500000</v>
      </c>
      <c r="V102" s="4">
        <f>'תקציב מינהל תפעול 2022'!V102</f>
        <v>1500000</v>
      </c>
      <c r="W102" s="4">
        <f>'תקציב מינהל תפעול 2022'!W102</f>
        <v>0</v>
      </c>
      <c r="X102" s="4">
        <f>'תקציב מינהל תפעול 2022'!X102</f>
        <v>0</v>
      </c>
      <c r="Y102" s="4">
        <f>'תקציב מינהל תפעול 2022'!Y102</f>
        <v>0</v>
      </c>
      <c r="Z102" s="4">
        <f>'תקציב מינהל תפעול 2022'!Z102</f>
        <v>0</v>
      </c>
      <c r="AA102" s="4">
        <f>'תקציב מינהל תפעול 2022'!AA102</f>
        <v>0</v>
      </c>
      <c r="AB102" s="255" t="str">
        <f>'תקציב מינהל תפעול 2022'!AB102</f>
        <v>שדרוג שכונת נווה עמל כולל: כבישים, מפרצי חנייה, מדרכות, גינון, תאורה, שילוט וריהוט רחוב.</v>
      </c>
      <c r="AC102" s="3">
        <v>742000</v>
      </c>
    </row>
    <row r="103" spans="1:46" s="464" customFormat="1" ht="45">
      <c r="A103" s="3">
        <f t="shared" si="1"/>
        <v>99</v>
      </c>
      <c r="B103" s="3">
        <f>'תקציב מינהל תפעול 2022'!B103</f>
        <v>2240</v>
      </c>
      <c r="C103" s="255" t="str">
        <f>'תקציב מינהל תפעול 2022'!C103</f>
        <v>מערכת מבוססת מצלמות לאכיפת חניה ונתצים</v>
      </c>
      <c r="D103" s="4">
        <f>'תקציב מינהל תפעול 2022'!D103</f>
        <v>13200000</v>
      </c>
      <c r="E103" s="4">
        <f>'תקציב מינהל תפעול 2022'!E103</f>
        <v>9000000</v>
      </c>
      <c r="F103" s="4">
        <f>'תקציב מינהל תפעול 2022'!F103</f>
        <v>4200000</v>
      </c>
      <c r="G103" s="4">
        <f>'תקציב מינהל תפעול 2022'!G103</f>
        <v>0</v>
      </c>
      <c r="H103" s="4">
        <f>'תקציב מינהל תפעול 2022'!H103</f>
        <v>0</v>
      </c>
      <c r="I103" s="4">
        <f>'תקציב מינהל תפעול 2022'!I103</f>
        <v>0</v>
      </c>
      <c r="J103" s="4">
        <f>'תקציב מינהל תפעול 2022'!J103</f>
        <v>0</v>
      </c>
      <c r="K103" s="4">
        <f>'תקציב מינהל תפעול 2022'!K103</f>
        <v>0</v>
      </c>
      <c r="L103" s="4">
        <f>'תקציב מינהל תפעול 2022'!L103</f>
        <v>0</v>
      </c>
      <c r="M103" s="4">
        <f>'תקציב מינהל תפעול 2022'!M103</f>
        <v>100000</v>
      </c>
      <c r="N103" s="4">
        <f>'תקציב מינהל תפעול 2022'!N103</f>
        <v>6200000</v>
      </c>
      <c r="O103" s="4">
        <f>'תקציב מינהל תפעול 2022'!O103</f>
        <v>6900000</v>
      </c>
      <c r="P103" s="4">
        <f>'תקציב מינהל תפעול 2022'!P103</f>
        <v>0</v>
      </c>
      <c r="Q103" s="4">
        <f>'תקציב מינהל תפעול 2022'!Q103</f>
        <v>0</v>
      </c>
      <c r="R103" s="4">
        <f>'תקציב מינהל תפעול 2022'!R103</f>
        <v>100000</v>
      </c>
      <c r="S103" s="4">
        <f>'תקציב מינהל תפעול 2022'!S103</f>
        <v>100000</v>
      </c>
      <c r="T103" s="4">
        <f>'תקציב מינהל תפעול 2022'!T103</f>
        <v>0</v>
      </c>
      <c r="U103" s="4">
        <f>'תקציב מינהל תפעול 2022'!U103</f>
        <v>6200000</v>
      </c>
      <c r="V103" s="4">
        <f>'תקציב מינהל תפעול 2022'!V103</f>
        <v>2800000</v>
      </c>
      <c r="W103" s="4">
        <f>'תקציב מינהל תפעול 2022'!W103</f>
        <v>0</v>
      </c>
      <c r="X103" s="4">
        <f>'תקציב מינהל תפעול 2022'!X103</f>
        <v>0</v>
      </c>
      <c r="Y103" s="4">
        <f>'תקציב מינהל תפעול 2022'!Y103</f>
        <v>0</v>
      </c>
      <c r="Z103" s="4">
        <f>'תקציב מינהל תפעול 2022'!Z103</f>
        <v>0</v>
      </c>
      <c r="AA103" s="4">
        <f>'תקציב מינהל תפעול 2022'!AA103</f>
        <v>3400000</v>
      </c>
      <c r="AB103" s="255" t="str">
        <f>'תקציב מינהל תפעול 2022'!AB103</f>
        <v>מערכת מבוססת מצלמות לאכיפת החנייה והנת"צים ברחבי העיר. מימון מ. התחבורה.</v>
      </c>
      <c r="AC103" s="3">
        <v>720000</v>
      </c>
      <c r="AD103" s="462"/>
      <c r="AE103" s="462"/>
      <c r="AF103" s="462"/>
      <c r="AG103" s="462"/>
      <c r="AH103" s="462"/>
      <c r="AI103" s="462"/>
      <c r="AJ103" s="462"/>
      <c r="AK103" s="462"/>
      <c r="AL103" s="462"/>
      <c r="AM103" s="462"/>
      <c r="AN103" s="462"/>
      <c r="AO103" s="462"/>
      <c r="AP103" s="462"/>
      <c r="AQ103" s="462"/>
      <c r="AR103" s="462"/>
      <c r="AS103" s="462"/>
      <c r="AT103" s="462"/>
    </row>
    <row r="104" spans="1:46" ht="45">
      <c r="A104" s="3">
        <f t="shared" si="1"/>
        <v>100</v>
      </c>
      <c r="B104" s="3">
        <f>'תקציב מינהל תפעול 2022'!B104</f>
        <v>2241</v>
      </c>
      <c r="C104" s="255" t="str">
        <f>'תקציב מינהל תפעול 2022'!C104</f>
        <v>שיפוץ מטבחים במוסדות רווחה</v>
      </c>
      <c r="D104" s="4">
        <f>'תקציב מינהל תפעול 2022'!D104</f>
        <v>600000</v>
      </c>
      <c r="E104" s="4">
        <f>'תקציב מינהל תפעול 2022'!E104</f>
        <v>600000</v>
      </c>
      <c r="F104" s="4">
        <f>'תקציב מינהל תפעול 2022'!F104</f>
        <v>0</v>
      </c>
      <c r="G104" s="4">
        <f>'תקציב מינהל תפעול 2022'!G104</f>
        <v>0</v>
      </c>
      <c r="H104" s="4">
        <f>'תקציב מינהל תפעול 2022'!H104</f>
        <v>0</v>
      </c>
      <c r="I104" s="4">
        <f>'תקציב מינהל תפעול 2022'!I104</f>
        <v>0</v>
      </c>
      <c r="J104" s="4">
        <f>'תקציב מינהל תפעול 2022'!J104</f>
        <v>0</v>
      </c>
      <c r="K104" s="4">
        <f>'תקציב מינהל תפעול 2022'!K104</f>
        <v>0</v>
      </c>
      <c r="L104" s="4">
        <f>'תקציב מינהל תפעול 2022'!L104</f>
        <v>0</v>
      </c>
      <c r="M104" s="4">
        <f>'תקציב מינהל תפעול 2022'!M104</f>
        <v>200000</v>
      </c>
      <c r="N104" s="4">
        <f>'תקציב מינהל תפעול 2022'!N104</f>
        <v>400000</v>
      </c>
      <c r="O104" s="4">
        <f>'תקציב מינהל תפעול 2022'!O104</f>
        <v>0</v>
      </c>
      <c r="P104" s="4">
        <f>'תקציב מינהל תפעול 2022'!P104</f>
        <v>0</v>
      </c>
      <c r="Q104" s="4">
        <f>'תקציב מינהל תפעול 2022'!Q104</f>
        <v>0</v>
      </c>
      <c r="R104" s="4">
        <f>'תקציב מינהל תפעול 2022'!R104</f>
        <v>200000</v>
      </c>
      <c r="S104" s="4">
        <f>'תקציב מינהל תפעול 2022'!S104</f>
        <v>200000</v>
      </c>
      <c r="T104" s="4">
        <f>'תקציב מינהל תפעול 2022'!T104</f>
        <v>0</v>
      </c>
      <c r="U104" s="4">
        <f>'תקציב מינהל תפעול 2022'!U104</f>
        <v>400000</v>
      </c>
      <c r="V104" s="4">
        <f>'תקציב מינהל תפעול 2022'!V104</f>
        <v>300000</v>
      </c>
      <c r="W104" s="4">
        <f>'תקציב מינהל תפעול 2022'!W104</f>
        <v>100000</v>
      </c>
      <c r="X104" s="4">
        <f>'תקציב מינהל תפעול 2022'!X104</f>
        <v>0</v>
      </c>
      <c r="Y104" s="4">
        <f>'תקציב מינהל תפעול 2022'!Y104</f>
        <v>0</v>
      </c>
      <c r="Z104" s="4">
        <f>'תקציב מינהל תפעול 2022'!Z104</f>
        <v>0</v>
      </c>
      <c r="AA104" s="4">
        <f>'תקציב מינהל תפעול 2022'!AA104</f>
        <v>0</v>
      </c>
      <c r="AB104" s="255" t="str">
        <f>'תקציב מינהל תפעול 2022'!AB104</f>
        <v>שיפוץ מטבחים במוסדות רווחה שונים, הצטיידות תתוקצב ע"י אגף הרווחה.</v>
      </c>
      <c r="AC104" s="3">
        <v>840000</v>
      </c>
    </row>
    <row r="105" spans="1:46" ht="30" customHeight="1">
      <c r="A105" s="3">
        <f t="shared" si="1"/>
        <v>101</v>
      </c>
      <c r="B105" s="3">
        <f>'תקציב מינהל תפעול 2022'!B105</f>
        <v>20019</v>
      </c>
      <c r="C105" s="255" t="str">
        <f>'תקציב מינהל תפעול 2022'!C105</f>
        <v>תוכנית הערכות לשינויי האקלים</v>
      </c>
      <c r="D105" s="4">
        <f>'תקציב מינהל תפעול 2022'!D105</f>
        <v>100000</v>
      </c>
      <c r="E105" s="4">
        <f>'תקציב מינהל תפעול 2022'!E105</f>
        <v>0</v>
      </c>
      <c r="F105" s="4">
        <f>'תקציב מינהל תפעול 2022'!F105</f>
        <v>100000</v>
      </c>
      <c r="G105" s="4">
        <f>'תקציב מינהל תפעול 2022'!G105</f>
        <v>0</v>
      </c>
      <c r="H105" s="4">
        <f>'תקציב מינהל תפעול 2022'!H105</f>
        <v>0</v>
      </c>
      <c r="I105" s="4">
        <f>'תקציב מינהל תפעול 2022'!I105</f>
        <v>0</v>
      </c>
      <c r="J105" s="4">
        <f>'תקציב מינהל תפעול 2022'!J105</f>
        <v>0</v>
      </c>
      <c r="K105" s="4">
        <f>'תקציב מינהל תפעול 2022'!K105</f>
        <v>0</v>
      </c>
      <c r="L105" s="4">
        <f>'תקציב מינהל תפעול 2022'!L105</f>
        <v>0</v>
      </c>
      <c r="M105" s="4">
        <f>'תקציב מינהל תפעול 2022'!M105</f>
        <v>0</v>
      </c>
      <c r="N105" s="4">
        <f>'תקציב מינהל תפעול 2022'!N105</f>
        <v>100000</v>
      </c>
      <c r="O105" s="4">
        <f>'תקציב מינהל תפעול 2022'!O105</f>
        <v>0</v>
      </c>
      <c r="P105" s="4">
        <f>'תקציב מינהל תפעול 2022'!P105</f>
        <v>0</v>
      </c>
      <c r="Q105" s="4">
        <f>'תקציב מינהל תפעול 2022'!Q105</f>
        <v>0</v>
      </c>
      <c r="R105" s="4">
        <f>'תקציב מינהל תפעול 2022'!R105</f>
        <v>0</v>
      </c>
      <c r="S105" s="4">
        <f>'תקציב מינהל תפעול 2022'!S105</f>
        <v>0</v>
      </c>
      <c r="T105" s="4">
        <f>'תקציב מינהל תפעול 2022'!T105</f>
        <v>0</v>
      </c>
      <c r="U105" s="4">
        <f>'תקציב מינהל תפעול 2022'!U105</f>
        <v>100000</v>
      </c>
      <c r="V105" s="4">
        <f>'תקציב מינהל תפעול 2022'!V105</f>
        <v>0</v>
      </c>
      <c r="W105" s="4">
        <f>'תקציב מינהל תפעול 2022'!W105</f>
        <v>100000</v>
      </c>
      <c r="X105" s="4">
        <f>'תקציב מינהל תפעול 2022'!X105</f>
        <v>0</v>
      </c>
      <c r="Y105" s="4">
        <f>'תקציב מינהל תפעול 2022'!Y105</f>
        <v>0</v>
      </c>
      <c r="Z105" s="4">
        <f>'תקציב מינהל תפעול 2022'!Z105</f>
        <v>0</v>
      </c>
      <c r="AA105" s="4">
        <f>'תקציב מינהל תפעול 2022'!AA105</f>
        <v>0</v>
      </c>
      <c r="AB105" s="255" t="str">
        <f>'תקציב מינהל תפעול 2022'!AB105</f>
        <v>הכנת תוכנית היערכות לשינויי האקלים הכוללת יועצים.</v>
      </c>
      <c r="AC105" s="3">
        <v>870000</v>
      </c>
    </row>
    <row r="106" spans="1:46" ht="60">
      <c r="A106" s="3">
        <f t="shared" si="1"/>
        <v>102</v>
      </c>
      <c r="B106" s="3">
        <f>'תקציב מינהל תפעול 2022'!B106</f>
        <v>20020</v>
      </c>
      <c r="C106" s="255" t="str">
        <f>'תקציב מינהל תפעול 2022'!C106</f>
        <v>סל למערכות וצרכי בטחון</v>
      </c>
      <c r="D106" s="4">
        <f>'תקציב מינהל תפעול 2022'!D106</f>
        <v>300000</v>
      </c>
      <c r="E106" s="4">
        <f>'תקציב מינהל תפעול 2022'!E106</f>
        <v>0</v>
      </c>
      <c r="F106" s="4">
        <f>'תקציב מינהל תפעול 2022'!F106</f>
        <v>300000</v>
      </c>
      <c r="G106" s="4">
        <f>'תקציב מינהל תפעול 2022'!G106</f>
        <v>0</v>
      </c>
      <c r="H106" s="4">
        <f>'תקציב מינהל תפעול 2022'!H106</f>
        <v>0</v>
      </c>
      <c r="I106" s="4">
        <f>'תקציב מינהל תפעול 2022'!I106</f>
        <v>0</v>
      </c>
      <c r="J106" s="4">
        <f>'תקציב מינהל תפעול 2022'!J106</f>
        <v>0</v>
      </c>
      <c r="K106" s="4">
        <f>'תקציב מינהל תפעול 2022'!K106</f>
        <v>0</v>
      </c>
      <c r="L106" s="4">
        <f>'תקציב מינהל תפעול 2022'!L106</f>
        <v>0</v>
      </c>
      <c r="M106" s="4">
        <f>'תקציב מינהל תפעול 2022'!M106</f>
        <v>0</v>
      </c>
      <c r="N106" s="4">
        <f>'תקציב מינהל תפעול 2022'!N106</f>
        <v>300000</v>
      </c>
      <c r="O106" s="4">
        <f>'תקציב מינהל תפעול 2022'!O106</f>
        <v>0</v>
      </c>
      <c r="P106" s="4">
        <f>'תקציב מינהל תפעול 2022'!P106</f>
        <v>0</v>
      </c>
      <c r="Q106" s="4">
        <f>'תקציב מינהל תפעול 2022'!Q106</f>
        <v>0</v>
      </c>
      <c r="R106" s="4">
        <f>'תקציב מינהל תפעול 2022'!R106</f>
        <v>0</v>
      </c>
      <c r="S106" s="4">
        <f>'תקציב מינהל תפעול 2022'!S106</f>
        <v>0</v>
      </c>
      <c r="T106" s="4">
        <f>'תקציב מינהל תפעול 2022'!T106</f>
        <v>0</v>
      </c>
      <c r="U106" s="4">
        <f>'תקציב מינהל תפעול 2022'!U106</f>
        <v>300000</v>
      </c>
      <c r="V106" s="4">
        <f>'תקציב מינהל תפעול 2022'!V106</f>
        <v>0</v>
      </c>
      <c r="W106" s="4">
        <f>'תקציב מינהל תפעול 2022'!W106</f>
        <v>300000</v>
      </c>
      <c r="X106" s="4">
        <f>'תקציב מינהל תפעול 2022'!X106</f>
        <v>0</v>
      </c>
      <c r="Y106" s="4">
        <f>'תקציב מינהל תפעול 2022'!Y106</f>
        <v>0</v>
      </c>
      <c r="Z106" s="4">
        <f>'תקציב מינהל תפעול 2022'!Z106</f>
        <v>0</v>
      </c>
      <c r="AA106" s="4">
        <f>'תקציב מינהל תפעול 2022'!AA106</f>
        <v>0</v>
      </c>
      <c r="AB106" s="255" t="str">
        <f>'תקציב מינהל תפעול 2022'!AB106</f>
        <v>סל למערכות שונות ורכש לצרכי בטחון: מערכת מעברים מהירים לבנין העירייה,רכש מכולות לחרום ורכש רחפן.</v>
      </c>
      <c r="AC106" s="3">
        <v>720000</v>
      </c>
    </row>
    <row r="107" spans="1:46" ht="60">
      <c r="A107" s="3">
        <f t="shared" si="1"/>
        <v>103</v>
      </c>
      <c r="B107" s="3">
        <f>'תקציב מינהל תפעול 2022'!B107</f>
        <v>20021</v>
      </c>
      <c r="C107" s="255" t="str">
        <f>'תקציב מינהל תפעול 2022'!C107</f>
        <v>שדרוג רחוב אלי לנדאו</v>
      </c>
      <c r="D107" s="4">
        <f>'תקציב מינהל תפעול 2022'!D107</f>
        <v>8000000</v>
      </c>
      <c r="E107" s="4">
        <f>'תקציב מינהל תפעול 2022'!E107</f>
        <v>0</v>
      </c>
      <c r="F107" s="4">
        <f>'תקציב מינהל תפעול 2022'!F107</f>
        <v>8000000</v>
      </c>
      <c r="G107" s="4">
        <f>'תקציב מינהל תפעול 2022'!G107</f>
        <v>0</v>
      </c>
      <c r="H107" s="4">
        <f>'תקציב מינהל תפעול 2022'!H107</f>
        <v>0</v>
      </c>
      <c r="I107" s="4">
        <f>'תקציב מינהל תפעול 2022'!I107</f>
        <v>0</v>
      </c>
      <c r="J107" s="4">
        <f>'תקציב מינהל תפעול 2022'!J107</f>
        <v>0</v>
      </c>
      <c r="K107" s="4">
        <f>'תקציב מינהל תפעול 2022'!K107</f>
        <v>0</v>
      </c>
      <c r="L107" s="4">
        <f>'תקציב מינהל תפעול 2022'!L107</f>
        <v>0</v>
      </c>
      <c r="M107" s="4">
        <f>'תקציב מינהל תפעול 2022'!M107</f>
        <v>0</v>
      </c>
      <c r="N107" s="4">
        <f>'תקציב מינהל תפעול 2022'!N107</f>
        <v>3000000</v>
      </c>
      <c r="O107" s="4">
        <f>'תקציב מינהל תפעול 2022'!O107</f>
        <v>5000000</v>
      </c>
      <c r="P107" s="4">
        <f>'תקציב מינהל תפעול 2022'!P107</f>
        <v>0</v>
      </c>
      <c r="Q107" s="4">
        <f>'תקציב מינהל תפעול 2022'!Q107</f>
        <v>0</v>
      </c>
      <c r="R107" s="4">
        <f>'תקציב מינהל תפעול 2022'!R107</f>
        <v>0</v>
      </c>
      <c r="S107" s="4">
        <f>'תקציב מינהל תפעול 2022'!S107</f>
        <v>0</v>
      </c>
      <c r="T107" s="4">
        <f>'תקציב מינהל תפעול 2022'!T107</f>
        <v>0</v>
      </c>
      <c r="U107" s="4">
        <f>'תקציב מינהל תפעול 2022'!U107</f>
        <v>3000000</v>
      </c>
      <c r="V107" s="4">
        <f>'תקציב מינהל תפעול 2022'!V107</f>
        <v>3000000</v>
      </c>
      <c r="W107" s="4">
        <f>'תקציב מינהל תפעול 2022'!W107</f>
        <v>0</v>
      </c>
      <c r="X107" s="4">
        <f>'תקציב מינהל תפעול 2022'!X107</f>
        <v>0</v>
      </c>
      <c r="Y107" s="4">
        <f>'תקציב מינהל תפעול 2022'!Y107</f>
        <v>0</v>
      </c>
      <c r="Z107" s="4">
        <f>'תקציב מינהל תפעול 2022'!Z107</f>
        <v>0</v>
      </c>
      <c r="AA107" s="4">
        <f>'תקציב מינהל תפעול 2022'!AA107</f>
        <v>0</v>
      </c>
      <c r="AB107" s="255" t="str">
        <f>'תקציב מינהל תפעול 2022'!AB107</f>
        <v>שדרוג רחוב אלי לנדאו כולל: כבישים, מפרצי חנייה, מדרכות, גינון, תאורה, שילוט וריהוט רחוב.</v>
      </c>
      <c r="AC107" s="3">
        <v>742000</v>
      </c>
    </row>
    <row r="108" spans="1:46" ht="60">
      <c r="A108" s="3">
        <f t="shared" si="1"/>
        <v>104</v>
      </c>
      <c r="B108" s="3">
        <f>'תקציב מינהל תפעול 2022'!B108</f>
        <v>20022</v>
      </c>
      <c r="C108" s="255" t="str">
        <f>'תקציב מינהל תפעול 2022'!C108</f>
        <v>רכישת טרקטור לחוף הים</v>
      </c>
      <c r="D108" s="4">
        <f>'תקציב מינהל תפעול 2022'!D108</f>
        <v>180000</v>
      </c>
      <c r="E108" s="4">
        <f>'תקציב מינהל תפעול 2022'!E108</f>
        <v>0</v>
      </c>
      <c r="F108" s="4">
        <f>'תקציב מינהל תפעול 2022'!F108</f>
        <v>180000</v>
      </c>
      <c r="G108" s="4">
        <f>'תקציב מינהל תפעול 2022'!G108</f>
        <v>0</v>
      </c>
      <c r="H108" s="4">
        <f>'תקציב מינהל תפעול 2022'!H108</f>
        <v>0</v>
      </c>
      <c r="I108" s="4">
        <f>'תקציב מינהל תפעול 2022'!I108</f>
        <v>0</v>
      </c>
      <c r="J108" s="4">
        <f>'תקציב מינהל תפעול 2022'!J108</f>
        <v>0</v>
      </c>
      <c r="K108" s="4">
        <f>'תקציב מינהל תפעול 2022'!K108</f>
        <v>0</v>
      </c>
      <c r="L108" s="4">
        <f>'תקציב מינהל תפעול 2022'!L108</f>
        <v>0</v>
      </c>
      <c r="M108" s="4">
        <f>'תקציב מינהל תפעול 2022'!M108</f>
        <v>0</v>
      </c>
      <c r="N108" s="4">
        <f>'תקציב מינהל תפעול 2022'!N108</f>
        <v>180000</v>
      </c>
      <c r="O108" s="4">
        <f>'תקציב מינהל תפעול 2022'!O108</f>
        <v>0</v>
      </c>
      <c r="P108" s="4">
        <f>'תקציב מינהל תפעול 2022'!P108</f>
        <v>0</v>
      </c>
      <c r="Q108" s="4">
        <f>'תקציב מינהל תפעול 2022'!Q108</f>
        <v>0</v>
      </c>
      <c r="R108" s="4">
        <f>'תקציב מינהל תפעול 2022'!R108</f>
        <v>0</v>
      </c>
      <c r="S108" s="4">
        <f>'תקציב מינהל תפעול 2022'!S108</f>
        <v>0</v>
      </c>
      <c r="T108" s="4">
        <f>'תקציב מינהל תפעול 2022'!T108</f>
        <v>0</v>
      </c>
      <c r="U108" s="4">
        <f>'תקציב מינהל תפעול 2022'!U108</f>
        <v>180000</v>
      </c>
      <c r="V108" s="4">
        <f>'תקציב מינהל תפעול 2022'!V108</f>
        <v>0</v>
      </c>
      <c r="W108" s="4">
        <f>'תקציב מינהל תפעול 2022'!W108</f>
        <v>180000</v>
      </c>
      <c r="X108" s="4">
        <f>'תקציב מינהל תפעול 2022'!X108</f>
        <v>0</v>
      </c>
      <c r="Y108" s="4">
        <f>'תקציב מינהל תפעול 2022'!Y108</f>
        <v>0</v>
      </c>
      <c r="Z108" s="4">
        <f>'תקציב מינהל תפעול 2022'!Z108</f>
        <v>0</v>
      </c>
      <c r="AA108" s="4">
        <f>'תקציב מינהל תפעול 2022'!AA108</f>
        <v>0</v>
      </c>
      <c r="AB108" s="255" t="str">
        <f>'תקציב מינהל תפעול 2022'!AB108</f>
        <v xml:space="preserve">רכישת טרקטור "קטן" מתאים לעבודות בחופים חלופה לטרקטור גדול קיים לא יעיל בשימוש. </v>
      </c>
      <c r="AC108" s="3">
        <v>747000</v>
      </c>
    </row>
    <row r="109" spans="1:46" ht="60">
      <c r="A109" s="3">
        <f t="shared" si="1"/>
        <v>105</v>
      </c>
      <c r="B109" s="3">
        <f>'תקציב מינהל תפעול 2022'!B109</f>
        <v>20023</v>
      </c>
      <c r="C109" s="255" t="str">
        <f>'תקציב מינהל תפעול 2022'!C109</f>
        <v>רכישת נפת חול לחופי הרחצה</v>
      </c>
      <c r="D109" s="4">
        <f>'תקציב מינהל תפעול 2022'!D109</f>
        <v>200000</v>
      </c>
      <c r="E109" s="4">
        <f>'תקציב מינהל תפעול 2022'!E109</f>
        <v>0</v>
      </c>
      <c r="F109" s="4">
        <f>'תקציב מינהל תפעול 2022'!F109</f>
        <v>200000</v>
      </c>
      <c r="G109" s="4">
        <f>'תקציב מינהל תפעול 2022'!G109</f>
        <v>0</v>
      </c>
      <c r="H109" s="4">
        <f>'תקציב מינהל תפעול 2022'!H109</f>
        <v>0</v>
      </c>
      <c r="I109" s="4">
        <f>'תקציב מינהל תפעול 2022'!I109</f>
        <v>0</v>
      </c>
      <c r="J109" s="4">
        <f>'תקציב מינהל תפעול 2022'!J109</f>
        <v>0</v>
      </c>
      <c r="K109" s="4">
        <f>'תקציב מינהל תפעול 2022'!K109</f>
        <v>0</v>
      </c>
      <c r="L109" s="4">
        <f>'תקציב מינהל תפעול 2022'!L109</f>
        <v>0</v>
      </c>
      <c r="M109" s="4">
        <f>'תקציב מינהל תפעול 2022'!M109</f>
        <v>0</v>
      </c>
      <c r="N109" s="4">
        <f>'תקציב מינהל תפעול 2022'!N109</f>
        <v>200000</v>
      </c>
      <c r="O109" s="4">
        <f>'תקציב מינהל תפעול 2022'!O109</f>
        <v>0</v>
      </c>
      <c r="P109" s="4">
        <f>'תקציב מינהל תפעול 2022'!P109</f>
        <v>0</v>
      </c>
      <c r="Q109" s="4">
        <f>'תקציב מינהל תפעול 2022'!Q109</f>
        <v>0</v>
      </c>
      <c r="R109" s="4">
        <f>'תקציב מינהל תפעול 2022'!R109</f>
        <v>0</v>
      </c>
      <c r="S109" s="4">
        <f>'תקציב מינהל תפעול 2022'!S109</f>
        <v>0</v>
      </c>
      <c r="T109" s="4">
        <f>'תקציב מינהל תפעול 2022'!T109</f>
        <v>0</v>
      </c>
      <c r="U109" s="4">
        <f>'תקציב מינהל תפעול 2022'!U109</f>
        <v>200000</v>
      </c>
      <c r="V109" s="4">
        <f>'תקציב מינהל תפעול 2022'!V109</f>
        <v>0</v>
      </c>
      <c r="W109" s="4">
        <f>'תקציב מינהל תפעול 2022'!W109</f>
        <v>0</v>
      </c>
      <c r="X109" s="4">
        <f>'תקציב מינהל תפעול 2022'!X109</f>
        <v>0</v>
      </c>
      <c r="Y109" s="4">
        <f>'תקציב מינהל תפעול 2022'!Y109</f>
        <v>0</v>
      </c>
      <c r="Z109" s="4">
        <f>'תקציב מינהל תפעול 2022'!Z109</f>
        <v>0</v>
      </c>
      <c r="AA109" s="4">
        <f>'תקציב מינהל תפעול 2022'!AA109</f>
        <v>200000</v>
      </c>
      <c r="AB109" s="255" t="str">
        <f>'תקציב מינהל תפעול 2022'!AB109</f>
        <v>רכישת נפת חול לסינון וניקוי החול בחופי הרחצה לתמיכה בטיפול בארוע זיהום הים בזפת. מימון מ. הגנת הסביבה.</v>
      </c>
      <c r="AC109" s="3">
        <v>747000</v>
      </c>
    </row>
    <row r="110" spans="1:46" ht="60">
      <c r="A110" s="3">
        <f t="shared" si="1"/>
        <v>106</v>
      </c>
      <c r="B110" s="3">
        <f>'תקציב מינהל תפעול 2022'!B110</f>
        <v>20024</v>
      </c>
      <c r="C110" s="255" t="str">
        <f>'תקציב מינהל תפעול 2022'!C110</f>
        <v>הקמת תחנות הצלה חוף אכדיה צפון וחוף סידני עלי</v>
      </c>
      <c r="D110" s="4">
        <f>'תקציב מינהל תפעול 2022'!D110</f>
        <v>800000</v>
      </c>
      <c r="E110" s="4">
        <f>'תקציב מינהל תפעול 2022'!E110</f>
        <v>0</v>
      </c>
      <c r="F110" s="4">
        <f>'תקציב מינהל תפעול 2022'!F110</f>
        <v>800000</v>
      </c>
      <c r="G110" s="4">
        <f>'תקציב מינהל תפעול 2022'!G110</f>
        <v>0</v>
      </c>
      <c r="H110" s="4">
        <f>'תקציב מינהל תפעול 2022'!H110</f>
        <v>0</v>
      </c>
      <c r="I110" s="4">
        <f>'תקציב מינהל תפעול 2022'!I110</f>
        <v>0</v>
      </c>
      <c r="J110" s="4">
        <f>'תקציב מינהל תפעול 2022'!J110</f>
        <v>0</v>
      </c>
      <c r="K110" s="4">
        <f>'תקציב מינהל תפעול 2022'!K110</f>
        <v>0</v>
      </c>
      <c r="L110" s="4">
        <f>'תקציב מינהל תפעול 2022'!L110</f>
        <v>0</v>
      </c>
      <c r="M110" s="4">
        <f>'תקציב מינהל תפעול 2022'!M110</f>
        <v>0</v>
      </c>
      <c r="N110" s="4">
        <f>'תקציב מינהל תפעול 2022'!N110</f>
        <v>400000</v>
      </c>
      <c r="O110" s="4">
        <f>'תקציב מינהל תפעול 2022'!O110</f>
        <v>400000</v>
      </c>
      <c r="P110" s="4">
        <f>'תקציב מינהל תפעול 2022'!P110</f>
        <v>0</v>
      </c>
      <c r="Q110" s="4">
        <f>'תקציב מינהל תפעול 2022'!Q110</f>
        <v>0</v>
      </c>
      <c r="R110" s="4">
        <f>'תקציב מינהל תפעול 2022'!R110</f>
        <v>0</v>
      </c>
      <c r="S110" s="4">
        <f>'תקציב מינהל תפעול 2022'!S110</f>
        <v>0</v>
      </c>
      <c r="T110" s="4">
        <f>'תקציב מינהל תפעול 2022'!T110</f>
        <v>0</v>
      </c>
      <c r="U110" s="4">
        <f>'תקציב מינהל תפעול 2022'!U110</f>
        <v>400000</v>
      </c>
      <c r="V110" s="4">
        <f>'תקציב מינהל תפעול 2022'!V110</f>
        <v>0</v>
      </c>
      <c r="W110" s="4">
        <f>'תקציב מינהל תפעול 2022'!W110</f>
        <v>230000</v>
      </c>
      <c r="X110" s="4">
        <f>'תקציב מינהל תפעול 2022'!X110</f>
        <v>0</v>
      </c>
      <c r="Y110" s="4">
        <f>'תקציב מינהל תפעול 2022'!Y110</f>
        <v>0</v>
      </c>
      <c r="Z110" s="4">
        <f>'תקציב מינהל תפעול 2022'!Z110</f>
        <v>0</v>
      </c>
      <c r="AA110" s="4">
        <f>'תקציב מינהל תפעול 2022'!AA110</f>
        <v>170000</v>
      </c>
      <c r="AB110" s="255" t="str">
        <f>'תקציב מינהל תפעול 2022'!AB110</f>
        <v xml:space="preserve">הקמת תחנות הצלה חדשות בחוף אכדיה צפון ובחוף סדני עלי. בקשה למימון למשרד הפנים תוגש בתחילת שנת 2022. </v>
      </c>
      <c r="AC110" s="3">
        <v>747000</v>
      </c>
    </row>
    <row r="111" spans="1:46" ht="30" customHeight="1">
      <c r="A111" s="3">
        <f t="shared" si="1"/>
        <v>107</v>
      </c>
      <c r="B111" s="3">
        <f>'תקציב מינהל תפעול 2022'!B111</f>
        <v>20025</v>
      </c>
      <c r="C111" s="255" t="str">
        <f>'תקציב מינהל תפעול 2022'!C111</f>
        <v>שילוט בחופי רחצה 2021</v>
      </c>
      <c r="D111" s="4">
        <f>'תקציב מינהל תפעול 2022'!D111</f>
        <v>50000</v>
      </c>
      <c r="E111" s="4">
        <f>'תקציב מינהל תפעול 2022'!E111</f>
        <v>0</v>
      </c>
      <c r="F111" s="4">
        <f>'תקציב מינהל תפעול 2022'!F111</f>
        <v>50000</v>
      </c>
      <c r="G111" s="4">
        <f>'תקציב מינהל תפעול 2022'!G111</f>
        <v>0</v>
      </c>
      <c r="H111" s="4">
        <f>'תקציב מינהל תפעול 2022'!H111</f>
        <v>0</v>
      </c>
      <c r="I111" s="4">
        <f>'תקציב מינהל תפעול 2022'!I111</f>
        <v>0</v>
      </c>
      <c r="J111" s="4">
        <f>'תקציב מינהל תפעול 2022'!J111</f>
        <v>0</v>
      </c>
      <c r="K111" s="4">
        <f>'תקציב מינהל תפעול 2022'!K111</f>
        <v>0</v>
      </c>
      <c r="L111" s="4">
        <f>'תקציב מינהל תפעול 2022'!L111</f>
        <v>0</v>
      </c>
      <c r="M111" s="4">
        <f>'תקציב מינהל תפעול 2022'!M111</f>
        <v>0</v>
      </c>
      <c r="N111" s="4">
        <f>'תקציב מינהל תפעול 2022'!N111</f>
        <v>50000</v>
      </c>
      <c r="O111" s="4">
        <f>'תקציב מינהל תפעול 2022'!O111</f>
        <v>0</v>
      </c>
      <c r="P111" s="4">
        <f>'תקציב מינהל תפעול 2022'!P111</f>
        <v>0</v>
      </c>
      <c r="Q111" s="4">
        <f>'תקציב מינהל תפעול 2022'!Q111</f>
        <v>0</v>
      </c>
      <c r="R111" s="4">
        <f>'תקציב מינהל תפעול 2022'!R111</f>
        <v>0</v>
      </c>
      <c r="S111" s="4">
        <f>'תקציב מינהל תפעול 2022'!S111</f>
        <v>0</v>
      </c>
      <c r="T111" s="4">
        <f>'תקציב מינהל תפעול 2022'!T111</f>
        <v>0</v>
      </c>
      <c r="U111" s="4">
        <f>'תקציב מינהל תפעול 2022'!U111</f>
        <v>50000</v>
      </c>
      <c r="V111" s="4">
        <f>'תקציב מינהל תפעול 2022'!V111</f>
        <v>0</v>
      </c>
      <c r="W111" s="4">
        <f>'תקציב מינהל תפעול 2022'!W111</f>
        <v>0</v>
      </c>
      <c r="X111" s="4">
        <f>'תקציב מינהל תפעול 2022'!X111</f>
        <v>0</v>
      </c>
      <c r="Y111" s="4">
        <f>'תקציב מינהל תפעול 2022'!Y111</f>
        <v>0</v>
      </c>
      <c r="Z111" s="4">
        <f>'תקציב מינהל תפעול 2022'!Z111</f>
        <v>0</v>
      </c>
      <c r="AA111" s="4">
        <f>'תקציב מינהל תפעול 2022'!AA111</f>
        <v>50000</v>
      </c>
      <c r="AB111" s="255" t="str">
        <f>'תקציב מינהל תפעול 2022'!AB111</f>
        <v>מימון מ. הפנים.</v>
      </c>
      <c r="AC111" s="3">
        <v>747000</v>
      </c>
    </row>
    <row r="112" spans="1:46" ht="30" customHeight="1">
      <c r="A112" s="3">
        <f t="shared" si="1"/>
        <v>108</v>
      </c>
      <c r="B112" s="3">
        <f>'תקציב מינהל תפעול 2022'!B112</f>
        <v>20026</v>
      </c>
      <c r="C112" s="255" t="str">
        <f>'תקציב מינהל תפעול 2022'!C112</f>
        <v>ציוד הצלה ובטיחות 2021</v>
      </c>
      <c r="D112" s="4">
        <f>'תקציב מינהל תפעול 2022'!D112</f>
        <v>50000</v>
      </c>
      <c r="E112" s="4">
        <f>'תקציב מינהל תפעול 2022'!E112</f>
        <v>0</v>
      </c>
      <c r="F112" s="4">
        <f>'תקציב מינהל תפעול 2022'!F112</f>
        <v>50000</v>
      </c>
      <c r="G112" s="4">
        <f>'תקציב מינהל תפעול 2022'!G112</f>
        <v>0</v>
      </c>
      <c r="H112" s="4">
        <f>'תקציב מינהל תפעול 2022'!H112</f>
        <v>0</v>
      </c>
      <c r="I112" s="4">
        <f>'תקציב מינהל תפעול 2022'!I112</f>
        <v>0</v>
      </c>
      <c r="J112" s="4">
        <f>'תקציב מינהל תפעול 2022'!J112</f>
        <v>0</v>
      </c>
      <c r="K112" s="4">
        <f>'תקציב מינהל תפעול 2022'!K112</f>
        <v>0</v>
      </c>
      <c r="L112" s="4">
        <f>'תקציב מינהל תפעול 2022'!L112</f>
        <v>0</v>
      </c>
      <c r="M112" s="4">
        <f>'תקציב מינהל תפעול 2022'!M112</f>
        <v>0</v>
      </c>
      <c r="N112" s="4">
        <f>'תקציב מינהל תפעול 2022'!N112</f>
        <v>50000</v>
      </c>
      <c r="O112" s="4">
        <f>'תקציב מינהל תפעול 2022'!O112</f>
        <v>0</v>
      </c>
      <c r="P112" s="4">
        <f>'תקציב מינהל תפעול 2022'!P112</f>
        <v>0</v>
      </c>
      <c r="Q112" s="4">
        <f>'תקציב מינהל תפעול 2022'!Q112</f>
        <v>0</v>
      </c>
      <c r="R112" s="4">
        <f>'תקציב מינהל תפעול 2022'!R112</f>
        <v>0</v>
      </c>
      <c r="S112" s="4">
        <f>'תקציב מינהל תפעול 2022'!S112</f>
        <v>0</v>
      </c>
      <c r="T112" s="4">
        <f>'תקציב מינהל תפעול 2022'!T112</f>
        <v>0</v>
      </c>
      <c r="U112" s="4">
        <f>'תקציב מינהל תפעול 2022'!U112</f>
        <v>50000</v>
      </c>
      <c r="V112" s="4">
        <f>'תקציב מינהל תפעול 2022'!V112</f>
        <v>0</v>
      </c>
      <c r="W112" s="4">
        <f>'תקציב מינהל תפעול 2022'!W112</f>
        <v>0</v>
      </c>
      <c r="X112" s="4">
        <f>'תקציב מינהל תפעול 2022'!X112</f>
        <v>0</v>
      </c>
      <c r="Y112" s="4">
        <f>'תקציב מינהל תפעול 2022'!Y112</f>
        <v>0</v>
      </c>
      <c r="Z112" s="4">
        <f>'תקציב מינהל תפעול 2022'!Z112</f>
        <v>0</v>
      </c>
      <c r="AA112" s="4">
        <f>'תקציב מינהל תפעול 2022'!AA112</f>
        <v>50000</v>
      </c>
      <c r="AB112" s="255" t="str">
        <f>'תקציב מינהל תפעול 2022'!AB112</f>
        <v>מימון מ. הפנים.</v>
      </c>
      <c r="AC112" s="3">
        <v>747000</v>
      </c>
    </row>
    <row r="113" spans="1:46" ht="30" customHeight="1">
      <c r="A113" s="3">
        <f t="shared" si="1"/>
        <v>109</v>
      </c>
      <c r="B113" s="3">
        <f>'תקציב מינהל תפעול 2022'!B113</f>
        <v>20027</v>
      </c>
      <c r="C113" s="255" t="str">
        <f>'תקציב מינהל תפעול 2022'!C113</f>
        <v>רכישת אופנוע ים 2021</v>
      </c>
      <c r="D113" s="4">
        <f>'תקציב מינהל תפעול 2022'!D113</f>
        <v>82800</v>
      </c>
      <c r="E113" s="4">
        <f>'תקציב מינהל תפעול 2022'!E113</f>
        <v>0</v>
      </c>
      <c r="F113" s="4">
        <f>'תקציב מינהל תפעול 2022'!F113</f>
        <v>82800</v>
      </c>
      <c r="G113" s="4">
        <f>'תקציב מינהל תפעול 2022'!G113</f>
        <v>0</v>
      </c>
      <c r="H113" s="4">
        <f>'תקציב מינהל תפעול 2022'!H113</f>
        <v>0</v>
      </c>
      <c r="I113" s="4">
        <f>'תקציב מינהל תפעול 2022'!I113</f>
        <v>0</v>
      </c>
      <c r="J113" s="4">
        <f>'תקציב מינהל תפעול 2022'!J113</f>
        <v>0</v>
      </c>
      <c r="K113" s="4">
        <f>'תקציב מינהל תפעול 2022'!K113</f>
        <v>0</v>
      </c>
      <c r="L113" s="4">
        <f>'תקציב מינהל תפעול 2022'!L113</f>
        <v>0</v>
      </c>
      <c r="M113" s="4">
        <f>'תקציב מינהל תפעול 2022'!M113</f>
        <v>0</v>
      </c>
      <c r="N113" s="4">
        <f>'תקציב מינהל תפעול 2022'!N113</f>
        <v>82800</v>
      </c>
      <c r="O113" s="4">
        <f>'תקציב מינהל תפעול 2022'!O113</f>
        <v>0</v>
      </c>
      <c r="P113" s="4">
        <f>'תקציב מינהל תפעול 2022'!P113</f>
        <v>0</v>
      </c>
      <c r="Q113" s="4">
        <f>'תקציב מינהל תפעול 2022'!Q113</f>
        <v>0</v>
      </c>
      <c r="R113" s="4">
        <f>'תקציב מינהל תפעול 2022'!R113</f>
        <v>0</v>
      </c>
      <c r="S113" s="4">
        <f>'תקציב מינהל תפעול 2022'!S113</f>
        <v>0</v>
      </c>
      <c r="T113" s="4">
        <f>'תקציב מינהל תפעול 2022'!T113</f>
        <v>0</v>
      </c>
      <c r="U113" s="4">
        <f>'תקציב מינהל תפעול 2022'!U113</f>
        <v>82800</v>
      </c>
      <c r="V113" s="4">
        <f>'תקציב מינהל תפעול 2022'!V113</f>
        <v>0</v>
      </c>
      <c r="W113" s="4">
        <f>'תקציב מינהל תפעול 2022'!W113</f>
        <v>0</v>
      </c>
      <c r="X113" s="4">
        <f>'תקציב מינהל תפעול 2022'!X113</f>
        <v>0</v>
      </c>
      <c r="Y113" s="4">
        <f>'תקציב מינהל תפעול 2022'!Y113</f>
        <v>0</v>
      </c>
      <c r="Z113" s="4">
        <f>'תקציב מינהל תפעול 2022'!Z113</f>
        <v>0</v>
      </c>
      <c r="AA113" s="4">
        <f>'תקציב מינהל תפעול 2022'!AA113</f>
        <v>82800</v>
      </c>
      <c r="AB113" s="255" t="str">
        <f>'תקציב מינהל תפעול 2022'!AB113</f>
        <v>מימון מ. הפנים.</v>
      </c>
      <c r="AC113" s="3">
        <v>747000</v>
      </c>
    </row>
    <row r="114" spans="1:46" ht="165">
      <c r="A114" s="3">
        <f t="shared" si="1"/>
        <v>110</v>
      </c>
      <c r="B114" s="3">
        <f>'תקציב מינהל תפעול 2022'!B114</f>
        <v>20028</v>
      </c>
      <c r="C114" s="255" t="str">
        <f>'תקציב מינהל תפעול 2022'!C114</f>
        <v>פרוייקט התאמת חורשות וחצרות גנ"י פרויקט EACH</v>
      </c>
      <c r="D114" s="4">
        <f>'תקציב מינהל תפעול 2022'!D114</f>
        <v>620000</v>
      </c>
      <c r="E114" s="4">
        <f>'תקציב מינהל תפעול 2022'!E114</f>
        <v>0</v>
      </c>
      <c r="F114" s="4">
        <f>'תקציב מינהל תפעול 2022'!F114</f>
        <v>620000</v>
      </c>
      <c r="G114" s="4">
        <f>'תקציב מינהל תפעול 2022'!G114</f>
        <v>0</v>
      </c>
      <c r="H114" s="4">
        <f>'תקציב מינהל תפעול 2022'!H114</f>
        <v>0</v>
      </c>
      <c r="I114" s="4">
        <f>'תקציב מינהל תפעול 2022'!I114</f>
        <v>0</v>
      </c>
      <c r="J114" s="4">
        <f>'תקציב מינהל תפעול 2022'!J114</f>
        <v>0</v>
      </c>
      <c r="K114" s="4">
        <f>'תקציב מינהל תפעול 2022'!K114</f>
        <v>0</v>
      </c>
      <c r="L114" s="4">
        <f>'תקציב מינהל תפעול 2022'!L114</f>
        <v>0</v>
      </c>
      <c r="M114" s="4">
        <f>'תקציב מינהל תפעול 2022'!M114</f>
        <v>0</v>
      </c>
      <c r="N114" s="4">
        <f>'תקציב מינהל תפעול 2022'!N114</f>
        <v>620000</v>
      </c>
      <c r="O114" s="4">
        <f>'תקציב מינהל תפעול 2022'!O114</f>
        <v>0</v>
      </c>
      <c r="P114" s="4">
        <f>'תקציב מינהל תפעול 2022'!P114</f>
        <v>0</v>
      </c>
      <c r="Q114" s="4">
        <f>'תקציב מינהל תפעול 2022'!Q114</f>
        <v>0</v>
      </c>
      <c r="R114" s="4">
        <f>'תקציב מינהל תפעול 2022'!R114</f>
        <v>0</v>
      </c>
      <c r="S114" s="4">
        <f>'תקציב מינהל תפעול 2022'!S114</f>
        <v>0</v>
      </c>
      <c r="T114" s="4">
        <f>'תקציב מינהל תפעול 2022'!T114</f>
        <v>0</v>
      </c>
      <c r="U114" s="4">
        <f>'תקציב מינהל תפעול 2022'!U114</f>
        <v>620000</v>
      </c>
      <c r="V114" s="4">
        <f>'תקציב מינהל תפעול 2022'!V114</f>
        <v>0</v>
      </c>
      <c r="W114" s="4">
        <f>'תקציב מינהל תפעול 2022'!W114</f>
        <v>620000</v>
      </c>
      <c r="X114" s="4">
        <f>'תקציב מינהל תפעול 2022'!X114</f>
        <v>0</v>
      </c>
      <c r="Y114" s="4">
        <f>'תקציב מינהל תפעול 2022'!Y114</f>
        <v>0</v>
      </c>
      <c r="Z114" s="4">
        <f>'תקציב מינהל תפעול 2022'!Z114</f>
        <v>0</v>
      </c>
      <c r="AA114" s="4">
        <f>'תקציב מינהל תפעול 2022'!AA114</f>
        <v>0</v>
      </c>
      <c r="AB114" s="255" t="str">
        <f>'תקציב מינהל תפעול 2022'!AB114</f>
        <v>פרוייקט חינוכי של גנ"י שהוסמכו להיות "גנים ירוקים" .שילוב למידה בטבע ובחורשות מס' ימים בשבוע. עבודות התאמת החורשות לשהיית ילדים : ריהוט גן- ספסלים, אשפתונים ושולחנות פיקניק, ברזיות , פחי מיחזור , תשתית השקייה, נטיעת עצים נוספים וצמחייה לימודית. הסבת חצרות גנ"י (חינוך). מסגרת תקציב.</v>
      </c>
      <c r="AC114" s="3">
        <v>810000</v>
      </c>
    </row>
    <row r="115" spans="1:46" ht="75">
      <c r="A115" s="3">
        <f t="shared" si="1"/>
        <v>111</v>
      </c>
      <c r="B115" s="3">
        <f>'תקציב מינהל תפעול 2022'!B115</f>
        <v>20029</v>
      </c>
      <c r="C115" s="255" t="str">
        <f>'תקציב מינהל תפעול 2022'!C115</f>
        <v>שדרוג וחידוש רהוט רחוב ברחבי העיר</v>
      </c>
      <c r="D115" s="4">
        <f>'תקציב מינהל תפעול 2022'!D115</f>
        <v>2000000</v>
      </c>
      <c r="E115" s="4">
        <f>'תקציב מינהל תפעול 2022'!E115</f>
        <v>0</v>
      </c>
      <c r="F115" s="4">
        <f>'תקציב מינהל תפעול 2022'!F115</f>
        <v>2000000</v>
      </c>
      <c r="G115" s="4">
        <f>'תקציב מינהל תפעול 2022'!G115</f>
        <v>0</v>
      </c>
      <c r="H115" s="4">
        <f>'תקציב מינהל תפעול 2022'!H115</f>
        <v>0</v>
      </c>
      <c r="I115" s="4">
        <f>'תקציב מינהל תפעול 2022'!I115</f>
        <v>0</v>
      </c>
      <c r="J115" s="4">
        <f>'תקציב מינהל תפעול 2022'!J115</f>
        <v>0</v>
      </c>
      <c r="K115" s="4">
        <f>'תקציב מינהל תפעול 2022'!K115</f>
        <v>0</v>
      </c>
      <c r="L115" s="4">
        <f>'תקציב מינהל תפעול 2022'!L115</f>
        <v>0</v>
      </c>
      <c r="M115" s="4">
        <f>'תקציב מינהל תפעול 2022'!M115</f>
        <v>0</v>
      </c>
      <c r="N115" s="4">
        <f>'תקציב מינהל תפעול 2022'!N115</f>
        <v>1000000</v>
      </c>
      <c r="O115" s="4">
        <f>'תקציב מינהל תפעול 2022'!O115</f>
        <v>1000000</v>
      </c>
      <c r="P115" s="4">
        <f>'תקציב מינהל תפעול 2022'!P115</f>
        <v>0</v>
      </c>
      <c r="Q115" s="4">
        <f>'תקציב מינהל תפעול 2022'!Q115</f>
        <v>0</v>
      </c>
      <c r="R115" s="4">
        <f>'תקציב מינהל תפעול 2022'!R115</f>
        <v>0</v>
      </c>
      <c r="S115" s="4">
        <f>'תקציב מינהל תפעול 2022'!S115</f>
        <v>0</v>
      </c>
      <c r="T115" s="4">
        <f>'תקציב מינהל תפעול 2022'!T115</f>
        <v>0</v>
      </c>
      <c r="U115" s="4">
        <f>'תקציב מינהל תפעול 2022'!U115</f>
        <v>1000000</v>
      </c>
      <c r="V115" s="4">
        <f>'תקציב מינהל תפעול 2022'!V115</f>
        <v>0</v>
      </c>
      <c r="W115" s="4">
        <f>'תקציב מינהל תפעול 2022'!W115</f>
        <v>1000000</v>
      </c>
      <c r="X115" s="4">
        <f>'תקציב מינהל תפעול 2022'!X115</f>
        <v>0</v>
      </c>
      <c r="Y115" s="4">
        <f>'תקציב מינהל תפעול 2022'!Y115</f>
        <v>0</v>
      </c>
      <c r="Z115" s="4">
        <f>'תקציב מינהל תפעול 2022'!Z115</f>
        <v>0</v>
      </c>
      <c r="AA115" s="4">
        <f>'תקציב מינהל תפעול 2022'!AA115</f>
        <v>0</v>
      </c>
      <c r="AB115" s="255" t="str">
        <f>'תקציב מינהל תפעול 2022'!AB115</f>
        <v>תקציב מסגרת.החלפת ושדרוג ריהוט הרחוב ברחבי העיר:רחבת שער העיר, שדרות חן, חופי הים - השרון, זבולון . ושכונות נוספות בעיר.</v>
      </c>
      <c r="AC115" s="3">
        <v>848000</v>
      </c>
    </row>
    <row r="116" spans="1:46" ht="75">
      <c r="A116" s="3">
        <f t="shared" si="1"/>
        <v>112</v>
      </c>
      <c r="B116" s="3">
        <f>'תקציב מינהל תפעול 2022'!B116</f>
        <v>20030</v>
      </c>
      <c r="C116" s="255" t="str">
        <f>'תקציב מינהל תפעול 2022'!C116</f>
        <v>שיפוצי מוס"ח ע"פ סקרים והערכות לפתיחת שנה"ל</v>
      </c>
      <c r="D116" s="4">
        <f>'תקציב מינהל תפעול 2022'!D116</f>
        <v>8700000</v>
      </c>
      <c r="E116" s="4">
        <f>'תקציב מינהל תפעול 2022'!E116</f>
        <v>0</v>
      </c>
      <c r="F116" s="4">
        <f>'תקציב מינהל תפעול 2022'!F116</f>
        <v>8700000</v>
      </c>
      <c r="G116" s="4">
        <f>'תקציב מינהל תפעול 2022'!G116</f>
        <v>0</v>
      </c>
      <c r="H116" s="4">
        <f>'תקציב מינהל תפעול 2022'!H116</f>
        <v>0</v>
      </c>
      <c r="I116" s="4">
        <f>'תקציב מינהל תפעול 2022'!I116</f>
        <v>0</v>
      </c>
      <c r="J116" s="4">
        <f>'תקציב מינהל תפעול 2022'!J116</f>
        <v>0</v>
      </c>
      <c r="K116" s="4">
        <f>'תקציב מינהל תפעול 2022'!K116</f>
        <v>0</v>
      </c>
      <c r="L116" s="4">
        <f>'תקציב מינהל תפעול 2022'!L116</f>
        <v>0</v>
      </c>
      <c r="M116" s="4">
        <f>'תקציב מינהל תפעול 2022'!M116</f>
        <v>0</v>
      </c>
      <c r="N116" s="4">
        <f>'תקציב מינהל תפעול 2022'!N116</f>
        <v>6500000</v>
      </c>
      <c r="O116" s="4">
        <f>'תקציב מינהל תפעול 2022'!O116</f>
        <v>2200000</v>
      </c>
      <c r="P116" s="4">
        <f>'תקציב מינהל תפעול 2022'!P116</f>
        <v>0</v>
      </c>
      <c r="Q116" s="4">
        <f>'תקציב מינהל תפעול 2022'!Q116</f>
        <v>0</v>
      </c>
      <c r="R116" s="4">
        <f>'תקציב מינהל תפעול 2022'!R116</f>
        <v>0</v>
      </c>
      <c r="S116" s="4">
        <f>'תקציב מינהל תפעול 2022'!S116</f>
        <v>0</v>
      </c>
      <c r="T116" s="4">
        <f>'תקציב מינהל תפעול 2022'!T116</f>
        <v>0</v>
      </c>
      <c r="U116" s="4">
        <f>'תקציב מינהל תפעול 2022'!U116</f>
        <v>6500000</v>
      </c>
      <c r="V116" s="4">
        <f>'תקציב מינהל תפעול 2022'!V116</f>
        <v>3000000</v>
      </c>
      <c r="W116" s="4">
        <f>'תקציב מינהל תפעול 2022'!W116</f>
        <v>3500000</v>
      </c>
      <c r="X116" s="4">
        <f>'תקציב מינהל תפעול 2022'!X116</f>
        <v>0</v>
      </c>
      <c r="Y116" s="4">
        <f>'תקציב מינהל תפעול 2022'!Y116</f>
        <v>0</v>
      </c>
      <c r="Z116" s="4">
        <f>'תקציב מינהל תפעול 2022'!Z116</f>
        <v>0</v>
      </c>
      <c r="AA116" s="4">
        <f>'תקציב מינהל תפעול 2022'!AA116</f>
        <v>0</v>
      </c>
      <c r="AB116" s="255" t="str">
        <f>'תקציב מינהל תפעול 2022'!AB116</f>
        <v xml:space="preserve">תקציב מסגרת של עבודות במוס"ח לרבות שיפוצים יסודיים , התאמת מבנים ושדרוג גנ"י על פי רשימה שתאושר ע"י הנהלת העיר. </v>
      </c>
      <c r="AC116" s="3">
        <v>810000</v>
      </c>
    </row>
    <row r="117" spans="1:46" ht="60">
      <c r="A117" s="3">
        <f t="shared" si="1"/>
        <v>113</v>
      </c>
      <c r="B117" s="3">
        <f>'תקציב מינהל תפעול 2022'!B117</f>
        <v>20031</v>
      </c>
      <c r="C117" s="255" t="str">
        <f>'תקציב מינהל תפעול 2022'!C117</f>
        <v>פיתוח מוסדות חינוך בהתאם לתוכנית אב</v>
      </c>
      <c r="D117" s="4">
        <f>'תקציב מינהל תפעול 2022'!D117</f>
        <v>200000</v>
      </c>
      <c r="E117" s="4">
        <f>'תקציב מינהל תפעול 2022'!E117</f>
        <v>0</v>
      </c>
      <c r="F117" s="4">
        <f>'תקציב מינהל תפעול 2022'!F117</f>
        <v>200000</v>
      </c>
      <c r="G117" s="4">
        <f>'תקציב מינהל תפעול 2022'!G117</f>
        <v>0</v>
      </c>
      <c r="H117" s="4">
        <f>'תקציב מינהל תפעול 2022'!H117</f>
        <v>0</v>
      </c>
      <c r="I117" s="4">
        <f>'תקציב מינהל תפעול 2022'!I117</f>
        <v>0</v>
      </c>
      <c r="J117" s="4">
        <f>'תקציב מינהל תפעול 2022'!J117</f>
        <v>0</v>
      </c>
      <c r="K117" s="4">
        <f>'תקציב מינהל תפעול 2022'!K117</f>
        <v>0</v>
      </c>
      <c r="L117" s="4">
        <f>'תקציב מינהל תפעול 2022'!L117</f>
        <v>0</v>
      </c>
      <c r="M117" s="4">
        <f>'תקציב מינהל תפעול 2022'!M117</f>
        <v>0</v>
      </c>
      <c r="N117" s="4">
        <f>'תקציב מינהל תפעול 2022'!N117</f>
        <v>200000</v>
      </c>
      <c r="O117" s="4">
        <f>'תקציב מינהל תפעול 2022'!O117</f>
        <v>0</v>
      </c>
      <c r="P117" s="4">
        <f>'תקציב מינהל תפעול 2022'!P117</f>
        <v>0</v>
      </c>
      <c r="Q117" s="4">
        <f>'תקציב מינהל תפעול 2022'!Q117</f>
        <v>0</v>
      </c>
      <c r="R117" s="4">
        <f>'תקציב מינהל תפעול 2022'!R117</f>
        <v>0</v>
      </c>
      <c r="S117" s="4">
        <f>'תקציב מינהל תפעול 2022'!S117</f>
        <v>0</v>
      </c>
      <c r="T117" s="4">
        <f>'תקציב מינהל תפעול 2022'!T117</f>
        <v>0</v>
      </c>
      <c r="U117" s="4">
        <f>'תקציב מינהל תפעול 2022'!U117</f>
        <v>200000</v>
      </c>
      <c r="V117" s="4">
        <f>'תקציב מינהל תפעול 2022'!V117</f>
        <v>200000</v>
      </c>
      <c r="W117" s="4">
        <f>'תקציב מינהל תפעול 2022'!W117</f>
        <v>0</v>
      </c>
      <c r="X117" s="4">
        <f>'תקציב מינהל תפעול 2022'!X117</f>
        <v>0</v>
      </c>
      <c r="Y117" s="4">
        <f>'תקציב מינהל תפעול 2022'!Y117</f>
        <v>0</v>
      </c>
      <c r="Z117" s="4">
        <f>'תקציב מינהל תפעול 2022'!Z117</f>
        <v>0</v>
      </c>
      <c r="AA117" s="4">
        <f>'תקציב מינהל תפעול 2022'!AA117</f>
        <v>0</v>
      </c>
      <c r="AB117" s="255" t="str">
        <f>'תקציב מינהל תפעול 2022'!AB117</f>
        <v>היערכות לתכנון תוכנית אב רב שנתית התאמת מוסדות חינוך בהתאם לצורך ולגידול האוכלוסיה.</v>
      </c>
      <c r="AC117" s="3">
        <v>810000</v>
      </c>
    </row>
    <row r="118" spans="1:46" ht="75">
      <c r="A118" s="3">
        <f t="shared" si="1"/>
        <v>114</v>
      </c>
      <c r="B118" s="3">
        <f>'תקציב מינהל תפעול 2022'!B118</f>
        <v>20032</v>
      </c>
      <c r="C118" s="255" t="str">
        <f>'תקציב מינהל תפעול 2022'!C118</f>
        <v>שדרוג תאורה במגרשי אימונים באיצטדיון</v>
      </c>
      <c r="D118" s="4">
        <f>'תקציב מינהל תפעול 2022'!D118</f>
        <v>4850000</v>
      </c>
      <c r="E118" s="4">
        <f>'תקציב מינהל תפעול 2022'!E118</f>
        <v>0</v>
      </c>
      <c r="F118" s="4">
        <f>'תקציב מינהל תפעול 2022'!F118</f>
        <v>4850000</v>
      </c>
      <c r="G118" s="4">
        <f>'תקציב מינהל תפעול 2022'!G118</f>
        <v>0</v>
      </c>
      <c r="H118" s="4">
        <f>'תקציב מינהל תפעול 2022'!H118</f>
        <v>0</v>
      </c>
      <c r="I118" s="4">
        <f>'תקציב מינהל תפעול 2022'!I118</f>
        <v>0</v>
      </c>
      <c r="J118" s="4">
        <f>'תקציב מינהל תפעול 2022'!J118</f>
        <v>0</v>
      </c>
      <c r="K118" s="4">
        <f>'תקציב מינהל תפעול 2022'!K118</f>
        <v>0</v>
      </c>
      <c r="L118" s="4">
        <f>'תקציב מינהל תפעול 2022'!L118</f>
        <v>0</v>
      </c>
      <c r="M118" s="4">
        <f>'תקציב מינהל תפעול 2022'!M118</f>
        <v>0</v>
      </c>
      <c r="N118" s="4">
        <f>'תקציב מינהל תפעול 2022'!N118</f>
        <v>500000</v>
      </c>
      <c r="O118" s="4">
        <f>'תקציב מינהל תפעול 2022'!O118</f>
        <v>4350000</v>
      </c>
      <c r="P118" s="4">
        <f>'תקציב מינהל תפעול 2022'!P118</f>
        <v>0</v>
      </c>
      <c r="Q118" s="4">
        <f>'תקציב מינהל תפעול 2022'!Q118</f>
        <v>0</v>
      </c>
      <c r="R118" s="4">
        <f>'תקציב מינהל תפעול 2022'!R118</f>
        <v>0</v>
      </c>
      <c r="S118" s="4">
        <f>'תקציב מינהל תפעול 2022'!S118</f>
        <v>0</v>
      </c>
      <c r="T118" s="4">
        <f>'תקציב מינהל תפעול 2022'!T118</f>
        <v>0</v>
      </c>
      <c r="U118" s="4">
        <f>'תקציב מינהל תפעול 2022'!U118</f>
        <v>500000</v>
      </c>
      <c r="V118" s="4">
        <f>'תקציב מינהל תפעול 2022'!V118</f>
        <v>500000</v>
      </c>
      <c r="W118" s="4">
        <f>'תקציב מינהל תפעול 2022'!W118</f>
        <v>0</v>
      </c>
      <c r="X118" s="4">
        <f>'תקציב מינהל תפעול 2022'!X118</f>
        <v>0</v>
      </c>
      <c r="Y118" s="4">
        <f>'תקציב מינהל תפעול 2022'!Y118</f>
        <v>0</v>
      </c>
      <c r="Z118" s="4">
        <f>'תקציב מינהל תפעול 2022'!Z118</f>
        <v>0</v>
      </c>
      <c r="AA118" s="4">
        <f>'תקציב מינהל תפעול 2022'!AA118</f>
        <v>0</v>
      </c>
      <c r="AB118" s="255" t="str">
        <f>'תקציב מינהל תפעול 2022'!AB118</f>
        <v>שדרוג תאורה במגרשי האצטדיון-הארת המגרשים בעוצמה טובה יותר החלפה לתאורת לד ,החלפת עמודים בחלק מהמקומות ומערכת בקרה לשליטה מרחוק.</v>
      </c>
      <c r="AC118" s="3">
        <v>829000</v>
      </c>
    </row>
    <row r="119" spans="1:46" ht="75">
      <c r="A119" s="3">
        <f t="shared" si="1"/>
        <v>115</v>
      </c>
      <c r="B119" s="3">
        <f>'תקציב מינהל תפעול 2022'!B119</f>
        <v>20033</v>
      </c>
      <c r="C119" s="255" t="str">
        <f>'תקציב מינהל תפעול 2022'!C119</f>
        <v>שיקום אצטדיון גורדון</v>
      </c>
      <c r="D119" s="4">
        <f>'תקציב מינהל תפעול 2022'!D119</f>
        <v>910000</v>
      </c>
      <c r="E119" s="4">
        <f>'תקציב מינהל תפעול 2022'!E119</f>
        <v>0</v>
      </c>
      <c r="F119" s="4">
        <f>'תקציב מינהל תפעול 2022'!F119</f>
        <v>910000</v>
      </c>
      <c r="G119" s="4">
        <f>'תקציב מינהל תפעול 2022'!G119</f>
        <v>0</v>
      </c>
      <c r="H119" s="4">
        <f>'תקציב מינהל תפעול 2022'!H119</f>
        <v>0</v>
      </c>
      <c r="I119" s="4">
        <f>'תקציב מינהל תפעול 2022'!I119</f>
        <v>0</v>
      </c>
      <c r="J119" s="4">
        <f>'תקציב מינהל תפעול 2022'!J119</f>
        <v>0</v>
      </c>
      <c r="K119" s="4">
        <f>'תקציב מינהל תפעול 2022'!K119</f>
        <v>0</v>
      </c>
      <c r="L119" s="4">
        <f>'תקציב מינהל תפעול 2022'!L119</f>
        <v>0</v>
      </c>
      <c r="M119" s="4">
        <f>'תקציב מינהל תפעול 2022'!M119</f>
        <v>0</v>
      </c>
      <c r="N119" s="4">
        <f>'תקציב מינהל תפעול 2022'!N119</f>
        <v>910000</v>
      </c>
      <c r="O119" s="4">
        <f>'תקציב מינהל תפעול 2022'!O119</f>
        <v>0</v>
      </c>
      <c r="P119" s="4">
        <f>'תקציב מינהל תפעול 2022'!P119</f>
        <v>0</v>
      </c>
      <c r="Q119" s="4">
        <f>'תקציב מינהל תפעול 2022'!Q119</f>
        <v>0</v>
      </c>
      <c r="R119" s="4">
        <f>'תקציב מינהל תפעול 2022'!R119</f>
        <v>0</v>
      </c>
      <c r="S119" s="4">
        <f>'תקציב מינהל תפעול 2022'!S119</f>
        <v>0</v>
      </c>
      <c r="T119" s="4">
        <f>'תקציב מינהל תפעול 2022'!T119</f>
        <v>0</v>
      </c>
      <c r="U119" s="4">
        <f>'תקציב מינהל תפעול 2022'!U119</f>
        <v>910000</v>
      </c>
      <c r="V119" s="4">
        <f>'תקציב מינהל תפעול 2022'!V119</f>
        <v>910000</v>
      </c>
      <c r="W119" s="4">
        <f>'תקציב מינהל תפעול 2022'!W119</f>
        <v>0</v>
      </c>
      <c r="X119" s="4">
        <f>'תקציב מינהל תפעול 2022'!X119</f>
        <v>0</v>
      </c>
      <c r="Y119" s="4">
        <f>'תקציב מינהל תפעול 2022'!Y119</f>
        <v>0</v>
      </c>
      <c r="Z119" s="4">
        <f>'תקציב מינהל תפעול 2022'!Z119</f>
        <v>0</v>
      </c>
      <c r="AA119" s="4">
        <f>'תקציב מינהל תפעול 2022'!AA119</f>
        <v>0</v>
      </c>
      <c r="AB119" s="255" t="str">
        <f>'תקציב מינהל תפעול 2022'!AB119</f>
        <v>שיקום האיצטדיון אתלטיקה קלה בבי"ס גורדון . השיקום כולל שיפוץ היציע והמחסן והתקנת משטח ייעודי לא"ק במסלולי הריצה והקפיצה.</v>
      </c>
      <c r="AC119" s="3">
        <v>829000</v>
      </c>
    </row>
    <row r="120" spans="1:46" ht="75">
      <c r="A120" s="3">
        <f t="shared" si="1"/>
        <v>116</v>
      </c>
      <c r="B120" s="3">
        <f>'תקציב מינהל תפעול 2022'!B120</f>
        <v>20034</v>
      </c>
      <c r="C120" s="255" t="str">
        <f>'תקציב מינהל תפעול 2022'!C120</f>
        <v>בית ליצירה אומנותית - מועדון הנוער</v>
      </c>
      <c r="D120" s="4">
        <f>'תקציב מינהל תפעול 2022'!D120</f>
        <v>2000000</v>
      </c>
      <c r="E120" s="4">
        <f>'תקציב מינהל תפעול 2022'!E120</f>
        <v>0</v>
      </c>
      <c r="F120" s="4">
        <f>'תקציב מינהל תפעול 2022'!F120</f>
        <v>2000000</v>
      </c>
      <c r="G120" s="4">
        <f>'תקציב מינהל תפעול 2022'!G120</f>
        <v>0</v>
      </c>
      <c r="H120" s="4">
        <f>'תקציב מינהל תפעול 2022'!H120</f>
        <v>0</v>
      </c>
      <c r="I120" s="4">
        <f>'תקציב מינהל תפעול 2022'!I120</f>
        <v>0</v>
      </c>
      <c r="J120" s="4">
        <f>'תקציב מינהל תפעול 2022'!J120</f>
        <v>0</v>
      </c>
      <c r="K120" s="4">
        <f>'תקציב מינהל תפעול 2022'!K120</f>
        <v>0</v>
      </c>
      <c r="L120" s="4">
        <f>'תקציב מינהל תפעול 2022'!L120</f>
        <v>0</v>
      </c>
      <c r="M120" s="4">
        <f>'תקציב מינהל תפעול 2022'!M120</f>
        <v>0</v>
      </c>
      <c r="N120" s="4">
        <f>'תקציב מינהל תפעול 2022'!N120</f>
        <v>2000000</v>
      </c>
      <c r="O120" s="4">
        <f>'תקציב מינהל תפעול 2022'!O120</f>
        <v>0</v>
      </c>
      <c r="P120" s="4">
        <f>'תקציב מינהל תפעול 2022'!P120</f>
        <v>0</v>
      </c>
      <c r="Q120" s="4">
        <f>'תקציב מינהל תפעול 2022'!Q120</f>
        <v>0</v>
      </c>
      <c r="R120" s="4">
        <f>'תקציב מינהל תפעול 2022'!R120</f>
        <v>0</v>
      </c>
      <c r="S120" s="4">
        <f>'תקציב מינהל תפעול 2022'!S120</f>
        <v>0</v>
      </c>
      <c r="T120" s="4">
        <f>'תקציב מינהל תפעול 2022'!T120</f>
        <v>0</v>
      </c>
      <c r="U120" s="4">
        <f>'תקציב מינהל תפעול 2022'!U120</f>
        <v>2000000</v>
      </c>
      <c r="V120" s="4">
        <f>'תקציב מינהל תפעול 2022'!V120</f>
        <v>0</v>
      </c>
      <c r="W120" s="4">
        <f>'תקציב מינהל תפעול 2022'!W120</f>
        <v>1000000</v>
      </c>
      <c r="X120" s="4">
        <f>'תקציב מינהל תפעול 2022'!X120</f>
        <v>0</v>
      </c>
      <c r="Y120" s="4">
        <f>'תקציב מינהל תפעול 2022'!Y120</f>
        <v>0</v>
      </c>
      <c r="Z120" s="4">
        <f>'תקציב מינהל תפעול 2022'!Z120</f>
        <v>0</v>
      </c>
      <c r="AA120" s="4">
        <f>'תקציב מינהל תפעול 2022'!AA120</f>
        <v>1000000</v>
      </c>
      <c r="AB120" s="255" t="str">
        <f>'תקציב מינהל תפעול 2022'!AB120</f>
        <v>עבודות שיפוץ במועדון הנוער יוסף נבו 18 הכוללות : תקרות, רצפות, שרותים, שיפוץ בית הקפה, מערכות סאונד, הצטיידויות. מ. הפיס.</v>
      </c>
      <c r="AC120" s="3">
        <v>828000</v>
      </c>
    </row>
    <row r="121" spans="1:46" ht="45">
      <c r="A121" s="3">
        <f t="shared" si="1"/>
        <v>117</v>
      </c>
      <c r="B121" s="3">
        <f>'תקציב מינהל תפעול 2022'!B121</f>
        <v>20035</v>
      </c>
      <c r="C121" s="255" t="str">
        <f>'תקציב מינהל תפעול 2022'!C121</f>
        <v>הקמת שלוחת הצופים ליד אולפנת צביה</v>
      </c>
      <c r="D121" s="4">
        <f>'תקציב מינהל תפעול 2022'!D121</f>
        <v>3000000</v>
      </c>
      <c r="E121" s="4">
        <f>'תקציב מינהל תפעול 2022'!E121</f>
        <v>0</v>
      </c>
      <c r="F121" s="4">
        <f>'תקציב מינהל תפעול 2022'!F121</f>
        <v>3000000</v>
      </c>
      <c r="G121" s="4">
        <f>'תקציב מינהל תפעול 2022'!G121</f>
        <v>0</v>
      </c>
      <c r="H121" s="4">
        <f>'תקציב מינהל תפעול 2022'!H121</f>
        <v>0</v>
      </c>
      <c r="I121" s="4">
        <f>'תקציב מינהל תפעול 2022'!I121</f>
        <v>0</v>
      </c>
      <c r="J121" s="4">
        <f>'תקציב מינהל תפעול 2022'!J121</f>
        <v>0</v>
      </c>
      <c r="K121" s="4">
        <f>'תקציב מינהל תפעול 2022'!K121</f>
        <v>0</v>
      </c>
      <c r="L121" s="4">
        <f>'תקציב מינהל תפעול 2022'!L121</f>
        <v>0</v>
      </c>
      <c r="M121" s="4">
        <f>'תקציב מינהל תפעול 2022'!M121</f>
        <v>0</v>
      </c>
      <c r="N121" s="4">
        <f>'תקציב מינהל תפעול 2022'!N121</f>
        <v>1000000</v>
      </c>
      <c r="O121" s="4">
        <f>'תקציב מינהל תפעול 2022'!O121</f>
        <v>2000000</v>
      </c>
      <c r="P121" s="4">
        <f>'תקציב מינהל תפעול 2022'!P121</f>
        <v>0</v>
      </c>
      <c r="Q121" s="4">
        <f>'תקציב מינהל תפעול 2022'!Q121</f>
        <v>0</v>
      </c>
      <c r="R121" s="4">
        <f>'תקציב מינהל תפעול 2022'!R121</f>
        <v>0</v>
      </c>
      <c r="S121" s="4">
        <f>'תקציב מינהל תפעול 2022'!S121</f>
        <v>0</v>
      </c>
      <c r="T121" s="4">
        <f>'תקציב מינהל תפעול 2022'!T121</f>
        <v>0</v>
      </c>
      <c r="U121" s="4">
        <f>'תקציב מינהל תפעול 2022'!U121</f>
        <v>1000000</v>
      </c>
      <c r="V121" s="4">
        <f>'תקציב מינהל תפעול 2022'!V121</f>
        <v>0</v>
      </c>
      <c r="W121" s="4">
        <f>'תקציב מינהל תפעול 2022'!W121</f>
        <v>1000000</v>
      </c>
      <c r="X121" s="4">
        <f>'תקציב מינהל תפעול 2022'!X121</f>
        <v>0</v>
      </c>
      <c r="Y121" s="4">
        <f>'תקציב מינהל תפעול 2022'!Y121</f>
        <v>0</v>
      </c>
      <c r="Z121" s="4">
        <f>'תקציב מינהל תפעול 2022'!Z121</f>
        <v>0</v>
      </c>
      <c r="AA121" s="4">
        <f>'תקציב מינהל תפעול 2022'!AA121</f>
        <v>0</v>
      </c>
      <c r="AB121" s="255" t="str">
        <f>'תקציב מינהל תפעול 2022'!AB121</f>
        <v>הצבת מבנים יבילים , מבני שרותים, הצללות ופיתוח שבט צופים ליד אולפנה צביה.</v>
      </c>
      <c r="AC121" s="3">
        <v>828000</v>
      </c>
    </row>
    <row r="122" spans="1:46" s="418" customFormat="1" ht="60">
      <c r="A122" s="3">
        <f t="shared" si="1"/>
        <v>118</v>
      </c>
      <c r="B122" s="3">
        <f>'תקציב מינהל תפעול 2022'!B122</f>
        <v>20036</v>
      </c>
      <c r="C122" s="255" t="str">
        <f>'תקציב מינהל תפעול 2022'!C122</f>
        <v>הסבת מעון יום בנווה ישראל</v>
      </c>
      <c r="D122" s="4">
        <f>'תקציב מינהל תפעול 2022'!D122</f>
        <v>7800000</v>
      </c>
      <c r="E122" s="4">
        <f>'תקציב מינהל תפעול 2022'!E122</f>
        <v>0</v>
      </c>
      <c r="F122" s="4">
        <f>'תקציב מינהל תפעול 2022'!F122</f>
        <v>7800000</v>
      </c>
      <c r="G122" s="4">
        <f>'תקציב מינהל תפעול 2022'!G122</f>
        <v>0</v>
      </c>
      <c r="H122" s="4">
        <f>'תקציב מינהל תפעול 2022'!H122</f>
        <v>0</v>
      </c>
      <c r="I122" s="4">
        <f>'תקציב מינהל תפעול 2022'!I122</f>
        <v>0</v>
      </c>
      <c r="J122" s="4">
        <f>'תקציב מינהל תפעול 2022'!J122</f>
        <v>0</v>
      </c>
      <c r="K122" s="4">
        <f>'תקציב מינהל תפעול 2022'!K122</f>
        <v>0</v>
      </c>
      <c r="L122" s="4">
        <f>'תקציב מינהל תפעול 2022'!L122</f>
        <v>0</v>
      </c>
      <c r="M122" s="4">
        <f>'תקציב מינהל תפעול 2022'!M122</f>
        <v>0</v>
      </c>
      <c r="N122" s="4">
        <f>'תקציב מינהל תפעול 2022'!N122</f>
        <v>200000</v>
      </c>
      <c r="O122" s="4">
        <f>'תקציב מינהל תפעול 2022'!O122</f>
        <v>7600000</v>
      </c>
      <c r="P122" s="4">
        <f>'תקציב מינהל תפעול 2022'!P122</f>
        <v>0</v>
      </c>
      <c r="Q122" s="4">
        <f>'תקציב מינהל תפעול 2022'!Q122</f>
        <v>0</v>
      </c>
      <c r="R122" s="4">
        <f>'תקציב מינהל תפעול 2022'!R122</f>
        <v>0</v>
      </c>
      <c r="S122" s="4">
        <f>'תקציב מינהל תפעול 2022'!S122</f>
        <v>0</v>
      </c>
      <c r="T122" s="4">
        <f>'תקציב מינהל תפעול 2022'!T122</f>
        <v>0</v>
      </c>
      <c r="U122" s="4">
        <f>'תקציב מינהל תפעול 2022'!U122</f>
        <v>200000</v>
      </c>
      <c r="V122" s="4">
        <f>'תקציב מינהל תפעול 2022'!V122</f>
        <v>0</v>
      </c>
      <c r="W122" s="4">
        <f>'תקציב מינהל תפעול 2022'!W122</f>
        <v>200000</v>
      </c>
      <c r="X122" s="4">
        <f>'תקציב מינהל תפעול 2022'!X122</f>
        <v>0</v>
      </c>
      <c r="Y122" s="4">
        <f>'תקציב מינהל תפעול 2022'!Y122</f>
        <v>0</v>
      </c>
      <c r="Z122" s="4">
        <f>'תקציב מינהל תפעול 2022'!Z122</f>
        <v>0</v>
      </c>
      <c r="AA122" s="4">
        <f>'תקציב מינהל תפעול 2022'!AA122</f>
        <v>0</v>
      </c>
      <c r="AB122" s="255" t="str">
        <f>'תקציב מינהל תפעול 2022'!AB122</f>
        <v>הקמת מעון יום במתנ"ס נווה ישראל.תוספת קומה והקמת 4 כיתות מעון , פיתוח והצטיידות. ב - 2022 בדיקת היתכנות ותכנון.</v>
      </c>
      <c r="AC122" s="3">
        <v>810000</v>
      </c>
      <c r="AD122" s="462"/>
      <c r="AE122" s="462"/>
      <c r="AF122" s="462"/>
      <c r="AG122" s="462"/>
      <c r="AH122" s="462"/>
      <c r="AI122" s="462"/>
      <c r="AJ122" s="462"/>
      <c r="AK122" s="462"/>
      <c r="AL122" s="462"/>
      <c r="AM122" s="462"/>
      <c r="AN122" s="462"/>
      <c r="AO122" s="462"/>
      <c r="AP122" s="462"/>
      <c r="AQ122" s="462"/>
      <c r="AR122" s="462"/>
      <c r="AS122" s="462"/>
      <c r="AT122" s="462"/>
    </row>
    <row r="123" spans="1:46" ht="90">
      <c r="A123" s="3">
        <f t="shared" si="1"/>
        <v>119</v>
      </c>
      <c r="B123" s="3">
        <f>'תקציב מינהל תפעול 2022'!B123</f>
        <v>20037</v>
      </c>
      <c r="C123" s="255" t="str">
        <f>'תקציב מינהל תפעול 2022'!C123</f>
        <v>שיפוץ הקונסרבטוריון יד התשעה</v>
      </c>
      <c r="D123" s="4">
        <f>'תקציב מינהל תפעול 2022'!D123</f>
        <v>2000000</v>
      </c>
      <c r="E123" s="4">
        <f>'תקציב מינהל תפעול 2022'!E123</f>
        <v>0</v>
      </c>
      <c r="F123" s="4">
        <f>'תקציב מינהל תפעול 2022'!F123</f>
        <v>2000000</v>
      </c>
      <c r="G123" s="4">
        <f>'תקציב מינהל תפעול 2022'!G123</f>
        <v>0</v>
      </c>
      <c r="H123" s="4">
        <f>'תקציב מינהל תפעול 2022'!H123</f>
        <v>0</v>
      </c>
      <c r="I123" s="4">
        <f>'תקציב מינהל תפעול 2022'!I123</f>
        <v>0</v>
      </c>
      <c r="J123" s="4">
        <f>'תקציב מינהל תפעול 2022'!J123</f>
        <v>0</v>
      </c>
      <c r="K123" s="4">
        <f>'תקציב מינהל תפעול 2022'!K123</f>
        <v>0</v>
      </c>
      <c r="L123" s="4">
        <f>'תקציב מינהל תפעול 2022'!L123</f>
        <v>0</v>
      </c>
      <c r="M123" s="4">
        <f>'תקציב מינהל תפעול 2022'!M123</f>
        <v>0</v>
      </c>
      <c r="N123" s="4">
        <f>'תקציב מינהל תפעול 2022'!N123</f>
        <v>1500000</v>
      </c>
      <c r="O123" s="4">
        <f>'תקציב מינהל תפעול 2022'!O123</f>
        <v>500000</v>
      </c>
      <c r="P123" s="4">
        <f>'תקציב מינהל תפעול 2022'!P123</f>
        <v>0</v>
      </c>
      <c r="Q123" s="4">
        <f>'תקציב מינהל תפעול 2022'!Q123</f>
        <v>0</v>
      </c>
      <c r="R123" s="4">
        <f>'תקציב מינהל תפעול 2022'!R123</f>
        <v>0</v>
      </c>
      <c r="S123" s="4">
        <f>'תקציב מינהל תפעול 2022'!S123</f>
        <v>0</v>
      </c>
      <c r="T123" s="4">
        <f>'תקציב מינהל תפעול 2022'!T123</f>
        <v>0</v>
      </c>
      <c r="U123" s="4">
        <f>'תקציב מינהל תפעול 2022'!U123</f>
        <v>1500000</v>
      </c>
      <c r="V123" s="4">
        <f>'תקציב מינהל תפעול 2022'!V123</f>
        <v>0</v>
      </c>
      <c r="W123" s="4">
        <f>'תקציב מינהל תפעול 2022'!W123</f>
        <v>500000</v>
      </c>
      <c r="X123" s="4">
        <f>'תקציב מינהל תפעול 2022'!X123</f>
        <v>0</v>
      </c>
      <c r="Y123" s="4">
        <f>'תקציב מינהל תפעול 2022'!Y123</f>
        <v>0</v>
      </c>
      <c r="Z123" s="4">
        <f>'תקציב מינהל תפעול 2022'!Z123</f>
        <v>0</v>
      </c>
      <c r="AA123" s="4">
        <f>'תקציב מינהל תפעול 2022'!AA123</f>
        <v>1000000</v>
      </c>
      <c r="AB123" s="255" t="str">
        <f>'תקציב מינהל תפעול 2022'!AB123</f>
        <v>עבודות שיפוץ הקונסבטוריון כ - 1,000 מ"ר ב - 2 קומות בשכונת יד התשעה כולל תקרות אקוסטיות, תאורה, ריצוף, שדרוג השרותים , מערכות חשמל, מיזוג אוויר. מ. הפיס.</v>
      </c>
      <c r="AC123" s="3">
        <v>826000</v>
      </c>
    </row>
    <row r="124" spans="1:46" ht="60">
      <c r="A124" s="3">
        <f t="shared" si="1"/>
        <v>120</v>
      </c>
      <c r="B124" s="3">
        <f>'תקציב מינהל תפעול 2022'!B124</f>
        <v>20038</v>
      </c>
      <c r="C124" s="255" t="str">
        <f>'תקציב מינהל תפעול 2022'!C124</f>
        <v>שיקום בטונים יציע מערבי באיצטדיון</v>
      </c>
      <c r="D124" s="4">
        <f>'תקציב מינהל תפעול 2022'!D124</f>
        <v>550000</v>
      </c>
      <c r="E124" s="4">
        <f>'תקציב מינהל תפעול 2022'!E124</f>
        <v>0</v>
      </c>
      <c r="F124" s="4">
        <f>'תקציב מינהל תפעול 2022'!F124</f>
        <v>550000</v>
      </c>
      <c r="G124" s="4">
        <f>'תקציב מינהל תפעול 2022'!G124</f>
        <v>0</v>
      </c>
      <c r="H124" s="4">
        <f>'תקציב מינהל תפעול 2022'!H124</f>
        <v>0</v>
      </c>
      <c r="I124" s="4">
        <f>'תקציב מינהל תפעול 2022'!I124</f>
        <v>0</v>
      </c>
      <c r="J124" s="4">
        <f>'תקציב מינהל תפעול 2022'!J124</f>
        <v>0</v>
      </c>
      <c r="K124" s="4">
        <f>'תקציב מינהל תפעול 2022'!K124</f>
        <v>0</v>
      </c>
      <c r="L124" s="4">
        <f>'תקציב מינהל תפעול 2022'!L124</f>
        <v>0</v>
      </c>
      <c r="M124" s="4">
        <f>'תקציב מינהל תפעול 2022'!M124</f>
        <v>0</v>
      </c>
      <c r="N124" s="4">
        <f>'תקציב מינהל תפעול 2022'!N124</f>
        <v>550000</v>
      </c>
      <c r="O124" s="4">
        <f>'תקציב מינהל תפעול 2022'!O124</f>
        <v>0</v>
      </c>
      <c r="P124" s="4">
        <f>'תקציב מינהל תפעול 2022'!P124</f>
        <v>0</v>
      </c>
      <c r="Q124" s="4">
        <f>'תקציב מינהל תפעול 2022'!Q124</f>
        <v>0</v>
      </c>
      <c r="R124" s="4">
        <f>'תקציב מינהל תפעול 2022'!R124</f>
        <v>0</v>
      </c>
      <c r="S124" s="4">
        <f>'תקציב מינהל תפעול 2022'!S124</f>
        <v>0</v>
      </c>
      <c r="T124" s="4">
        <f>'תקציב מינהל תפעול 2022'!T124</f>
        <v>0</v>
      </c>
      <c r="U124" s="4">
        <f>'תקציב מינהל תפעול 2022'!U124</f>
        <v>550000</v>
      </c>
      <c r="V124" s="4">
        <f>'תקציב מינהל תפעול 2022'!V124</f>
        <v>0</v>
      </c>
      <c r="W124" s="4">
        <f>'תקציב מינהל תפעול 2022'!W124</f>
        <v>550000</v>
      </c>
      <c r="X124" s="4">
        <f>'תקציב מינהל תפעול 2022'!X124</f>
        <v>0</v>
      </c>
      <c r="Y124" s="4">
        <f>'תקציב מינהל תפעול 2022'!Y124</f>
        <v>0</v>
      </c>
      <c r="Z124" s="4">
        <f>'תקציב מינהל תפעול 2022'!Z124</f>
        <v>0</v>
      </c>
      <c r="AA124" s="4">
        <f>'תקציב מינהל תפעול 2022'!AA124</f>
        <v>0</v>
      </c>
      <c r="AB124" s="255" t="str">
        <f>'תקציב מינהל תפעול 2022'!AB124</f>
        <v>עבודות שיקום בטונים ביציע המערבי בעקבות דוח קונסטרוקטור להשמשת האיצטדיון.</v>
      </c>
      <c r="AC124" s="3">
        <v>829000</v>
      </c>
    </row>
    <row r="125" spans="1:46" ht="75">
      <c r="A125" s="3">
        <f t="shared" si="1"/>
        <v>121</v>
      </c>
      <c r="B125" s="3">
        <f>'תקציב מינהל תפעול 2022'!B125</f>
        <v>20039</v>
      </c>
      <c r="C125" s="255" t="str">
        <f>'תקציב מינהל תפעול 2022'!C125</f>
        <v>הקמת מחלקת אכיפה אלקטרונית, מרכז שליטה -מינהל התפעול</v>
      </c>
      <c r="D125" s="4">
        <f>'תקציב מינהל תפעול 2022'!D125</f>
        <v>3200000</v>
      </c>
      <c r="E125" s="4">
        <f>'תקציב מינהל תפעול 2022'!E125</f>
        <v>0</v>
      </c>
      <c r="F125" s="4">
        <f>'תקציב מינהל תפעול 2022'!F125</f>
        <v>3200000</v>
      </c>
      <c r="G125" s="4">
        <f>'תקציב מינהל תפעול 2022'!G125</f>
        <v>0</v>
      </c>
      <c r="H125" s="4">
        <f>'תקציב מינהל תפעול 2022'!H125</f>
        <v>0</v>
      </c>
      <c r="I125" s="4">
        <f>'תקציב מינהל תפעול 2022'!I125</f>
        <v>0</v>
      </c>
      <c r="J125" s="4">
        <f>'תקציב מינהל תפעול 2022'!J125</f>
        <v>0</v>
      </c>
      <c r="K125" s="4">
        <f>'תקציב מינהל תפעול 2022'!K125</f>
        <v>0</v>
      </c>
      <c r="L125" s="4">
        <f>'תקציב מינהל תפעול 2022'!L125</f>
        <v>0</v>
      </c>
      <c r="M125" s="4">
        <f>'תקציב מינהל תפעול 2022'!M125</f>
        <v>0</v>
      </c>
      <c r="N125" s="4">
        <f>'תקציב מינהל תפעול 2022'!N125</f>
        <v>3200000</v>
      </c>
      <c r="O125" s="4">
        <f>'תקציב מינהל תפעול 2022'!O125</f>
        <v>0</v>
      </c>
      <c r="P125" s="4">
        <f>'תקציב מינהל תפעול 2022'!P125</f>
        <v>0</v>
      </c>
      <c r="Q125" s="4">
        <f>'תקציב מינהל תפעול 2022'!Q125</f>
        <v>0</v>
      </c>
      <c r="R125" s="4">
        <f>'תקציב מינהל תפעול 2022'!R125</f>
        <v>0</v>
      </c>
      <c r="S125" s="4">
        <f>'תקציב מינהל תפעול 2022'!S125</f>
        <v>0</v>
      </c>
      <c r="T125" s="4">
        <f>'תקציב מינהל תפעול 2022'!T125</f>
        <v>0</v>
      </c>
      <c r="U125" s="4">
        <f>'תקציב מינהל תפעול 2022'!U125</f>
        <v>3200000</v>
      </c>
      <c r="V125" s="4">
        <f>'תקציב מינהל תפעול 2022'!V125</f>
        <v>0</v>
      </c>
      <c r="W125" s="4">
        <f>'תקציב מינהל תפעול 2022'!W125</f>
        <v>3200000</v>
      </c>
      <c r="X125" s="4">
        <f>'תקציב מינהל תפעול 2022'!X125</f>
        <v>0</v>
      </c>
      <c r="Y125" s="4">
        <f>'תקציב מינהל תפעול 2022'!Y125</f>
        <v>0</v>
      </c>
      <c r="Z125" s="4">
        <f>'תקציב מינהל תפעול 2022'!Z125</f>
        <v>0</v>
      </c>
      <c r="AA125" s="4">
        <f>'תקציב מינהל תפעול 2022'!AA125</f>
        <v>0</v>
      </c>
      <c r="AB125" s="255" t="str">
        <f>'תקציב מינהל תפעול 2022'!AB125</f>
        <v>הפיכת מחסנים למשרדים של הנהלת מטה התפעול , מטה הכספים ואגף הדרכים כולל מע. מולטימדיה למשל"ט במינהל התפעול.</v>
      </c>
      <c r="AC125" s="3">
        <v>930000</v>
      </c>
    </row>
    <row r="126" spans="1:46" ht="30">
      <c r="A126" s="3">
        <f t="shared" si="1"/>
        <v>122</v>
      </c>
      <c r="B126" s="3">
        <f>'תקציב מינהל תפעול 2022'!B126</f>
        <v>20040</v>
      </c>
      <c r="C126" s="255" t="str">
        <f>'תקציב מינהל תפעול 2022'!C126</f>
        <v xml:space="preserve">בניית ממ"דים בבתים </v>
      </c>
      <c r="D126" s="4">
        <f>'תקציב מינהל תפעול 2022'!D126</f>
        <v>10000000</v>
      </c>
      <c r="E126" s="4">
        <f>'תקציב מינהל תפעול 2022'!E126</f>
        <v>0</v>
      </c>
      <c r="F126" s="4">
        <f>'תקציב מינהל תפעול 2022'!F126</f>
        <v>10000000</v>
      </c>
      <c r="G126" s="4">
        <f>'תקציב מינהל תפעול 2022'!G126</f>
        <v>0</v>
      </c>
      <c r="H126" s="4">
        <f>'תקציב מינהל תפעול 2022'!H126</f>
        <v>0</v>
      </c>
      <c r="I126" s="4">
        <f>'תקציב מינהל תפעול 2022'!I126</f>
        <v>0</v>
      </c>
      <c r="J126" s="4">
        <f>'תקציב מינהל תפעול 2022'!J126</f>
        <v>0</v>
      </c>
      <c r="K126" s="4">
        <f>'תקציב מינהל תפעול 2022'!K126</f>
        <v>0</v>
      </c>
      <c r="L126" s="4">
        <f>'תקציב מינהל תפעול 2022'!L126</f>
        <v>0</v>
      </c>
      <c r="M126" s="4">
        <f>'תקציב מינהל תפעול 2022'!M126</f>
        <v>0</v>
      </c>
      <c r="N126" s="4">
        <f>'תקציב מינהל תפעול 2022'!N126</f>
        <v>1000000</v>
      </c>
      <c r="O126" s="4">
        <f>'תקציב מינהל תפעול 2022'!O126</f>
        <v>9000000</v>
      </c>
      <c r="P126" s="4">
        <f>'תקציב מינהל תפעול 2022'!P126</f>
        <v>0</v>
      </c>
      <c r="Q126" s="4">
        <f>'תקציב מינהל תפעול 2022'!Q126</f>
        <v>0</v>
      </c>
      <c r="R126" s="4">
        <f>'תקציב מינהל תפעול 2022'!R126</f>
        <v>0</v>
      </c>
      <c r="S126" s="4">
        <f>'תקציב מינהל תפעול 2022'!S126</f>
        <v>0</v>
      </c>
      <c r="T126" s="4">
        <f>'תקציב מינהל תפעול 2022'!T126</f>
        <v>0</v>
      </c>
      <c r="U126" s="4">
        <f>'תקציב מינהל תפעול 2022'!U126</f>
        <v>1000000</v>
      </c>
      <c r="V126" s="4">
        <f>'תקציב מינהל תפעול 2022'!V126</f>
        <v>0</v>
      </c>
      <c r="W126" s="4">
        <f>'תקציב מינהל תפעול 2022'!W126</f>
        <v>0</v>
      </c>
      <c r="X126" s="4">
        <f>'תקציב מינהל תפעול 2022'!X126</f>
        <v>0</v>
      </c>
      <c r="Y126" s="4">
        <f>'תקציב מינהל תפעול 2022'!Y126</f>
        <v>0</v>
      </c>
      <c r="Z126" s="4">
        <f>'תקציב מינהל תפעול 2022'!Z126</f>
        <v>0</v>
      </c>
      <c r="AA126" s="4">
        <f>'תקציב מינהל תפעול 2022'!AA126</f>
        <v>1000000</v>
      </c>
      <c r="AB126" s="255" t="str">
        <f>'תקציב מינהל תפעול 2022'!AB126</f>
        <v xml:space="preserve">בניית ממ"דים בבתים  בשיתוף האגודה לתרבות הדיור. </v>
      </c>
      <c r="AC126" s="3">
        <v>764000</v>
      </c>
    </row>
    <row r="127" spans="1:46" s="764" customFormat="1" ht="30" customHeight="1">
      <c r="A127" s="762">
        <f>A126</f>
        <v>122</v>
      </c>
      <c r="B127" s="762"/>
      <c r="C127" s="762" t="s">
        <v>94</v>
      </c>
      <c r="D127" s="763">
        <f t="shared" ref="D127:AA127" si="2">SUM(D5:D126)</f>
        <v>806482978</v>
      </c>
      <c r="E127" s="763">
        <f t="shared" si="2"/>
        <v>702118212</v>
      </c>
      <c r="F127" s="763">
        <f t="shared" si="2"/>
        <v>104364766</v>
      </c>
      <c r="G127" s="763">
        <f t="shared" si="2"/>
        <v>518658778</v>
      </c>
      <c r="H127" s="763">
        <f t="shared" si="2"/>
        <v>421111924</v>
      </c>
      <c r="I127" s="763">
        <f t="shared" si="2"/>
        <v>23248948</v>
      </c>
      <c r="J127" s="763">
        <f t="shared" si="2"/>
        <v>45388313</v>
      </c>
      <c r="K127" s="763">
        <f t="shared" si="2"/>
        <v>68637261</v>
      </c>
      <c r="L127" s="763">
        <f t="shared" si="2"/>
        <v>489749185</v>
      </c>
      <c r="M127" s="763">
        <f t="shared" si="2"/>
        <v>31121559</v>
      </c>
      <c r="N127" s="763">
        <f t="shared" si="2"/>
        <v>84404800</v>
      </c>
      <c r="O127" s="763">
        <f t="shared" si="2"/>
        <v>201207434</v>
      </c>
      <c r="P127" s="763">
        <f t="shared" si="2"/>
        <v>28909593</v>
      </c>
      <c r="Q127" s="763">
        <f t="shared" si="2"/>
        <v>2020000</v>
      </c>
      <c r="R127" s="763">
        <f t="shared" si="2"/>
        <v>300000</v>
      </c>
      <c r="S127" s="763">
        <f t="shared" si="2"/>
        <v>2320000</v>
      </c>
      <c r="T127" s="763">
        <f t="shared" si="2"/>
        <v>108034</v>
      </c>
      <c r="U127" s="763">
        <f t="shared" si="2"/>
        <v>84296766</v>
      </c>
      <c r="V127" s="763">
        <f t="shared" si="2"/>
        <v>22084574</v>
      </c>
      <c r="W127" s="763">
        <f t="shared" si="2"/>
        <v>44644649</v>
      </c>
      <c r="X127" s="763">
        <f t="shared" si="2"/>
        <v>0</v>
      </c>
      <c r="Y127" s="763">
        <f t="shared" si="2"/>
        <v>0</v>
      </c>
      <c r="Z127" s="763">
        <f t="shared" si="2"/>
        <v>0</v>
      </c>
      <c r="AA127" s="763">
        <f t="shared" si="2"/>
        <v>17567543</v>
      </c>
      <c r="AB127" s="762"/>
      <c r="AC127" s="762"/>
      <c r="AD127" s="462"/>
      <c r="AE127" s="462"/>
      <c r="AF127" s="462"/>
      <c r="AG127" s="462"/>
      <c r="AH127" s="462"/>
      <c r="AI127" s="462"/>
      <c r="AJ127" s="462"/>
      <c r="AK127" s="462"/>
      <c r="AL127" s="462"/>
      <c r="AM127" s="462"/>
      <c r="AN127" s="462"/>
      <c r="AO127" s="462"/>
      <c r="AP127" s="462"/>
      <c r="AQ127" s="462"/>
      <c r="AR127" s="462"/>
      <c r="AS127" s="462"/>
      <c r="AT127" s="462"/>
    </row>
    <row r="128" spans="1:46" s="649" customFormat="1" ht="15" hidden="1">
      <c r="A128" s="645"/>
      <c r="B128" s="273"/>
      <c r="C128" s="646"/>
      <c r="D128" s="646"/>
      <c r="E128" s="274"/>
      <c r="F128" s="274"/>
      <c r="G128" s="274"/>
      <c r="H128" s="274"/>
      <c r="I128" s="274"/>
      <c r="J128" s="274"/>
      <c r="K128" s="274"/>
      <c r="L128" s="274">
        <f>H127+K127</f>
        <v>489749185</v>
      </c>
      <c r="M128" s="274">
        <f>P127+S127-T127</f>
        <v>31121559</v>
      </c>
      <c r="N128" s="274"/>
      <c r="O128" s="274"/>
      <c r="P128" s="274">
        <f>G127-L127</f>
        <v>28909593</v>
      </c>
      <c r="Q128" s="274"/>
      <c r="R128" s="274"/>
      <c r="S128" s="274"/>
      <c r="T128" s="274"/>
      <c r="U128" s="273"/>
      <c r="V128" s="273"/>
      <c r="W128" s="273"/>
      <c r="X128" s="273"/>
      <c r="Y128" s="273"/>
      <c r="Z128" s="273"/>
      <c r="AA128" s="273"/>
      <c r="AB128" s="645"/>
      <c r="AC128" s="273"/>
      <c r="AD128" s="462"/>
      <c r="AE128" s="462"/>
      <c r="AF128" s="462"/>
      <c r="AG128" s="462"/>
      <c r="AH128" s="462"/>
      <c r="AI128" s="462"/>
      <c r="AJ128" s="462"/>
      <c r="AK128" s="462"/>
      <c r="AL128" s="462"/>
      <c r="AM128" s="462"/>
      <c r="AN128" s="462"/>
      <c r="AO128" s="462"/>
      <c r="AP128" s="462"/>
      <c r="AQ128" s="462"/>
      <c r="AR128" s="462"/>
      <c r="AS128" s="462"/>
      <c r="AT128" s="462"/>
    </row>
    <row r="129" spans="1:46" s="649" customFormat="1" ht="15">
      <c r="A129" s="645"/>
      <c r="B129" s="273"/>
      <c r="C129" s="646"/>
      <c r="D129" s="646"/>
      <c r="E129" s="274"/>
      <c r="F129" s="274"/>
      <c r="G129" s="274"/>
      <c r="H129" s="274"/>
      <c r="I129" s="274"/>
      <c r="J129" s="274"/>
      <c r="K129" s="274"/>
      <c r="L129" s="274"/>
      <c r="M129" s="274"/>
      <c r="N129" s="274"/>
      <c r="O129" s="274"/>
      <c r="P129" s="274"/>
      <c r="Q129" s="274"/>
      <c r="R129" s="274"/>
      <c r="S129" s="274"/>
      <c r="T129" s="274"/>
      <c r="U129" s="274"/>
      <c r="V129" s="273"/>
      <c r="W129" s="273"/>
      <c r="X129" s="273"/>
      <c r="Y129" s="273"/>
      <c r="Z129" s="273"/>
      <c r="AA129" s="273"/>
      <c r="AB129" s="645"/>
      <c r="AC129" s="273"/>
      <c r="AD129" s="462"/>
      <c r="AE129" s="462"/>
      <c r="AF129" s="462"/>
      <c r="AG129" s="462"/>
      <c r="AH129" s="462"/>
      <c r="AI129" s="462"/>
      <c r="AJ129" s="462"/>
      <c r="AK129" s="462"/>
      <c r="AL129" s="462"/>
      <c r="AM129" s="462"/>
      <c r="AN129" s="462"/>
      <c r="AO129" s="462"/>
      <c r="AP129" s="462"/>
      <c r="AQ129" s="462"/>
      <c r="AR129" s="462"/>
      <c r="AS129" s="462"/>
      <c r="AT129" s="462"/>
    </row>
    <row r="130" spans="1:46" s="649" customFormat="1" ht="15.75">
      <c r="A130" s="645"/>
      <c r="B130" s="273"/>
      <c r="C130" s="654"/>
      <c r="D130" s="274"/>
      <c r="E130" s="274"/>
      <c r="F130" s="274"/>
      <c r="G130" s="274"/>
      <c r="H130" s="274"/>
      <c r="I130" s="274"/>
      <c r="J130" s="274"/>
      <c r="K130" s="274"/>
      <c r="L130" s="274"/>
      <c r="M130" s="274"/>
      <c r="N130" s="274"/>
      <c r="O130" s="274"/>
      <c r="P130" s="274"/>
      <c r="Q130" s="274"/>
      <c r="R130" s="274"/>
      <c r="S130" s="274"/>
      <c r="T130" s="274"/>
      <c r="U130" s="273"/>
      <c r="V130" s="273"/>
      <c r="W130" s="273"/>
      <c r="X130" s="273"/>
      <c r="Y130" s="273"/>
      <c r="Z130" s="273"/>
      <c r="AA130" s="273"/>
      <c r="AB130" s="645"/>
      <c r="AC130" s="273"/>
      <c r="AD130" s="462"/>
      <c r="AE130" s="462"/>
      <c r="AF130" s="462"/>
      <c r="AG130" s="462"/>
      <c r="AH130" s="462"/>
      <c r="AI130" s="462"/>
      <c r="AJ130" s="462"/>
      <c r="AK130" s="462"/>
      <c r="AL130" s="462"/>
      <c r="AM130" s="462"/>
      <c r="AN130" s="462"/>
      <c r="AO130" s="462"/>
      <c r="AP130" s="462"/>
      <c r="AQ130" s="462"/>
      <c r="AR130" s="462"/>
      <c r="AS130" s="462"/>
      <c r="AT130" s="462"/>
    </row>
    <row r="132" spans="1:46">
      <c r="N132" s="832"/>
      <c r="O132" s="194"/>
      <c r="P132" s="194"/>
      <c r="Q132" s="194"/>
      <c r="R132" s="194"/>
      <c r="S132" s="194"/>
      <c r="T132" s="194"/>
      <c r="U132" s="194"/>
      <c r="V132" s="194"/>
    </row>
    <row r="133" spans="1:46">
      <c r="N133" s="194"/>
      <c r="O133" s="194"/>
      <c r="P133" s="194"/>
      <c r="Q133" s="194"/>
      <c r="R133" s="194"/>
      <c r="S133" s="194"/>
      <c r="T133" s="194"/>
      <c r="U133" s="194"/>
      <c r="V133" s="194"/>
    </row>
    <row r="134" spans="1:46">
      <c r="N134" s="194"/>
      <c r="O134" s="194"/>
      <c r="P134" s="194"/>
      <c r="Q134" s="194"/>
      <c r="R134" s="194"/>
      <c r="S134" s="194"/>
      <c r="T134" s="194"/>
      <c r="U134" s="194"/>
      <c r="V134" s="194"/>
    </row>
    <row r="135" spans="1:46">
      <c r="N135" s="194"/>
      <c r="O135" s="194"/>
      <c r="P135" s="194"/>
      <c r="Q135" s="194"/>
      <c r="R135" s="194"/>
      <c r="S135" s="194"/>
      <c r="T135" s="194"/>
      <c r="U135" s="194"/>
      <c r="V135" s="194"/>
    </row>
    <row r="136" spans="1:46">
      <c r="N136" s="194"/>
      <c r="O136" s="194"/>
      <c r="P136" s="194"/>
      <c r="Q136" s="194"/>
      <c r="R136" s="194"/>
      <c r="S136" s="194"/>
      <c r="T136" s="194"/>
      <c r="U136" s="194"/>
      <c r="V136" s="194"/>
    </row>
    <row r="137" spans="1:46">
      <c r="N137" s="194"/>
      <c r="O137" s="194"/>
      <c r="P137" s="194"/>
      <c r="Q137" s="194"/>
      <c r="R137" s="194"/>
      <c r="S137" s="194"/>
      <c r="T137" s="194"/>
      <c r="U137" s="194"/>
      <c r="V137" s="194"/>
    </row>
    <row r="138" spans="1:46">
      <c r="N138" s="194"/>
      <c r="O138" s="194"/>
      <c r="P138" s="194"/>
      <c r="Q138" s="194"/>
      <c r="R138" s="194"/>
      <c r="S138" s="194"/>
      <c r="T138" s="194"/>
      <c r="U138" s="194"/>
      <c r="V138" s="194"/>
    </row>
    <row r="139" spans="1:46">
      <c r="N139" s="194"/>
      <c r="O139" s="194"/>
      <c r="P139" s="194"/>
      <c r="Q139" s="194"/>
      <c r="R139" s="194"/>
      <c r="S139" s="194"/>
      <c r="T139" s="194"/>
      <c r="U139" s="194"/>
      <c r="V139" s="194"/>
    </row>
    <row r="140" spans="1:46">
      <c r="N140" s="194"/>
      <c r="O140" s="194"/>
      <c r="P140" s="194"/>
      <c r="Q140" s="194"/>
      <c r="R140" s="194"/>
      <c r="S140" s="194"/>
      <c r="T140" s="194"/>
      <c r="U140" s="194"/>
      <c r="V140" s="194"/>
    </row>
    <row r="141" spans="1:46">
      <c r="N141" s="194"/>
      <c r="O141" s="194"/>
      <c r="P141" s="194"/>
      <c r="Q141" s="194"/>
      <c r="R141" s="194"/>
      <c r="S141" s="194"/>
      <c r="T141" s="194"/>
      <c r="U141" s="194"/>
      <c r="V141" s="194"/>
    </row>
    <row r="142" spans="1:46">
      <c r="N142" s="194"/>
      <c r="O142" s="194"/>
      <c r="P142" s="194"/>
      <c r="Q142" s="194"/>
      <c r="R142" s="194"/>
      <c r="S142" s="194"/>
      <c r="T142" s="194"/>
      <c r="U142" s="194"/>
      <c r="V142" s="194"/>
    </row>
    <row r="143" spans="1:46">
      <c r="N143" s="194"/>
      <c r="O143" s="194"/>
      <c r="P143" s="194"/>
      <c r="Q143" s="194"/>
      <c r="R143" s="194"/>
      <c r="S143" s="194"/>
      <c r="T143" s="194"/>
      <c r="U143" s="194"/>
      <c r="V143" s="194"/>
    </row>
    <row r="144" spans="1:46">
      <c r="N144" s="194"/>
      <c r="O144" s="194"/>
      <c r="P144" s="194"/>
      <c r="Q144" s="194"/>
      <c r="R144" s="194"/>
      <c r="S144" s="194"/>
      <c r="T144" s="194"/>
      <c r="U144" s="194"/>
      <c r="V144" s="194"/>
    </row>
    <row r="145" spans="14:22">
      <c r="N145" s="194"/>
      <c r="O145" s="194"/>
      <c r="P145" s="194"/>
      <c r="Q145" s="194"/>
      <c r="R145" s="194"/>
      <c r="S145" s="194"/>
      <c r="T145" s="194"/>
      <c r="U145" s="194"/>
      <c r="V145" s="194"/>
    </row>
  </sheetData>
  <conditionalFormatting sqref="AB4">
    <cfRule type="cellIs" dxfId="164" priority="9" operator="equal">
      <formula>0</formula>
    </cfRule>
  </conditionalFormatting>
  <conditionalFormatting sqref="AE4:AF5">
    <cfRule type="cellIs" dxfId="163" priority="8" operator="equal">
      <formula>0</formula>
    </cfRule>
  </conditionalFormatting>
  <conditionalFormatting sqref="AG4">
    <cfRule type="cellIs" dxfId="162" priority="7" operator="equal">
      <formula>0</formula>
    </cfRule>
  </conditionalFormatting>
  <conditionalFormatting sqref="AI4">
    <cfRule type="cellIs" dxfId="161" priority="6" operator="equal">
      <formula>0</formula>
    </cfRule>
  </conditionalFormatting>
  <conditionalFormatting sqref="AJ4">
    <cfRule type="cellIs" dxfId="160" priority="5" operator="equal">
      <formula>0</formula>
    </cfRule>
  </conditionalFormatting>
  <conditionalFormatting sqref="AK4">
    <cfRule type="cellIs" dxfId="159" priority="4" operator="equal">
      <formula>0</formula>
    </cfRule>
  </conditionalFormatting>
  <conditionalFormatting sqref="AN4">
    <cfRule type="cellIs" dxfId="158" priority="3" operator="equal">
      <formula>0</formula>
    </cfRule>
  </conditionalFormatting>
  <conditionalFormatting sqref="U4">
    <cfRule type="cellIs" dxfId="157" priority="2" operator="equal">
      <formula>0</formula>
    </cfRule>
  </conditionalFormatting>
  <conditionalFormatting sqref="AO4">
    <cfRule type="cellIs" dxfId="156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46"/>
  <sheetViews>
    <sheetView showZeros="0" rightToLeft="1" topLeftCell="A13" zoomScaleNormal="100" workbookViewId="0">
      <selection activeCell="C55" sqref="C55"/>
    </sheetView>
  </sheetViews>
  <sheetFormatPr defaultColWidth="9.140625" defaultRowHeight="14.25"/>
  <cols>
    <col min="1" max="2" width="4.140625" style="87" customWidth="1"/>
    <col min="3" max="3" width="56.85546875" style="87" customWidth="1"/>
    <col min="4" max="4" width="9.140625" style="87"/>
    <col min="5" max="5" width="15.7109375" style="87" customWidth="1"/>
    <col min="6" max="8" width="9.140625" style="87"/>
    <col min="9" max="9" width="7.85546875" style="87" customWidth="1"/>
    <col min="10" max="16384" width="9.140625" style="87"/>
  </cols>
  <sheetData>
    <row r="3" spans="1:16" ht="20.25">
      <c r="C3" s="88"/>
    </row>
    <row r="4" spans="1:16" ht="15.75">
      <c r="A4" s="89" t="s">
        <v>182</v>
      </c>
      <c r="B4" s="89" t="s">
        <v>182</v>
      </c>
      <c r="C4" s="90" t="s">
        <v>183</v>
      </c>
    </row>
    <row r="5" spans="1:16" ht="15.75">
      <c r="A5" s="89"/>
      <c r="B5" s="89"/>
      <c r="C5" s="90"/>
    </row>
    <row r="6" spans="1:16" ht="15.75">
      <c r="A6" s="89">
        <v>1.1000000000000001</v>
      </c>
      <c r="B6" s="89"/>
      <c r="C6" s="91" t="s">
        <v>184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spans="1:16" ht="15.75">
      <c r="A7" s="89"/>
      <c r="B7" s="89"/>
      <c r="C7" s="89" t="s">
        <v>185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</row>
    <row r="8" spans="1:16" ht="15.75">
      <c r="A8" s="89"/>
      <c r="B8" s="89"/>
      <c r="C8" s="89" t="s">
        <v>615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</row>
    <row r="9" spans="1:16" ht="15.75">
      <c r="A9" s="89"/>
      <c r="B9" s="89"/>
      <c r="C9" s="89" t="s">
        <v>614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</row>
    <row r="10" spans="1:16" ht="15.7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</row>
    <row r="11" spans="1:16" ht="15.75">
      <c r="A11" s="89"/>
      <c r="B11" s="89"/>
      <c r="C11" s="89" t="s">
        <v>186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</row>
    <row r="12" spans="1:16" ht="15.75">
      <c r="A12" s="92"/>
      <c r="B12" s="92" t="s">
        <v>160</v>
      </c>
      <c r="C12" s="89" t="s">
        <v>187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</row>
    <row r="13" spans="1:16" ht="15.75">
      <c r="A13" s="89"/>
      <c r="B13" s="92" t="s">
        <v>160</v>
      </c>
      <c r="C13" s="89" t="s">
        <v>858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</row>
    <row r="14" spans="1:16" ht="15.75">
      <c r="A14" s="89"/>
      <c r="B14" s="92" t="s">
        <v>160</v>
      </c>
      <c r="C14" s="89" t="s">
        <v>188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</row>
    <row r="15" spans="1:16" ht="15.75">
      <c r="A15" s="89"/>
      <c r="B15" s="89"/>
      <c r="C15" s="89" t="s">
        <v>189</v>
      </c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</row>
    <row r="16" spans="1:16" ht="15.75">
      <c r="A16" s="89"/>
      <c r="B16" s="92" t="s">
        <v>160</v>
      </c>
      <c r="C16" s="89" t="s">
        <v>190</v>
      </c>
      <c r="D16" s="89"/>
      <c r="E16" s="89"/>
      <c r="F16" s="89"/>
      <c r="G16" s="89"/>
      <c r="H16" s="89"/>
      <c r="I16" s="89"/>
      <c r="J16" s="91"/>
      <c r="K16" s="89"/>
      <c r="L16" s="89"/>
      <c r="M16" s="89"/>
      <c r="N16" s="89"/>
      <c r="O16" s="89"/>
      <c r="P16" s="89"/>
    </row>
    <row r="17" spans="1:16" ht="15.75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</row>
    <row r="18" spans="1:16" ht="15.75">
      <c r="A18" s="89">
        <v>1.2</v>
      </c>
      <c r="B18" s="89"/>
      <c r="C18" s="91" t="s">
        <v>191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</row>
    <row r="19" spans="1:16" ht="15.75">
      <c r="A19" s="89"/>
      <c r="B19" s="89"/>
      <c r="C19" s="89" t="s">
        <v>192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</row>
    <row r="20" spans="1:16" ht="15.75">
      <c r="A20" s="89"/>
      <c r="B20" s="89"/>
      <c r="C20" s="89" t="s">
        <v>612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</row>
    <row r="21" spans="1:16" ht="15.75">
      <c r="A21" s="89"/>
      <c r="B21" s="89"/>
      <c r="C21" s="89" t="s">
        <v>613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</row>
    <row r="22" spans="1:16" ht="15.75">
      <c r="A22" s="89"/>
      <c r="B22" s="89"/>
      <c r="C22" s="89" t="s">
        <v>193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</row>
    <row r="23" spans="1:16" ht="15.75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</row>
    <row r="24" spans="1:16" ht="15.75">
      <c r="A24" s="89">
        <v>1.3</v>
      </c>
      <c r="B24" s="89"/>
      <c r="C24" s="91" t="s">
        <v>194</v>
      </c>
      <c r="D24" s="89"/>
      <c r="E24" s="90" t="s">
        <v>195</v>
      </c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 spans="1:16" ht="15.75">
      <c r="A25" s="89"/>
      <c r="B25" s="89"/>
      <c r="C25" s="91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6.5" thickBot="1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</row>
    <row r="27" spans="1:16" ht="16.5" thickBot="1">
      <c r="A27" s="89"/>
      <c r="B27" s="92" t="s">
        <v>160</v>
      </c>
      <c r="C27" s="89" t="s">
        <v>2039</v>
      </c>
      <c r="E27" s="837">
        <f>'ריכוז אגפים'!S16/1000</f>
        <v>474969.48599999998</v>
      </c>
      <c r="K27" s="89"/>
      <c r="L27" s="89"/>
      <c r="M27" s="89"/>
      <c r="N27" s="89"/>
      <c r="O27" s="89"/>
      <c r="P27" s="89"/>
    </row>
    <row r="28" spans="1:16" ht="16.5" hidden="1" thickBot="1">
      <c r="A28" s="89"/>
      <c r="B28" s="89"/>
      <c r="C28" s="89"/>
      <c r="D28" s="89"/>
      <c r="E28" s="838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</row>
    <row r="29" spans="1:16" ht="16.5" thickBot="1">
      <c r="A29" s="89"/>
      <c r="B29" s="92" t="s">
        <v>160</v>
      </c>
      <c r="C29" s="89" t="s">
        <v>2040</v>
      </c>
      <c r="E29" s="837">
        <f>'ריכוז אגפים'!L16/1000</f>
        <v>519346.60499999998</v>
      </c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</row>
    <row r="30" spans="1:16" ht="16.5" hidden="1" thickBot="1">
      <c r="A30" s="89"/>
      <c r="B30" s="89"/>
      <c r="C30" s="89"/>
      <c r="D30" s="93"/>
      <c r="E30" s="838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</row>
    <row r="31" spans="1:16" ht="16.5" thickBot="1">
      <c r="A31" s="89"/>
      <c r="B31" s="92" t="s">
        <v>160</v>
      </c>
      <c r="C31" s="89" t="s">
        <v>196</v>
      </c>
      <c r="E31" s="837">
        <f>'ריכוז אגפים'!B16/1000</f>
        <v>4956069.9560000002</v>
      </c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</row>
    <row r="32" spans="1:16" ht="15.75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</row>
    <row r="33" spans="1:16" ht="15.75">
      <c r="A33" s="89"/>
      <c r="B33" s="94"/>
      <c r="C33" s="94"/>
      <c r="D33" s="94"/>
      <c r="E33" s="94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</row>
    <row r="34" spans="1:16" ht="15.75">
      <c r="A34" s="89"/>
      <c r="B34" s="92" t="s">
        <v>160</v>
      </c>
      <c r="C34" s="89" t="s">
        <v>2416</v>
      </c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</row>
    <row r="35" spans="1:16" ht="15.75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</row>
    <row r="36" spans="1:16" s="89" customFormat="1" ht="15.75">
      <c r="B36" s="92" t="s">
        <v>160</v>
      </c>
      <c r="C36" s="89" t="s">
        <v>863</v>
      </c>
    </row>
    <row r="37" spans="1:16" s="89" customFormat="1" ht="15.75">
      <c r="C37" s="89" t="s">
        <v>864</v>
      </c>
    </row>
    <row r="38" spans="1:16" s="89" customFormat="1" ht="15.75">
      <c r="C38" s="89" t="s">
        <v>2374</v>
      </c>
    </row>
    <row r="39" spans="1:16" ht="15.75">
      <c r="A39" s="95"/>
      <c r="B39" s="95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</row>
    <row r="40" spans="1:16" ht="15.75">
      <c r="A40" s="95"/>
      <c r="B40" s="95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</row>
    <row r="41" spans="1:16" ht="15.75">
      <c r="A41" s="95"/>
      <c r="B41" s="95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</row>
    <row r="42" spans="1:16" ht="15.75">
      <c r="A42" s="95"/>
      <c r="B42" s="95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</row>
    <row r="43" spans="1:16" ht="15.75">
      <c r="A43" s="95"/>
      <c r="B43" s="95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</row>
    <row r="44" spans="1:16" ht="15.75">
      <c r="A44" s="95"/>
      <c r="B44" s="95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</row>
    <row r="45" spans="1:16" ht="15.75"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</row>
    <row r="46" spans="1:16" ht="15.75"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T159"/>
  <sheetViews>
    <sheetView showZeros="0" rightToLeft="1" zoomScaleNormal="100" workbookViewId="0">
      <pane xSplit="4" ySplit="4" topLeftCell="E8" activePane="bottomRight" state="frozen"/>
      <selection activeCell="E41" sqref="E41"/>
      <selection pane="topRight" activeCell="E41" sqref="E41"/>
      <selection pane="bottomLeft" activeCell="E41" sqref="E41"/>
      <selection pane="bottomRight" activeCell="AV9" sqref="AV9"/>
    </sheetView>
  </sheetViews>
  <sheetFormatPr defaultColWidth="8.85546875" defaultRowHeight="12.75"/>
  <cols>
    <col min="1" max="1" width="4.7109375" style="461" customWidth="1"/>
    <col min="2" max="2" width="5.42578125" style="461" customWidth="1"/>
    <col min="3" max="3" width="23" style="780" customWidth="1"/>
    <col min="4" max="4" width="10.28515625" style="461" customWidth="1"/>
    <col min="5" max="5" width="18" style="461" hidden="1" customWidth="1"/>
    <col min="6" max="6" width="12.42578125" style="461" hidden="1" customWidth="1"/>
    <col min="7" max="7" width="14.5703125" style="461" hidden="1" customWidth="1"/>
    <col min="8" max="8" width="12.28515625" style="461" hidden="1" customWidth="1"/>
    <col min="9" max="11" width="11" style="461" hidden="1" customWidth="1"/>
    <col min="12" max="12" width="10.42578125" style="461" customWidth="1"/>
    <col min="13" max="13" width="9.28515625" style="461" customWidth="1"/>
    <col min="14" max="14" width="8.85546875" style="461" customWidth="1"/>
    <col min="15" max="15" width="10.28515625" style="461" customWidth="1"/>
    <col min="16" max="16" width="12.28515625" style="461" hidden="1" customWidth="1"/>
    <col min="17" max="17" width="10.7109375" style="461" hidden="1" customWidth="1"/>
    <col min="18" max="18" width="17" style="461" hidden="1" customWidth="1"/>
    <col min="19" max="19" width="11.5703125" style="461" hidden="1" customWidth="1"/>
    <col min="20" max="20" width="7.28515625" style="461" customWidth="1"/>
    <col min="21" max="21" width="10" style="461" customWidth="1"/>
    <col min="22" max="22" width="9.5703125" style="461" customWidth="1"/>
    <col min="23" max="23" width="11.5703125" style="461" customWidth="1"/>
    <col min="24" max="25" width="8.5703125" style="461" hidden="1" customWidth="1"/>
    <col min="26" max="26" width="10" style="461" hidden="1" customWidth="1"/>
    <col min="27" max="27" width="11.28515625" style="461" customWidth="1"/>
    <col min="28" max="28" width="28.140625" style="781" customWidth="1"/>
    <col min="29" max="29" width="8.7109375" style="194" customWidth="1"/>
    <col min="30" max="30" width="38.42578125" style="462" hidden="1" customWidth="1"/>
    <col min="31" max="31" width="33" style="463" hidden="1" customWidth="1"/>
    <col min="32" max="32" width="26.5703125" style="194" hidden="1" customWidth="1"/>
    <col min="33" max="33" width="21.5703125" style="462" hidden="1" customWidth="1"/>
    <col min="34" max="34" width="18" style="462" hidden="1" customWidth="1"/>
    <col min="35" max="35" width="24.5703125" style="464" hidden="1" customWidth="1"/>
    <col min="36" max="36" width="27.28515625" style="464" hidden="1" customWidth="1"/>
    <col min="37" max="37" width="21.28515625" style="464" hidden="1" customWidth="1"/>
    <col min="38" max="38" width="7.42578125" style="516" hidden="1" customWidth="1"/>
    <col min="39" max="39" width="4.7109375" style="461" hidden="1" customWidth="1"/>
    <col min="40" max="41" width="21.28515625" style="464" hidden="1" customWidth="1"/>
    <col min="42" max="43" width="11.28515625" style="194" hidden="1" customWidth="1"/>
    <col min="44" max="44" width="22.28515625" style="667" hidden="1" customWidth="1"/>
    <col min="45" max="45" width="12.42578125" style="194" hidden="1" customWidth="1"/>
    <col min="46" max="46" width="14.85546875" style="194" hidden="1" customWidth="1"/>
    <col min="47" max="16384" width="8.85546875" style="194"/>
  </cols>
  <sheetData>
    <row r="1" spans="1:46" ht="15">
      <c r="A1" s="28"/>
      <c r="B1" s="384"/>
      <c r="C1" s="77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2"/>
      <c r="AL1" s="465"/>
      <c r="AM1" s="384"/>
    </row>
    <row r="2" spans="1:46" ht="18.75">
      <c r="A2" s="63" t="s">
        <v>1137</v>
      </c>
      <c r="B2" s="63"/>
      <c r="C2" s="775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2"/>
      <c r="AL2" s="465"/>
      <c r="AM2" s="384"/>
    </row>
    <row r="3" spans="1:46" ht="20.25">
      <c r="B3" s="466"/>
      <c r="C3" s="776"/>
      <c r="D3" s="14"/>
      <c r="E3" s="14"/>
      <c r="F3" s="14"/>
      <c r="G3" s="14"/>
      <c r="H3" s="14"/>
      <c r="I3" s="14"/>
      <c r="J3" s="14"/>
      <c r="K3" s="14"/>
      <c r="L3" s="14"/>
      <c r="M3" s="467"/>
      <c r="N3" s="14"/>
      <c r="O3" s="14"/>
      <c r="P3" s="14"/>
      <c r="Q3" s="14"/>
      <c r="R3" s="14"/>
      <c r="S3" s="14"/>
      <c r="T3" s="14"/>
      <c r="U3" s="12"/>
      <c r="V3" s="12"/>
      <c r="W3" s="12"/>
      <c r="X3" s="12"/>
      <c r="Y3" s="12"/>
      <c r="Z3" s="12"/>
      <c r="AA3" s="12"/>
      <c r="AB3" s="769"/>
      <c r="AC3" s="12"/>
      <c r="AK3" s="468"/>
      <c r="AL3" s="469"/>
      <c r="AM3" s="466"/>
      <c r="AN3" s="468"/>
      <c r="AO3" s="468"/>
      <c r="AR3" s="668"/>
    </row>
    <row r="4" spans="1:46" s="472" customFormat="1" ht="59.45" customHeight="1">
      <c r="A4" s="372" t="s">
        <v>0</v>
      </c>
      <c r="B4" s="372" t="s">
        <v>1</v>
      </c>
      <c r="C4" s="16" t="s">
        <v>2</v>
      </c>
      <c r="D4" s="372" t="s">
        <v>3</v>
      </c>
      <c r="E4" s="372" t="s">
        <v>4</v>
      </c>
      <c r="F4" s="372" t="s">
        <v>5</v>
      </c>
      <c r="G4" s="372" t="s">
        <v>6</v>
      </c>
      <c r="H4" s="372" t="s">
        <v>7</v>
      </c>
      <c r="I4" s="372" t="s">
        <v>9</v>
      </c>
      <c r="J4" s="372" t="s">
        <v>153</v>
      </c>
      <c r="K4" s="372" t="s">
        <v>10</v>
      </c>
      <c r="L4" s="372" t="s">
        <v>11</v>
      </c>
      <c r="M4" s="371" t="s">
        <v>891</v>
      </c>
      <c r="N4" s="371" t="s">
        <v>892</v>
      </c>
      <c r="O4" s="371" t="s">
        <v>893</v>
      </c>
      <c r="P4" s="371" t="s">
        <v>12</v>
      </c>
      <c r="Q4" s="371" t="s">
        <v>894</v>
      </c>
      <c r="R4" s="371" t="s">
        <v>895</v>
      </c>
      <c r="S4" s="371" t="s">
        <v>896</v>
      </c>
      <c r="T4" s="371" t="s">
        <v>897</v>
      </c>
      <c r="U4" s="525" t="s">
        <v>898</v>
      </c>
      <c r="V4" s="372" t="s">
        <v>13</v>
      </c>
      <c r="W4" s="372" t="s">
        <v>14</v>
      </c>
      <c r="X4" s="372" t="s">
        <v>15</v>
      </c>
      <c r="Y4" s="372" t="s">
        <v>265</v>
      </c>
      <c r="Z4" s="372" t="s">
        <v>749</v>
      </c>
      <c r="AA4" s="372" t="s">
        <v>84</v>
      </c>
      <c r="AB4" s="782" t="s">
        <v>304</v>
      </c>
      <c r="AC4" s="372" t="s">
        <v>16</v>
      </c>
      <c r="AD4" s="470" t="s">
        <v>1138</v>
      </c>
      <c r="AE4" s="525" t="s">
        <v>1139</v>
      </c>
      <c r="AF4" s="525" t="s">
        <v>1140</v>
      </c>
      <c r="AG4" s="525" t="s">
        <v>1141</v>
      </c>
      <c r="AH4" s="525"/>
      <c r="AI4" s="525" t="s">
        <v>1142</v>
      </c>
      <c r="AJ4" s="525" t="s">
        <v>1143</v>
      </c>
      <c r="AK4" s="525" t="s">
        <v>1144</v>
      </c>
      <c r="AL4" s="471" t="s">
        <v>1145</v>
      </c>
      <c r="AM4" s="16" t="s">
        <v>1146</v>
      </c>
      <c r="AN4" s="525" t="s">
        <v>1147</v>
      </c>
      <c r="AO4" s="525" t="s">
        <v>938</v>
      </c>
      <c r="AP4" s="9" t="s">
        <v>2223</v>
      </c>
      <c r="AQ4" s="9" t="s">
        <v>2224</v>
      </c>
      <c r="AR4" s="658" t="s">
        <v>2216</v>
      </c>
      <c r="AS4" s="658" t="s">
        <v>2220</v>
      </c>
      <c r="AT4" s="9" t="s">
        <v>2226</v>
      </c>
    </row>
    <row r="5" spans="1:46" s="479" customFormat="1" ht="54" customHeight="1">
      <c r="A5" s="3">
        <v>1</v>
      </c>
      <c r="B5" s="3">
        <f>'תקציב מינהל תפעול 2022'!B63</f>
        <v>2095</v>
      </c>
      <c r="C5" s="255" t="str">
        <f>'תקציב מינהל תפעול 2022'!C63</f>
        <v>ספירת מלאי וסימון הרכוש העירוני</v>
      </c>
      <c r="D5" s="4">
        <f>'תקציב מינהל תפעול 2022'!D63</f>
        <v>160000</v>
      </c>
      <c r="E5" s="4">
        <f>'תקציב מינהל תפעול 2022'!E63</f>
        <v>160000</v>
      </c>
      <c r="F5" s="4">
        <f>'תקציב מינהל תפעול 2022'!F63</f>
        <v>0</v>
      </c>
      <c r="G5" s="4">
        <f>'תקציב מינהל תפעול 2022'!G63</f>
        <v>160000</v>
      </c>
      <c r="H5" s="4">
        <f>'תקציב מינהל תפעול 2022'!H63</f>
        <v>40365</v>
      </c>
      <c r="I5" s="4">
        <f>'תקציב מינהל תפעול 2022'!I63</f>
        <v>0</v>
      </c>
      <c r="J5" s="4">
        <f>'תקציב מינהל תפעול 2022'!J63</f>
        <v>0</v>
      </c>
      <c r="K5" s="4">
        <f>'תקציב מינהל תפעול 2022'!K63</f>
        <v>0</v>
      </c>
      <c r="L5" s="4">
        <f>'תקציב מינהל תפעול 2022'!L63</f>
        <v>40365</v>
      </c>
      <c r="M5" s="4">
        <f>'תקציב מינהל תפעול 2022'!M63</f>
        <v>119635</v>
      </c>
      <c r="N5" s="4">
        <f>'תקציב מינהל תפעול 2022'!N63</f>
        <v>0</v>
      </c>
      <c r="O5" s="4">
        <f>'תקציב מינהל תפעול 2022'!O63</f>
        <v>0</v>
      </c>
      <c r="P5" s="4">
        <f>'תקציב מינהל תפעול 2022'!P63</f>
        <v>119635</v>
      </c>
      <c r="Q5" s="4">
        <f>'תקציב מינהל תפעול 2022'!Q63</f>
        <v>0</v>
      </c>
      <c r="R5" s="4">
        <f>'תקציב מינהל תפעול 2022'!R63</f>
        <v>0</v>
      </c>
      <c r="S5" s="4">
        <f>'תקציב מינהל תפעול 2022'!S63</f>
        <v>0</v>
      </c>
      <c r="T5" s="4">
        <f>'תקציב מינהל תפעול 2022'!T63</f>
        <v>0</v>
      </c>
      <c r="U5" s="4">
        <f>'תקציב מינהל תפעול 2022'!U63</f>
        <v>0</v>
      </c>
      <c r="V5" s="4">
        <f>'תקציב מינהל תפעול 2022'!V63</f>
        <v>0</v>
      </c>
      <c r="W5" s="4">
        <f>'תקציב מינהל תפעול 2022'!W63</f>
        <v>0</v>
      </c>
      <c r="X5" s="4">
        <f>'תקציב מינהל תפעול 2022'!X63</f>
        <v>0</v>
      </c>
      <c r="Y5" s="4">
        <f>'תקציב מינהל תפעול 2022'!Y63</f>
        <v>0</v>
      </c>
      <c r="Z5" s="4">
        <f>'תקציב מינהל תפעול 2022'!Z63</f>
        <v>0</v>
      </c>
      <c r="AA5" s="4">
        <f>'תקציב מינהל תפעול 2022'!AA63</f>
        <v>0</v>
      </c>
      <c r="AB5" s="255" t="str">
        <f>'תקציב מינהל תפעול 2022'!AB63</f>
        <v xml:space="preserve">ספירת רכוש במוסדות חינוך ויחידות עירוניות וסימון הרכוש העירוני. </v>
      </c>
      <c r="AC5" s="3">
        <f>'תקציב מינהל תפעול 2022'!AC63</f>
        <v>610000</v>
      </c>
      <c r="AD5" s="483" t="s">
        <v>1325</v>
      </c>
      <c r="AE5" s="482" t="s">
        <v>1326</v>
      </c>
      <c r="AF5" s="475"/>
      <c r="AG5" s="475"/>
      <c r="AH5" s="476"/>
      <c r="AI5" s="482" t="s">
        <v>1327</v>
      </c>
      <c r="AJ5" s="482"/>
      <c r="AK5" s="364"/>
      <c r="AL5" s="477" t="s">
        <v>1160</v>
      </c>
      <c r="AM5" s="478"/>
      <c r="AN5" s="364"/>
      <c r="AO5" s="364"/>
      <c r="AP5" s="4"/>
      <c r="AQ5" s="4"/>
      <c r="AR5" s="669"/>
      <c r="AS5" s="669"/>
      <c r="AT5" s="4"/>
    </row>
    <row r="6" spans="1:46" s="806" customFormat="1" ht="25.15" customHeight="1">
      <c r="A6" s="7"/>
      <c r="B6" s="7"/>
      <c r="C6" s="16" t="s">
        <v>810</v>
      </c>
      <c r="D6" s="8">
        <f>SUM(D5)</f>
        <v>160000</v>
      </c>
      <c r="E6" s="8">
        <f t="shared" ref="E6:AA6" si="0">SUM(E5)</f>
        <v>160000</v>
      </c>
      <c r="F6" s="8">
        <f t="shared" si="0"/>
        <v>0</v>
      </c>
      <c r="G6" s="8">
        <f t="shared" si="0"/>
        <v>160000</v>
      </c>
      <c r="H6" s="8">
        <f t="shared" si="0"/>
        <v>40365</v>
      </c>
      <c r="I6" s="8">
        <f t="shared" si="0"/>
        <v>0</v>
      </c>
      <c r="J6" s="8">
        <f t="shared" si="0"/>
        <v>0</v>
      </c>
      <c r="K6" s="8">
        <f t="shared" si="0"/>
        <v>0</v>
      </c>
      <c r="L6" s="8">
        <f t="shared" si="0"/>
        <v>40365</v>
      </c>
      <c r="M6" s="8">
        <f t="shared" si="0"/>
        <v>119635</v>
      </c>
      <c r="N6" s="8">
        <f t="shared" si="0"/>
        <v>0</v>
      </c>
      <c r="O6" s="8">
        <f t="shared" si="0"/>
        <v>0</v>
      </c>
      <c r="P6" s="8">
        <f t="shared" si="0"/>
        <v>119635</v>
      </c>
      <c r="Q6" s="8">
        <f t="shared" si="0"/>
        <v>0</v>
      </c>
      <c r="R6" s="8">
        <f t="shared" si="0"/>
        <v>0</v>
      </c>
      <c r="S6" s="8">
        <f t="shared" si="0"/>
        <v>0</v>
      </c>
      <c r="T6" s="8">
        <f t="shared" si="0"/>
        <v>0</v>
      </c>
      <c r="U6" s="8">
        <f t="shared" si="0"/>
        <v>0</v>
      </c>
      <c r="V6" s="8">
        <f t="shared" si="0"/>
        <v>0</v>
      </c>
      <c r="W6" s="8">
        <f t="shared" si="0"/>
        <v>0</v>
      </c>
      <c r="X6" s="8">
        <f t="shared" si="0"/>
        <v>0</v>
      </c>
      <c r="Y6" s="8">
        <f t="shared" si="0"/>
        <v>0</v>
      </c>
      <c r="Z6" s="8">
        <f t="shared" si="0"/>
        <v>0</v>
      </c>
      <c r="AA6" s="8">
        <f t="shared" si="0"/>
        <v>0</v>
      </c>
      <c r="AB6" s="16"/>
      <c r="AC6" s="7"/>
      <c r="AD6" s="800"/>
      <c r="AE6" s="801"/>
      <c r="AF6" s="801"/>
      <c r="AG6" s="801"/>
      <c r="AH6" s="802"/>
      <c r="AI6" s="801"/>
      <c r="AJ6" s="801"/>
      <c r="AK6" s="805"/>
      <c r="AL6" s="803"/>
      <c r="AM6" s="372"/>
      <c r="AN6" s="805"/>
      <c r="AO6" s="805"/>
      <c r="AP6" s="8"/>
      <c r="AQ6" s="8"/>
      <c r="AR6" s="679"/>
      <c r="AS6" s="679"/>
      <c r="AT6" s="8"/>
    </row>
    <row r="7" spans="1:46" ht="105">
      <c r="A7" s="3">
        <f>A5+1</f>
        <v>2</v>
      </c>
      <c r="B7" s="3">
        <f>'תקציב מינהל תפעול 2022'!B62</f>
        <v>2094</v>
      </c>
      <c r="C7" s="255" t="str">
        <f>'תקציב מינהל תפעול 2022'!C62</f>
        <v>הקמת חפ"ק עירוני חדש</v>
      </c>
      <c r="D7" s="4">
        <f>'תקציב מינהל תפעול 2022'!D62</f>
        <v>1000000</v>
      </c>
      <c r="E7" s="4">
        <f>'תקציב מינהל תפעול 2022'!E62</f>
        <v>1000000</v>
      </c>
      <c r="F7" s="4">
        <f>'תקציב מינהל תפעול 2022'!F62</f>
        <v>0</v>
      </c>
      <c r="G7" s="4">
        <f>'תקציב מינהל תפעול 2022'!G62</f>
        <v>300000</v>
      </c>
      <c r="H7" s="4">
        <f>'תקציב מינהל תפעול 2022'!H62</f>
        <v>224675</v>
      </c>
      <c r="I7" s="4">
        <f>'תקציב מינהל תפעול 2022'!I62</f>
        <v>0</v>
      </c>
      <c r="J7" s="4">
        <f>'תקציב מינהל תפעול 2022'!J62</f>
        <v>15210</v>
      </c>
      <c r="K7" s="4">
        <f>'תקציב מינהל תפעול 2022'!K62</f>
        <v>15210</v>
      </c>
      <c r="L7" s="4">
        <f>'תקציב מינהל תפעול 2022'!L62</f>
        <v>239885</v>
      </c>
      <c r="M7" s="4">
        <f>'תקציב מינהל תפעול 2022'!M62</f>
        <v>60115</v>
      </c>
      <c r="N7" s="4">
        <f>'תקציב מינהל תפעול 2022'!N62</f>
        <v>0</v>
      </c>
      <c r="O7" s="4">
        <f>'תקציב מינהל תפעול 2022'!O62</f>
        <v>700000</v>
      </c>
      <c r="P7" s="4">
        <f>'תקציב מינהל תפעול 2022'!P62</f>
        <v>60115</v>
      </c>
      <c r="Q7" s="4">
        <f>'תקציב מינהל תפעול 2022'!Q62</f>
        <v>0</v>
      </c>
      <c r="R7" s="4">
        <f>'תקציב מינהל תפעול 2022'!R62</f>
        <v>0</v>
      </c>
      <c r="S7" s="4">
        <f>'תקציב מינהל תפעול 2022'!S62</f>
        <v>0</v>
      </c>
      <c r="T7" s="4">
        <f>'תקציב מינהל תפעול 2022'!T62</f>
        <v>0</v>
      </c>
      <c r="U7" s="4">
        <f>'תקציב מינהל תפעול 2022'!U62</f>
        <v>0</v>
      </c>
      <c r="V7" s="4">
        <f>'תקציב מינהל תפעול 2022'!V62</f>
        <v>0</v>
      </c>
      <c r="W7" s="4">
        <f>'תקציב מינהל תפעול 2022'!W62</f>
        <v>0</v>
      </c>
      <c r="X7" s="4">
        <f>'תקציב מינהל תפעול 2022'!X62</f>
        <v>0</v>
      </c>
      <c r="Y7" s="4">
        <f>'תקציב מינהל תפעול 2022'!Y62</f>
        <v>0</v>
      </c>
      <c r="Z7" s="4">
        <f>'תקציב מינהל תפעול 2022'!Z62</f>
        <v>0</v>
      </c>
      <c r="AA7" s="4">
        <f>'תקציב מינהל תפעול 2022'!AA62</f>
        <v>0</v>
      </c>
      <c r="AB7" s="255" t="str">
        <f>'תקציב מינהל תפעול 2022'!AB62</f>
        <v>משרד נייד (רכב)  הכולל : מרכז תקשורת רב ערוצית ,תורן תקשורת טלסקופי,עמדת מחשב,קיר תדרוך,עזרים שונים , בלון תאורה להארה של זירת ארוע ,מיזוג אויר, תאורה,מרכז אנרגיה.</v>
      </c>
      <c r="AC7" s="3">
        <f>'תקציב מינהל תפעול 2022'!AC62</f>
        <v>720000</v>
      </c>
      <c r="AD7" s="480"/>
      <c r="AE7" s="482" t="s">
        <v>1321</v>
      </c>
      <c r="AF7" s="475"/>
      <c r="AG7" s="475" t="s">
        <v>1193</v>
      </c>
      <c r="AH7" s="476"/>
      <c r="AI7" s="482" t="s">
        <v>1322</v>
      </c>
      <c r="AJ7" s="482" t="s">
        <v>1322</v>
      </c>
      <c r="AK7" s="272" t="s">
        <v>1323</v>
      </c>
      <c r="AL7" s="493" t="s">
        <v>1324</v>
      </c>
      <c r="AM7" s="491">
        <v>1</v>
      </c>
      <c r="AN7" s="272"/>
      <c r="AO7" s="272" t="s">
        <v>1323</v>
      </c>
      <c r="AP7" s="4">
        <v>-200000</v>
      </c>
      <c r="AQ7" s="4"/>
      <c r="AR7" s="638"/>
      <c r="AS7" s="669"/>
      <c r="AT7" s="4">
        <v>-200000</v>
      </c>
    </row>
    <row r="8" spans="1:46" ht="62.45" customHeight="1">
      <c r="A8" s="3">
        <f>A7+1</f>
        <v>3</v>
      </c>
      <c r="B8" s="3">
        <f>'תקציב מינהל תפעול 2022'!B74</f>
        <v>2156</v>
      </c>
      <c r="C8" s="255" t="str">
        <f>'תקציב מינהל תפעול 2022'!C74</f>
        <v>הקמת יחידת חילוץ הצטיידות</v>
      </c>
      <c r="D8" s="4">
        <f>'תקציב מינהל תפעול 2022'!D74</f>
        <v>1600000</v>
      </c>
      <c r="E8" s="4">
        <f>'תקציב מינהל תפעול 2022'!E74</f>
        <v>1600000</v>
      </c>
      <c r="F8" s="4">
        <f>'תקציב מינהל תפעול 2022'!F74</f>
        <v>0</v>
      </c>
      <c r="G8" s="4">
        <f>'תקציב מינהל תפעול 2022'!G74</f>
        <v>400000</v>
      </c>
      <c r="H8" s="4">
        <f>'תקציב מינהל תפעול 2022'!H74</f>
        <v>23556</v>
      </c>
      <c r="I8" s="4">
        <f>'תקציב מינהל תפעול 2022'!I74</f>
        <v>0</v>
      </c>
      <c r="J8" s="4">
        <f>'תקציב מינהל תפעול 2022'!J74</f>
        <v>5976</v>
      </c>
      <c r="K8" s="4">
        <f>'תקציב מינהל תפעול 2022'!K74</f>
        <v>5976</v>
      </c>
      <c r="L8" s="4">
        <f>'תקציב מינהל תפעול 2022'!L74</f>
        <v>29532</v>
      </c>
      <c r="M8" s="4">
        <f>'תקציב מינהל תפעול 2022'!M74</f>
        <v>370468</v>
      </c>
      <c r="N8" s="4">
        <f>'תקציב מינהל תפעול 2022'!N74</f>
        <v>500000</v>
      </c>
      <c r="O8" s="4">
        <f>'תקציב מינהל תפעול 2022'!O74</f>
        <v>700000</v>
      </c>
      <c r="P8" s="4">
        <f>'תקציב מינהל תפעול 2022'!P74</f>
        <v>370468</v>
      </c>
      <c r="Q8" s="4">
        <f>'תקציב מינהל תפעול 2022'!Q74</f>
        <v>0</v>
      </c>
      <c r="R8" s="4">
        <f>'תקציב מינהל תפעול 2022'!R74</f>
        <v>0</v>
      </c>
      <c r="S8" s="4">
        <f>'תקציב מינהל תפעול 2022'!S74</f>
        <v>0</v>
      </c>
      <c r="T8" s="4">
        <f>'תקציב מינהל תפעול 2022'!T74</f>
        <v>0</v>
      </c>
      <c r="U8" s="4">
        <f>'תקציב מינהל תפעול 2022'!U74</f>
        <v>500000</v>
      </c>
      <c r="V8" s="4">
        <f>'תקציב מינהל תפעול 2022'!V74</f>
        <v>0</v>
      </c>
      <c r="W8" s="4">
        <f>'תקציב מינהל תפעול 2022'!W74</f>
        <v>500000</v>
      </c>
      <c r="X8" s="4">
        <f>'תקציב מינהל תפעול 2022'!X74</f>
        <v>0</v>
      </c>
      <c r="Y8" s="4">
        <f>'תקציב מינהל תפעול 2022'!Y74</f>
        <v>0</v>
      </c>
      <c r="Z8" s="4">
        <f>'תקציב מינהל תפעול 2022'!Z74</f>
        <v>0</v>
      </c>
      <c r="AA8" s="4">
        <f>'תקציב מינהל תפעול 2022'!AA74</f>
        <v>0</v>
      </c>
      <c r="AB8" s="255" t="str">
        <f>'תקציב מינהל תפעול 2022'!AB74</f>
        <v>הצטיידות חד פעמית בהקמת  יחידת חילוץ מתנדבים שעברו הכשרה בפיקוד העורף לתפקוד במצבי חרום .</v>
      </c>
      <c r="AC8" s="3">
        <f>'תקציב מינהל תפעול 2022'!AC74</f>
        <v>720000</v>
      </c>
      <c r="AD8" s="480"/>
      <c r="AE8" s="482" t="s">
        <v>1347</v>
      </c>
      <c r="AF8" s="475"/>
      <c r="AG8" s="475" t="s">
        <v>1348</v>
      </c>
      <c r="AH8" s="476"/>
      <c r="AI8" s="482" t="s">
        <v>1349</v>
      </c>
      <c r="AJ8" s="490" t="s">
        <v>1350</v>
      </c>
      <c r="AK8" s="364"/>
      <c r="AL8" s="477" t="s">
        <v>1160</v>
      </c>
      <c r="AM8" s="478">
        <v>1</v>
      </c>
      <c r="AN8" s="364"/>
      <c r="AO8" s="364"/>
      <c r="AP8" s="4">
        <v>-200000</v>
      </c>
      <c r="AQ8" s="4">
        <v>-200000</v>
      </c>
      <c r="AR8" s="669"/>
      <c r="AS8" s="669"/>
      <c r="AT8" s="4">
        <v>-200000</v>
      </c>
    </row>
    <row r="9" spans="1:46" ht="45">
      <c r="A9" s="3">
        <f>A8+1</f>
        <v>4</v>
      </c>
      <c r="B9" s="3">
        <f>'תקציב מינהל תפעול 2022'!B103</f>
        <v>2240</v>
      </c>
      <c r="C9" s="255" t="str">
        <f>'תקציב מינהל תפעול 2022'!C103</f>
        <v>מערכת מבוססת מצלמות לאכיפת חניה ונתצים</v>
      </c>
      <c r="D9" s="4">
        <f>'תקציב מינהל תפעול 2022'!D103</f>
        <v>13200000</v>
      </c>
      <c r="E9" s="4">
        <f>'תקציב מינהל תפעול 2022'!E103</f>
        <v>9000000</v>
      </c>
      <c r="F9" s="4">
        <f>'תקציב מינהל תפעול 2022'!F103</f>
        <v>4200000</v>
      </c>
      <c r="G9" s="4">
        <f>'תקציב מינהל תפעול 2022'!G103</f>
        <v>0</v>
      </c>
      <c r="H9" s="4">
        <f>'תקציב מינהל תפעול 2022'!H103</f>
        <v>0</v>
      </c>
      <c r="I9" s="4">
        <f>'תקציב מינהל תפעול 2022'!I103</f>
        <v>0</v>
      </c>
      <c r="J9" s="4">
        <f>'תקציב מינהל תפעול 2022'!J103</f>
        <v>0</v>
      </c>
      <c r="K9" s="4">
        <f>'תקציב מינהל תפעול 2022'!K103</f>
        <v>0</v>
      </c>
      <c r="L9" s="4">
        <f>'תקציב מינהל תפעול 2022'!L103</f>
        <v>0</v>
      </c>
      <c r="M9" s="4">
        <f>'תקציב מינהל תפעול 2022'!M103</f>
        <v>100000</v>
      </c>
      <c r="N9" s="4">
        <f>'תקציב מינהל תפעול 2022'!N103</f>
        <v>6200000</v>
      </c>
      <c r="O9" s="4">
        <f>'תקציב מינהל תפעול 2022'!O103</f>
        <v>6900000</v>
      </c>
      <c r="P9" s="4">
        <f>'תקציב מינהל תפעול 2022'!P103</f>
        <v>0</v>
      </c>
      <c r="Q9" s="4">
        <f>'תקציב מינהל תפעול 2022'!Q103</f>
        <v>0</v>
      </c>
      <c r="R9" s="4">
        <f>'תקציב מינהל תפעול 2022'!R103</f>
        <v>100000</v>
      </c>
      <c r="S9" s="4">
        <f>'תקציב מינהל תפעול 2022'!S103</f>
        <v>100000</v>
      </c>
      <c r="T9" s="4">
        <f>'תקציב מינהל תפעול 2022'!T103</f>
        <v>0</v>
      </c>
      <c r="U9" s="4">
        <f>'תקציב מינהל תפעול 2022'!U103</f>
        <v>6200000</v>
      </c>
      <c r="V9" s="4">
        <f>'תקציב מינהל תפעול 2022'!V103</f>
        <v>2800000</v>
      </c>
      <c r="W9" s="4">
        <f>'תקציב מינהל תפעול 2022'!W103</f>
        <v>0</v>
      </c>
      <c r="X9" s="4">
        <f>'תקציב מינהל תפעול 2022'!X103</f>
        <v>0</v>
      </c>
      <c r="Y9" s="4">
        <f>'תקציב מינהל תפעול 2022'!Y103</f>
        <v>0</v>
      </c>
      <c r="Z9" s="4">
        <f>'תקציב מינהל תפעול 2022'!Z103</f>
        <v>0</v>
      </c>
      <c r="AA9" s="4">
        <f>'תקציב מינהל תפעול 2022'!AA103</f>
        <v>3400000</v>
      </c>
      <c r="AB9" s="255" t="str">
        <f>'תקציב מינהל תפעול 2022'!AB103</f>
        <v>מערכת מבוססת מצלמות לאכיפת החנייה והנת"צים ברחבי העיר. מימון מ. התחבורה.</v>
      </c>
      <c r="AC9" s="3">
        <f>'תקציב מינהל תפעול 2022'!AC103</f>
        <v>720000</v>
      </c>
      <c r="AD9" s="475"/>
      <c r="AE9" s="3" t="s">
        <v>1423</v>
      </c>
      <c r="AF9" s="513"/>
      <c r="AG9" s="475"/>
      <c r="AH9" s="475"/>
      <c r="AI9" s="513"/>
      <c r="AJ9" s="513"/>
      <c r="AK9" s="434" t="s">
        <v>1424</v>
      </c>
      <c r="AL9" s="477" t="s">
        <v>1215</v>
      </c>
      <c r="AM9" s="478">
        <v>1</v>
      </c>
      <c r="AN9" s="434"/>
      <c r="AO9" s="364" t="s">
        <v>2212</v>
      </c>
      <c r="AP9" s="4"/>
      <c r="AQ9" s="4"/>
      <c r="AR9" s="669"/>
      <c r="AS9" s="669"/>
      <c r="AT9" s="4"/>
    </row>
    <row r="10" spans="1:46" ht="60">
      <c r="A10" s="3">
        <f>A9+1</f>
        <v>5</v>
      </c>
      <c r="B10" s="3">
        <f>'תקציב מינהל תפעול 2022'!B106</f>
        <v>20020</v>
      </c>
      <c r="C10" s="255" t="str">
        <f>'תקציב מינהל תפעול 2022'!C106</f>
        <v>סל למערכות וצרכי בטחון</v>
      </c>
      <c r="D10" s="4">
        <f>'תקציב מינהל תפעול 2022'!D106</f>
        <v>300000</v>
      </c>
      <c r="E10" s="4">
        <f>'תקציב מינהל תפעול 2022'!E106</f>
        <v>0</v>
      </c>
      <c r="F10" s="4">
        <f>'תקציב מינהל תפעול 2022'!F106</f>
        <v>300000</v>
      </c>
      <c r="G10" s="4">
        <f>'תקציב מינהל תפעול 2022'!G106</f>
        <v>0</v>
      </c>
      <c r="H10" s="4">
        <f>'תקציב מינהל תפעול 2022'!H106</f>
        <v>0</v>
      </c>
      <c r="I10" s="4">
        <f>'תקציב מינהל תפעול 2022'!I106</f>
        <v>0</v>
      </c>
      <c r="J10" s="4">
        <f>'תקציב מינהל תפעול 2022'!J106</f>
        <v>0</v>
      </c>
      <c r="K10" s="4">
        <f>'תקציב מינהל תפעול 2022'!K106</f>
        <v>0</v>
      </c>
      <c r="L10" s="4">
        <f>'תקציב מינהל תפעול 2022'!L106</f>
        <v>0</v>
      </c>
      <c r="M10" s="4">
        <f>'תקציב מינהל תפעול 2022'!M106</f>
        <v>0</v>
      </c>
      <c r="N10" s="4">
        <f>'תקציב מינהל תפעול 2022'!N106</f>
        <v>300000</v>
      </c>
      <c r="O10" s="4">
        <f>'תקציב מינהל תפעול 2022'!O106</f>
        <v>0</v>
      </c>
      <c r="P10" s="4">
        <f>'תקציב מינהל תפעול 2022'!P106</f>
        <v>0</v>
      </c>
      <c r="Q10" s="4">
        <f>'תקציב מינהל תפעול 2022'!Q106</f>
        <v>0</v>
      </c>
      <c r="R10" s="4">
        <f>'תקציב מינהל תפעול 2022'!R106</f>
        <v>0</v>
      </c>
      <c r="S10" s="4">
        <f>'תקציב מינהל תפעול 2022'!S106</f>
        <v>0</v>
      </c>
      <c r="T10" s="4">
        <f>'תקציב מינהל תפעול 2022'!T106</f>
        <v>0</v>
      </c>
      <c r="U10" s="4">
        <f>'תקציב מינהל תפעול 2022'!U106</f>
        <v>300000</v>
      </c>
      <c r="V10" s="4">
        <f>'תקציב מינהל תפעול 2022'!V106</f>
        <v>0</v>
      </c>
      <c r="W10" s="4">
        <f>'תקציב מינהל תפעול 2022'!W106</f>
        <v>300000</v>
      </c>
      <c r="X10" s="4">
        <f>'תקציב מינהל תפעול 2022'!X106</f>
        <v>0</v>
      </c>
      <c r="Y10" s="4">
        <f>'תקציב מינהל תפעול 2022'!Y106</f>
        <v>0</v>
      </c>
      <c r="Z10" s="4">
        <f>'תקציב מינהל תפעול 2022'!Z106</f>
        <v>0</v>
      </c>
      <c r="AA10" s="4">
        <f>'תקציב מינהל תפעול 2022'!AA106</f>
        <v>0</v>
      </c>
      <c r="AB10" s="255" t="str">
        <f>'תקציב מינהל תפעול 2022'!AB106</f>
        <v>סל למערכות שונות ורכש לצרכי בטחון: מערכת מעברים מהירים לבנין העירייה,רכש מכולות לחרום ורכש רחפן.</v>
      </c>
      <c r="AC10" s="3">
        <f>'תקציב מינהל תפעול 2022'!AC106</f>
        <v>720000</v>
      </c>
      <c r="AD10" s="480"/>
      <c r="AE10" s="3" t="s">
        <v>1432</v>
      </c>
      <c r="AF10" s="511"/>
      <c r="AG10" s="480"/>
      <c r="AH10" s="480"/>
      <c r="AI10" s="3" t="s">
        <v>1433</v>
      </c>
      <c r="AJ10" s="3" t="s">
        <v>1433</v>
      </c>
      <c r="AK10" s="30" t="s">
        <v>998</v>
      </c>
      <c r="AL10" s="477" t="s">
        <v>1215</v>
      </c>
      <c r="AM10" s="478">
        <v>1</v>
      </c>
      <c r="AN10" s="30"/>
      <c r="AO10" s="30" t="s">
        <v>998</v>
      </c>
      <c r="AP10" s="4">
        <v>-100000</v>
      </c>
      <c r="AQ10" s="4">
        <v>-100000</v>
      </c>
      <c r="AR10" s="638"/>
      <c r="AS10" s="669"/>
      <c r="AT10" s="4">
        <v>-100000</v>
      </c>
    </row>
    <row r="11" spans="1:46" ht="75">
      <c r="A11" s="3"/>
      <c r="B11" s="3">
        <f>'תקציב מינהל תפעול 2022'!B125</f>
        <v>20039</v>
      </c>
      <c r="C11" s="255" t="str">
        <f>'תקציב מינהל תפעול 2022'!C125</f>
        <v>הקמת מחלקת אכיפה אלקטרונית, מרכז שליטה -מינהל התפעול</v>
      </c>
      <c r="D11" s="4">
        <f>'תקציב מינהל תפעול 2022'!D125</f>
        <v>3200000</v>
      </c>
      <c r="E11" s="4">
        <f>'תקציב מינהל תפעול 2022'!E125</f>
        <v>0</v>
      </c>
      <c r="F11" s="4">
        <f>'תקציב מינהל תפעול 2022'!F125</f>
        <v>3200000</v>
      </c>
      <c r="G11" s="4">
        <f>'תקציב מינהל תפעול 2022'!G125</f>
        <v>0</v>
      </c>
      <c r="H11" s="4">
        <f>'תקציב מינהל תפעול 2022'!H125</f>
        <v>0</v>
      </c>
      <c r="I11" s="4">
        <f>'תקציב מינהל תפעול 2022'!I125</f>
        <v>0</v>
      </c>
      <c r="J11" s="4">
        <f>'תקציב מינהל תפעול 2022'!J125</f>
        <v>0</v>
      </c>
      <c r="K11" s="4">
        <f>'תקציב מינהל תפעול 2022'!K125</f>
        <v>0</v>
      </c>
      <c r="L11" s="4">
        <f>'תקציב מינהל תפעול 2022'!L125</f>
        <v>0</v>
      </c>
      <c r="M11" s="4">
        <f>'תקציב מינהל תפעול 2022'!M125</f>
        <v>0</v>
      </c>
      <c r="N11" s="4">
        <f>'תקציב מינהל תפעול 2022'!N125</f>
        <v>3200000</v>
      </c>
      <c r="O11" s="4">
        <f>'תקציב מינהל תפעול 2022'!O125</f>
        <v>0</v>
      </c>
      <c r="P11" s="4">
        <f>'תקציב מינהל תפעול 2022'!P125</f>
        <v>0</v>
      </c>
      <c r="Q11" s="4">
        <f>'תקציב מינהל תפעול 2022'!Q125</f>
        <v>0</v>
      </c>
      <c r="R11" s="4">
        <f>'תקציב מינהל תפעול 2022'!R125</f>
        <v>0</v>
      </c>
      <c r="S11" s="4">
        <f>'תקציב מינהל תפעול 2022'!S125</f>
        <v>0</v>
      </c>
      <c r="T11" s="4">
        <f>'תקציב מינהל תפעול 2022'!T125</f>
        <v>0</v>
      </c>
      <c r="U11" s="4">
        <f>'תקציב מינהל תפעול 2022'!U125</f>
        <v>3200000</v>
      </c>
      <c r="V11" s="4">
        <f>'תקציב מינהל תפעול 2022'!V125</f>
        <v>0</v>
      </c>
      <c r="W11" s="4">
        <f>'תקציב מינהל תפעול 2022'!W125</f>
        <v>3200000</v>
      </c>
      <c r="X11" s="4">
        <f>'תקציב מינהל תפעול 2022'!X125</f>
        <v>0</v>
      </c>
      <c r="Y11" s="4">
        <f>'תקציב מינהל תפעול 2022'!Y125</f>
        <v>0</v>
      </c>
      <c r="Z11" s="4">
        <f>'תקציב מינהל תפעול 2022'!Z125</f>
        <v>0</v>
      </c>
      <c r="AA11" s="4">
        <f>'תקציב מינהל תפעול 2022'!AA125</f>
        <v>0</v>
      </c>
      <c r="AB11" s="255" t="str">
        <f>'תקציב מינהל תפעול 2022'!AB125</f>
        <v>הפיכת מחסנים למשרדים של הנהלת מטה התפעול , מטה הכספים ואגף הדרכים כולל מע. מולטימדיה למשל"ט במינהל התפעול.</v>
      </c>
      <c r="AC11" s="3">
        <f>'תקציב מינהל תפעול 2022'!AC125</f>
        <v>720000</v>
      </c>
      <c r="AD11" s="480"/>
      <c r="AE11" s="3"/>
      <c r="AF11" s="511"/>
      <c r="AG11" s="480"/>
      <c r="AH11" s="480"/>
      <c r="AI11" s="3"/>
      <c r="AJ11" s="3"/>
      <c r="AK11" s="30"/>
      <c r="AL11" s="477"/>
      <c r="AM11" s="478"/>
      <c r="AN11" s="30"/>
      <c r="AO11" s="30"/>
      <c r="AP11" s="4"/>
      <c r="AQ11" s="4"/>
      <c r="AR11" s="638"/>
      <c r="AS11" s="669"/>
      <c r="AT11" s="4"/>
    </row>
    <row r="12" spans="1:46" ht="90">
      <c r="A12" s="3">
        <f>A10+1</f>
        <v>6</v>
      </c>
      <c r="B12" s="3">
        <f>'תקציב מינהל תפעול 2022'!B21</f>
        <v>1621</v>
      </c>
      <c r="C12" s="255" t="str">
        <f>'תקציב מינהל תפעול 2022'!C21</f>
        <v>שדרוג מקלטים ציבוריים</v>
      </c>
      <c r="D12" s="4">
        <f>'תקציב מינהל תפעול 2022'!D21</f>
        <v>6030000</v>
      </c>
      <c r="E12" s="4">
        <f>'תקציב מינהל תפעול 2022'!E21</f>
        <v>3300000</v>
      </c>
      <c r="F12" s="4">
        <f>'תקציב מינהל תפעול 2022'!F21</f>
        <v>2730000</v>
      </c>
      <c r="G12" s="4">
        <f>'תקציב מינהל תפעול 2022'!G21</f>
        <v>2800000</v>
      </c>
      <c r="H12" s="4">
        <f>'תקציב מינהל תפעול 2022'!H21</f>
        <v>2114380</v>
      </c>
      <c r="I12" s="4">
        <f>'תקציב מינהל תפעול 2022'!I21</f>
        <v>0</v>
      </c>
      <c r="J12" s="4">
        <f>'תקציב מינהל תפעול 2022'!J21</f>
        <v>103765</v>
      </c>
      <c r="K12" s="4">
        <f>'תקציב מינהל תפעול 2022'!K21</f>
        <v>103765</v>
      </c>
      <c r="L12" s="4">
        <f>'תקציב מינהל תפעול 2022'!L21</f>
        <v>2218145</v>
      </c>
      <c r="M12" s="4">
        <f>'תקציב מינהל תפעול 2022'!M21</f>
        <v>581855</v>
      </c>
      <c r="N12" s="4">
        <f>'תקציב מינהל תפעול 2022'!N21</f>
        <v>1230000</v>
      </c>
      <c r="O12" s="4">
        <f>'תקציב מינהל תפעול 2022'!O21</f>
        <v>2000000</v>
      </c>
      <c r="P12" s="4">
        <f>'תקציב מינהל תפעול 2022'!P21</f>
        <v>581855</v>
      </c>
      <c r="Q12" s="4">
        <f>'תקציב מינהל תפעול 2022'!Q21</f>
        <v>0</v>
      </c>
      <c r="R12" s="4">
        <f>'תקציב מינהל תפעול 2022'!R21</f>
        <v>0</v>
      </c>
      <c r="S12" s="4">
        <f>'תקציב מינהל תפעול 2022'!S21</f>
        <v>0</v>
      </c>
      <c r="T12" s="4">
        <f>'תקציב מינהל תפעול 2022'!T21</f>
        <v>0</v>
      </c>
      <c r="U12" s="4">
        <f>'תקציב מינהל תפעול 2022'!U21</f>
        <v>1230000</v>
      </c>
      <c r="V12" s="4">
        <f>'תקציב מינהל תפעול 2022'!V21</f>
        <v>0</v>
      </c>
      <c r="W12" s="4">
        <f>'תקציב מינהל תפעול 2022'!W21</f>
        <v>1230000</v>
      </c>
      <c r="X12" s="4">
        <f>'תקציב מינהל תפעול 2022'!X21</f>
        <v>0</v>
      </c>
      <c r="Y12" s="4">
        <f>'תקציב מינהל תפעול 2022'!Y21</f>
        <v>0</v>
      </c>
      <c r="Z12" s="4">
        <f>'תקציב מינהל תפעול 2022'!Z21</f>
        <v>0</v>
      </c>
      <c r="AA12" s="4">
        <f>'תקציב מינהל תפעול 2022'!AA21</f>
        <v>0</v>
      </c>
      <c r="AB12" s="255" t="str">
        <f>'תקציב מינהל תפעול 2022'!AB21</f>
        <v>סל עבודות איטום מקלטים  עפ"י תוכנית ומערכת שליטה והגנה על מיקלטים בעיר.</v>
      </c>
      <c r="AC12" s="3">
        <f>'תקציב מינהל תפעול 2022'!AC21</f>
        <v>723000</v>
      </c>
      <c r="AD12" s="480"/>
      <c r="AE12" s="482" t="s">
        <v>1210</v>
      </c>
      <c r="AF12" s="475"/>
      <c r="AG12" s="475" t="s">
        <v>1211</v>
      </c>
      <c r="AH12" s="476"/>
      <c r="AI12" s="482" t="s">
        <v>1212</v>
      </c>
      <c r="AJ12" s="490" t="s">
        <v>1213</v>
      </c>
      <c r="AK12" s="272" t="s">
        <v>1214</v>
      </c>
      <c r="AL12" s="477" t="s">
        <v>1215</v>
      </c>
      <c r="AM12" s="491">
        <v>1</v>
      </c>
      <c r="AN12" s="272"/>
      <c r="AO12" s="272" t="s">
        <v>1216</v>
      </c>
      <c r="AP12" s="574">
        <v>-800000</v>
      </c>
      <c r="AQ12" s="4"/>
      <c r="AR12" s="638">
        <v>2230000</v>
      </c>
      <c r="AS12" s="669">
        <f>AR12-N12</f>
        <v>1000000</v>
      </c>
      <c r="AT12" s="4"/>
    </row>
    <row r="13" spans="1:46" s="414" customFormat="1" ht="25.15" customHeight="1">
      <c r="A13" s="7"/>
      <c r="B13" s="7"/>
      <c r="C13" s="16" t="s">
        <v>811</v>
      </c>
      <c r="D13" s="8">
        <f t="shared" ref="D13:AA13" si="1">SUM(D7:D12)</f>
        <v>25330000</v>
      </c>
      <c r="E13" s="8">
        <f t="shared" si="1"/>
        <v>14900000</v>
      </c>
      <c r="F13" s="8">
        <f t="shared" si="1"/>
        <v>10430000</v>
      </c>
      <c r="G13" s="8">
        <f t="shared" si="1"/>
        <v>3500000</v>
      </c>
      <c r="H13" s="8">
        <f t="shared" si="1"/>
        <v>2362611</v>
      </c>
      <c r="I13" s="8">
        <f t="shared" si="1"/>
        <v>0</v>
      </c>
      <c r="J13" s="8">
        <f t="shared" si="1"/>
        <v>124951</v>
      </c>
      <c r="K13" s="8">
        <f t="shared" si="1"/>
        <v>124951</v>
      </c>
      <c r="L13" s="8">
        <f t="shared" si="1"/>
        <v>2487562</v>
      </c>
      <c r="M13" s="8">
        <f t="shared" si="1"/>
        <v>1112438</v>
      </c>
      <c r="N13" s="8">
        <f t="shared" si="1"/>
        <v>11430000</v>
      </c>
      <c r="O13" s="8">
        <f t="shared" si="1"/>
        <v>10300000</v>
      </c>
      <c r="P13" s="8">
        <f t="shared" si="1"/>
        <v>1012438</v>
      </c>
      <c r="Q13" s="8">
        <f t="shared" si="1"/>
        <v>0</v>
      </c>
      <c r="R13" s="8">
        <f t="shared" si="1"/>
        <v>100000</v>
      </c>
      <c r="S13" s="8">
        <f t="shared" si="1"/>
        <v>100000</v>
      </c>
      <c r="T13" s="8">
        <f t="shared" si="1"/>
        <v>0</v>
      </c>
      <c r="U13" s="8">
        <f t="shared" si="1"/>
        <v>11430000</v>
      </c>
      <c r="V13" s="8">
        <f t="shared" si="1"/>
        <v>2800000</v>
      </c>
      <c r="W13" s="8">
        <f t="shared" si="1"/>
        <v>5230000</v>
      </c>
      <c r="X13" s="8">
        <f t="shared" si="1"/>
        <v>0</v>
      </c>
      <c r="Y13" s="8">
        <f t="shared" si="1"/>
        <v>0</v>
      </c>
      <c r="Z13" s="8">
        <f t="shared" si="1"/>
        <v>0</v>
      </c>
      <c r="AA13" s="8">
        <f t="shared" si="1"/>
        <v>3400000</v>
      </c>
      <c r="AB13" s="16"/>
      <c r="AC13" s="7"/>
      <c r="AD13" s="800"/>
      <c r="AE13" s="801"/>
      <c r="AF13" s="801"/>
      <c r="AG13" s="801"/>
      <c r="AH13" s="802"/>
      <c r="AI13" s="801"/>
      <c r="AJ13" s="807"/>
      <c r="AK13" s="266"/>
      <c r="AL13" s="803"/>
      <c r="AM13" s="808"/>
      <c r="AN13" s="266"/>
      <c r="AO13" s="266"/>
      <c r="AP13" s="809"/>
      <c r="AQ13" s="8"/>
      <c r="AR13" s="663"/>
      <c r="AS13" s="679"/>
      <c r="AT13" s="8"/>
    </row>
    <row r="14" spans="1:46" ht="75">
      <c r="A14" s="3">
        <f>A12+1</f>
        <v>7</v>
      </c>
      <c r="B14" s="3">
        <f>'תקציב מינהל תפעול 2022'!B7</f>
        <v>1247</v>
      </c>
      <c r="C14" s="255" t="str">
        <f>'תקציב מינהל תפעול 2022'!C7</f>
        <v>תכנון ייעוץ הנדסי "סל"</v>
      </c>
      <c r="D14" s="4">
        <f>'תקציב מינהל תפעול 2022'!D7</f>
        <v>9500000</v>
      </c>
      <c r="E14" s="4">
        <f>'תקציב מינהל תפעול 2022'!E7</f>
        <v>9500000</v>
      </c>
      <c r="F14" s="4">
        <f>'תקציב מינהל תפעול 2022'!F7</f>
        <v>0</v>
      </c>
      <c r="G14" s="4">
        <f>'תקציב מינהל תפעול 2022'!G7</f>
        <v>9250000</v>
      </c>
      <c r="H14" s="4">
        <f>'תקציב מינהל תפעול 2022'!H7</f>
        <v>8825451</v>
      </c>
      <c r="I14" s="4">
        <f>'תקציב מינהל תפעול 2022'!I7</f>
        <v>5068</v>
      </c>
      <c r="J14" s="4">
        <f>'תקציב מינהל תפעול 2022'!J7</f>
        <v>399022</v>
      </c>
      <c r="K14" s="4">
        <f>'תקציב מינהל תפעול 2022'!K7</f>
        <v>404090</v>
      </c>
      <c r="L14" s="4">
        <f>'תקציב מינהל תפעול 2022'!L7</f>
        <v>9229541</v>
      </c>
      <c r="M14" s="4">
        <f>'תקציב מינהל תפעול 2022'!M7</f>
        <v>20459</v>
      </c>
      <c r="N14" s="4">
        <f>'תקציב מינהל תפעול 2022'!N7</f>
        <v>200000</v>
      </c>
      <c r="O14" s="4">
        <f>'תקציב מינהל תפעול 2022'!O7</f>
        <v>50000</v>
      </c>
      <c r="P14" s="4">
        <f>'תקציב מינהל תפעול 2022'!P7</f>
        <v>20459</v>
      </c>
      <c r="Q14" s="4">
        <f>'תקציב מינהל תפעול 2022'!Q7</f>
        <v>0</v>
      </c>
      <c r="R14" s="4">
        <f>'תקציב מינהל תפעול 2022'!R7</f>
        <v>0</v>
      </c>
      <c r="S14" s="4">
        <f>'תקציב מינהל תפעול 2022'!S7</f>
        <v>0</v>
      </c>
      <c r="T14" s="4">
        <f>'תקציב מינהל תפעול 2022'!T7</f>
        <v>0</v>
      </c>
      <c r="U14" s="4">
        <f>'תקציב מינהל תפעול 2022'!U7</f>
        <v>200000</v>
      </c>
      <c r="V14" s="4">
        <f>'תקציב מינהל תפעול 2022'!V7</f>
        <v>0</v>
      </c>
      <c r="W14" s="4">
        <f>'תקציב מינהל תפעול 2022'!W7</f>
        <v>200000</v>
      </c>
      <c r="X14" s="4">
        <f>'תקציב מינהל תפעול 2022'!X7</f>
        <v>0</v>
      </c>
      <c r="Y14" s="4">
        <f>'תקציב מינהל תפעול 2022'!Y7</f>
        <v>0</v>
      </c>
      <c r="Z14" s="4">
        <f>'תקציב מינהל תפעול 2022'!Z7</f>
        <v>0</v>
      </c>
      <c r="AA14" s="4">
        <f>'תקציב מינהל תפעול 2022'!AA7</f>
        <v>0</v>
      </c>
      <c r="AB14" s="255" t="str">
        <f>'תקציב מינהל תפעול 2022'!AB7</f>
        <v xml:space="preserve">סל לייעוץ וקידום תכנון הנדסי. </v>
      </c>
      <c r="AC14" s="3">
        <f>'תקציב מינהל תפעול 2022'!AC7</f>
        <v>732000</v>
      </c>
      <c r="AD14" s="483" t="s">
        <v>1156</v>
      </c>
      <c r="AE14" s="475" t="s">
        <v>1157</v>
      </c>
      <c r="AF14" s="475"/>
      <c r="AG14" s="475"/>
      <c r="AH14" s="476"/>
      <c r="AI14" s="482" t="s">
        <v>1158</v>
      </c>
      <c r="AJ14" s="482" t="s">
        <v>1158</v>
      </c>
      <c r="AK14" s="364" t="s">
        <v>1159</v>
      </c>
      <c r="AL14" s="477" t="s">
        <v>1160</v>
      </c>
      <c r="AM14" s="478">
        <v>1</v>
      </c>
      <c r="AN14" s="364"/>
      <c r="AO14" s="364" t="s">
        <v>1161</v>
      </c>
      <c r="AP14" s="574">
        <v>-100000</v>
      </c>
      <c r="AQ14" s="4"/>
      <c r="AR14" s="669">
        <v>200000</v>
      </c>
      <c r="AS14" s="669">
        <f>AR14-N14</f>
        <v>0</v>
      </c>
      <c r="AT14" s="4"/>
    </row>
    <row r="15" spans="1:46" ht="30">
      <c r="A15" s="3">
        <f>A14+1</f>
        <v>8</v>
      </c>
      <c r="B15" s="3">
        <f>'תקציב מינהל תפעול 2022'!B58</f>
        <v>2066</v>
      </c>
      <c r="C15" s="255" t="str">
        <f>'תקציב מינהל תפעול 2022'!C58</f>
        <v>סקר טבע עירוני</v>
      </c>
      <c r="D15" s="4">
        <f>'תקציב מינהל תפעול 2022'!D58</f>
        <v>112500</v>
      </c>
      <c r="E15" s="4">
        <f>'תקציב מינהל תפעול 2022'!E58</f>
        <v>112500</v>
      </c>
      <c r="F15" s="4">
        <f>'תקציב מינהל תפעול 2022'!F58</f>
        <v>0</v>
      </c>
      <c r="G15" s="4">
        <f>'תקציב מינהל תפעול 2022'!G58</f>
        <v>112500</v>
      </c>
      <c r="H15" s="4">
        <f>'תקציב מינהל תפעול 2022'!H58</f>
        <v>111299</v>
      </c>
      <c r="I15" s="4">
        <f>'תקציב מינהל תפעול 2022'!I58</f>
        <v>0</v>
      </c>
      <c r="J15" s="4">
        <f>'תקציב מינהל תפעול 2022'!J58</f>
        <v>0</v>
      </c>
      <c r="K15" s="4">
        <f>'תקציב מינהל תפעול 2022'!K58</f>
        <v>0</v>
      </c>
      <c r="L15" s="4">
        <f>'תקציב מינהל תפעול 2022'!L58</f>
        <v>111299</v>
      </c>
      <c r="M15" s="4">
        <f>'תקציב מינהל תפעול 2022'!M58</f>
        <v>1201</v>
      </c>
      <c r="N15" s="4">
        <f>'תקציב מינהל תפעול 2022'!N58</f>
        <v>0</v>
      </c>
      <c r="O15" s="4">
        <f>'תקציב מינהל תפעול 2022'!O58</f>
        <v>0</v>
      </c>
      <c r="P15" s="4">
        <f>'תקציב מינהל תפעול 2022'!P58</f>
        <v>1201</v>
      </c>
      <c r="Q15" s="4">
        <f>'תקציב מינהל תפעול 2022'!Q58</f>
        <v>0</v>
      </c>
      <c r="R15" s="4">
        <f>'תקציב מינהל תפעול 2022'!R58</f>
        <v>0</v>
      </c>
      <c r="S15" s="4">
        <f>'תקציב מינהל תפעול 2022'!S58</f>
        <v>0</v>
      </c>
      <c r="T15" s="4">
        <f>'תקציב מינהל תפעול 2022'!T58</f>
        <v>0</v>
      </c>
      <c r="U15" s="4">
        <f>'תקציב מינהל תפעול 2022'!U58</f>
        <v>0</v>
      </c>
      <c r="V15" s="4">
        <f>'תקציב מינהל תפעול 2022'!V58</f>
        <v>0</v>
      </c>
      <c r="W15" s="4">
        <f>'תקציב מינהל תפעול 2022'!W58</f>
        <v>0</v>
      </c>
      <c r="X15" s="4">
        <f>'תקציב מינהל תפעול 2022'!X58</f>
        <v>0</v>
      </c>
      <c r="Y15" s="4">
        <f>'תקציב מינהל תפעול 2022'!Y58</f>
        <v>0</v>
      </c>
      <c r="Z15" s="4">
        <f>'תקציב מינהל תפעול 2022'!Z58</f>
        <v>0</v>
      </c>
      <c r="AA15" s="4">
        <f>'תקציב מינהל תפעול 2022'!AA58</f>
        <v>0</v>
      </c>
      <c r="AB15" s="255" t="str">
        <f>'תקציב מינהל תפעול 2022'!AB58</f>
        <v>ייסגר עם קבלת תקבולים מ. הגנת הסביבה.</v>
      </c>
      <c r="AC15" s="3">
        <f>'תקציב מינהל תפעול 2022'!AC58</f>
        <v>732000</v>
      </c>
      <c r="AD15" s="480"/>
      <c r="AE15" s="484" t="s">
        <v>1315</v>
      </c>
      <c r="AF15" s="475"/>
      <c r="AG15" s="475"/>
      <c r="AH15" s="476"/>
      <c r="AI15" s="482" t="s">
        <v>1316</v>
      </c>
      <c r="AJ15" s="482" t="s">
        <v>1316</v>
      </c>
      <c r="AK15" s="364" t="s">
        <v>1316</v>
      </c>
      <c r="AL15" s="477" t="s">
        <v>1150</v>
      </c>
      <c r="AM15" s="478"/>
      <c r="AN15" s="364"/>
      <c r="AO15" s="364" t="s">
        <v>1316</v>
      </c>
      <c r="AP15" s="4"/>
      <c r="AQ15" s="4"/>
      <c r="AR15" s="669"/>
      <c r="AS15" s="669"/>
      <c r="AT15" s="4"/>
    </row>
    <row r="16" spans="1:46" s="414" customFormat="1" ht="25.15" customHeight="1">
      <c r="A16" s="7"/>
      <c r="B16" s="7"/>
      <c r="C16" s="16" t="s">
        <v>800</v>
      </c>
      <c r="D16" s="8">
        <f>SUM(D14:D15)</f>
        <v>9612500</v>
      </c>
      <c r="E16" s="8">
        <f t="shared" ref="E16:AA16" si="2">SUM(E14:E15)</f>
        <v>9612500</v>
      </c>
      <c r="F16" s="8">
        <f t="shared" si="2"/>
        <v>0</v>
      </c>
      <c r="G16" s="8">
        <f t="shared" si="2"/>
        <v>9362500</v>
      </c>
      <c r="H16" s="8">
        <f t="shared" si="2"/>
        <v>8936750</v>
      </c>
      <c r="I16" s="8">
        <f t="shared" si="2"/>
        <v>5068</v>
      </c>
      <c r="J16" s="8">
        <f t="shared" si="2"/>
        <v>399022</v>
      </c>
      <c r="K16" s="8">
        <f t="shared" si="2"/>
        <v>404090</v>
      </c>
      <c r="L16" s="8">
        <f t="shared" si="2"/>
        <v>9340840</v>
      </c>
      <c r="M16" s="8">
        <f t="shared" si="2"/>
        <v>21660</v>
      </c>
      <c r="N16" s="8">
        <f t="shared" si="2"/>
        <v>200000</v>
      </c>
      <c r="O16" s="8">
        <f t="shared" si="2"/>
        <v>50000</v>
      </c>
      <c r="P16" s="8">
        <f t="shared" si="2"/>
        <v>21660</v>
      </c>
      <c r="Q16" s="8">
        <f t="shared" si="2"/>
        <v>0</v>
      </c>
      <c r="R16" s="8">
        <f t="shared" si="2"/>
        <v>0</v>
      </c>
      <c r="S16" s="8">
        <f t="shared" si="2"/>
        <v>0</v>
      </c>
      <c r="T16" s="8">
        <f t="shared" si="2"/>
        <v>0</v>
      </c>
      <c r="U16" s="8">
        <f t="shared" si="2"/>
        <v>200000</v>
      </c>
      <c r="V16" s="8">
        <f t="shared" si="2"/>
        <v>0</v>
      </c>
      <c r="W16" s="8">
        <f t="shared" si="2"/>
        <v>200000</v>
      </c>
      <c r="X16" s="8">
        <f t="shared" si="2"/>
        <v>0</v>
      </c>
      <c r="Y16" s="8">
        <f t="shared" si="2"/>
        <v>0</v>
      </c>
      <c r="Z16" s="8">
        <f t="shared" si="2"/>
        <v>0</v>
      </c>
      <c r="AA16" s="8">
        <f t="shared" si="2"/>
        <v>0</v>
      </c>
      <c r="AB16" s="16"/>
      <c r="AC16" s="7"/>
      <c r="AD16" s="800"/>
      <c r="AE16" s="484"/>
      <c r="AF16" s="801"/>
      <c r="AG16" s="801"/>
      <c r="AH16" s="802"/>
      <c r="AI16" s="801"/>
      <c r="AJ16" s="801"/>
      <c r="AK16" s="805"/>
      <c r="AL16" s="803"/>
      <c r="AM16" s="372"/>
      <c r="AN16" s="805"/>
      <c r="AO16" s="805"/>
      <c r="AP16" s="8"/>
      <c r="AQ16" s="8"/>
      <c r="AR16" s="679"/>
      <c r="AS16" s="679"/>
      <c r="AT16" s="8"/>
    </row>
    <row r="17" spans="1:46" ht="60">
      <c r="A17" s="3">
        <f>A15+1</f>
        <v>9</v>
      </c>
      <c r="B17" s="3">
        <f>'תקציב מינהל תפעול 2022'!B17</f>
        <v>1489</v>
      </c>
      <c r="C17" s="255" t="str">
        <f>'תקציב מינהל תפעול 2022'!C17</f>
        <v>שדרוג כבישים מדרכות תשתיות</v>
      </c>
      <c r="D17" s="4">
        <f>'תקציב מינהל תפעול 2022'!D17</f>
        <v>61500000</v>
      </c>
      <c r="E17" s="4">
        <f>'תקציב מינהל תפעול 2022'!E17</f>
        <v>55000000</v>
      </c>
      <c r="F17" s="4">
        <f>'תקציב מינהל תפעול 2022'!F17</f>
        <v>6500000</v>
      </c>
      <c r="G17" s="4">
        <f>'תקציב מינהל תפעול 2022'!G17</f>
        <v>55000000</v>
      </c>
      <c r="H17" s="4">
        <f>'תקציב מינהל תפעול 2022'!H17</f>
        <v>47984649</v>
      </c>
      <c r="I17" s="4">
        <f>'תקציב מינהל תפעול 2022'!I17</f>
        <v>0</v>
      </c>
      <c r="J17" s="4">
        <f>'תקציב מינהל תפעול 2022'!J17</f>
        <v>3914002</v>
      </c>
      <c r="K17" s="4">
        <f>'תקציב מינהל תפעול 2022'!K17</f>
        <v>3914002</v>
      </c>
      <c r="L17" s="4">
        <f>'תקציב מינהל תפעול 2022'!L17</f>
        <v>51898651</v>
      </c>
      <c r="M17" s="4">
        <f>'תקציב מינהל תפעול 2022'!M17</f>
        <v>3101349</v>
      </c>
      <c r="N17" s="4">
        <f>'תקציב מינהל תפעול 2022'!N17</f>
        <v>6500000</v>
      </c>
      <c r="O17" s="4">
        <f>'תקציב מינהל תפעול 2022'!O17</f>
        <v>0</v>
      </c>
      <c r="P17" s="4">
        <f>'תקציב מינהל תפעול 2022'!P17</f>
        <v>3101349</v>
      </c>
      <c r="Q17" s="4">
        <f>'תקציב מינהל תפעול 2022'!Q17</f>
        <v>0</v>
      </c>
      <c r="R17" s="4">
        <f>'תקציב מינהל תפעול 2022'!R17</f>
        <v>0</v>
      </c>
      <c r="S17" s="4">
        <f>'תקציב מינהל תפעול 2022'!S17</f>
        <v>0</v>
      </c>
      <c r="T17" s="4">
        <f>'תקציב מינהל תפעול 2022'!T17</f>
        <v>0</v>
      </c>
      <c r="U17" s="4">
        <f>'תקציב מינהל תפעול 2022'!U17</f>
        <v>6500000</v>
      </c>
      <c r="V17" s="4">
        <f>'תקציב מינהל תפעול 2022'!V17</f>
        <v>0</v>
      </c>
      <c r="W17" s="4">
        <f>'תקציב מינהל תפעול 2022'!W17</f>
        <v>6500000</v>
      </c>
      <c r="X17" s="4">
        <f>'תקציב מינהל תפעול 2022'!X17</f>
        <v>0</v>
      </c>
      <c r="Y17" s="4">
        <f>'תקציב מינהל תפעול 2022'!Y17</f>
        <v>0</v>
      </c>
      <c r="Z17" s="4">
        <f>'תקציב מינהל תפעול 2022'!Z17</f>
        <v>0</v>
      </c>
      <c r="AA17" s="4">
        <f>'תקציב מינהל תפעול 2022'!AA17</f>
        <v>0</v>
      </c>
      <c r="AB17" s="255" t="str">
        <f>'תקציב מינהל תפעול 2022'!AB17</f>
        <v xml:space="preserve">סל לשדרוג כבישים במקביל לעבודת תאגיד המים ומדרכות ברחבי העיר עפ"י תוכנית עבודה שתאושר ע"י הנהלת העיר. </v>
      </c>
      <c r="AC17" s="3">
        <f>'תקציב מינהל תפעול 2022'!AC17</f>
        <v>742000</v>
      </c>
      <c r="AD17" s="480"/>
      <c r="AE17" s="475" t="s">
        <v>1192</v>
      </c>
      <c r="AF17" s="475"/>
      <c r="AG17" s="475" t="s">
        <v>1193</v>
      </c>
      <c r="AH17" s="476"/>
      <c r="AI17" s="482" t="s">
        <v>1194</v>
      </c>
      <c r="AJ17" s="482" t="s">
        <v>1195</v>
      </c>
      <c r="AK17" s="364" t="s">
        <v>1196</v>
      </c>
      <c r="AL17" s="477" t="s">
        <v>1160</v>
      </c>
      <c r="AM17" s="478" t="s">
        <v>1197</v>
      </c>
      <c r="AN17" s="364"/>
      <c r="AO17" s="364" t="s">
        <v>1196</v>
      </c>
      <c r="AP17" s="4">
        <v>-500000</v>
      </c>
      <c r="AQ17" s="4">
        <v>-500000</v>
      </c>
      <c r="AR17" s="669"/>
      <c r="AS17" s="669"/>
      <c r="AT17" s="4">
        <v>-500000</v>
      </c>
    </row>
    <row r="18" spans="1:46" ht="45">
      <c r="A18" s="3">
        <f t="shared" ref="A18:A40" si="3">A17+1</f>
        <v>10</v>
      </c>
      <c r="B18" s="3">
        <f>'תקציב מינהל תפעול 2022'!B28</f>
        <v>1848</v>
      </c>
      <c r="C18" s="255" t="str">
        <f>'תקציב מינהל תפעול 2022'!C28</f>
        <v>פרויקטים קטנים רזרבה אגפית (*) מינהל התפעול מינהלית</v>
      </c>
      <c r="D18" s="4">
        <f>'תקציב מינהל תפעול 2022'!D28</f>
        <v>1600000</v>
      </c>
      <c r="E18" s="4">
        <f>'תקציב מינהל תפעול 2022'!E28</f>
        <v>1300000</v>
      </c>
      <c r="F18" s="4">
        <f>'תקציב מינהל תפעול 2022'!F28</f>
        <v>300000</v>
      </c>
      <c r="G18" s="4">
        <f>'תקציב מינהל תפעול 2022'!G28</f>
        <v>1250000</v>
      </c>
      <c r="H18" s="4">
        <f>'תקציב מינהל תפעול 2022'!H28</f>
        <v>1009266</v>
      </c>
      <c r="I18" s="4">
        <f>'תקציב מינהל תפעול 2022'!I28</f>
        <v>0</v>
      </c>
      <c r="J18" s="4">
        <f>'תקציב מינהל תפעול 2022'!J28</f>
        <v>145190</v>
      </c>
      <c r="K18" s="4">
        <f>'תקציב מינהל תפעול 2022'!K28</f>
        <v>145190</v>
      </c>
      <c r="L18" s="4">
        <f>'תקציב מינהל תפעול 2022'!L28</f>
        <v>1154456</v>
      </c>
      <c r="M18" s="4">
        <f>'תקציב מינהל תפעול 2022'!M28</f>
        <v>145544</v>
      </c>
      <c r="N18" s="4">
        <f>'תקציב מינהל תפעול 2022'!N28</f>
        <v>300000</v>
      </c>
      <c r="O18" s="4">
        <f>'תקציב מינהל תפעול 2022'!O28</f>
        <v>0</v>
      </c>
      <c r="P18" s="4">
        <f>'תקציב מינהל תפעול 2022'!P28</f>
        <v>95544</v>
      </c>
      <c r="Q18" s="4">
        <f>'תקציב מינהל תפעול 2022'!Q28</f>
        <v>50000</v>
      </c>
      <c r="R18" s="4">
        <f>'תקציב מינהל תפעול 2022'!R28</f>
        <v>0</v>
      </c>
      <c r="S18" s="4">
        <f>'תקציב מינהל תפעול 2022'!S28</f>
        <v>50000</v>
      </c>
      <c r="T18" s="4">
        <f>'תקציב מינהל תפעול 2022'!T28</f>
        <v>0</v>
      </c>
      <c r="U18" s="4">
        <f>'תקציב מינהל תפעול 2022'!U28</f>
        <v>300000</v>
      </c>
      <c r="V18" s="4">
        <f>'תקציב מינהל תפעול 2022'!V28</f>
        <v>0</v>
      </c>
      <c r="W18" s="4">
        <f>'תקציב מינהל תפעול 2022'!W28</f>
        <v>300000</v>
      </c>
      <c r="X18" s="4">
        <f>'תקציב מינהל תפעול 2022'!X28</f>
        <v>0</v>
      </c>
      <c r="Y18" s="4">
        <f>'תקציב מינהל תפעול 2022'!Y28</f>
        <v>0</v>
      </c>
      <c r="Z18" s="4">
        <f>'תקציב מינהל תפעול 2022'!Z28</f>
        <v>0</v>
      </c>
      <c r="AA18" s="4">
        <f>'תקציב מינהל תפעול 2022'!AA28</f>
        <v>0</v>
      </c>
      <c r="AB18" s="255" t="str">
        <f>'תקציב מינהל תפעול 2022'!AB28</f>
        <v>סל לביצוע עבודות פרויקטים קטנים הנדרשים ע"י המינהל מעת לעת.</v>
      </c>
      <c r="AC18" s="3">
        <f>'תקציב מינהל תפעול 2022'!AC28</f>
        <v>742000</v>
      </c>
      <c r="AD18" s="497" t="s">
        <v>1238</v>
      </c>
      <c r="AE18" s="475" t="s">
        <v>1239</v>
      </c>
      <c r="AF18" s="475"/>
      <c r="AG18" s="475"/>
      <c r="AH18" s="476"/>
      <c r="AI18" s="482" t="s">
        <v>998</v>
      </c>
      <c r="AJ18" s="482" t="s">
        <v>998</v>
      </c>
      <c r="AK18" s="364" t="s">
        <v>998</v>
      </c>
      <c r="AL18" s="489" t="s">
        <v>1185</v>
      </c>
      <c r="AM18" s="478">
        <v>1</v>
      </c>
      <c r="AN18" s="364"/>
      <c r="AO18" s="364" t="s">
        <v>998</v>
      </c>
      <c r="AP18" s="574">
        <v>-100000</v>
      </c>
      <c r="AQ18" s="4"/>
      <c r="AR18" s="669">
        <v>300000</v>
      </c>
      <c r="AS18" s="669">
        <f>AR18-N18</f>
        <v>0</v>
      </c>
      <c r="AT18" s="4"/>
    </row>
    <row r="19" spans="1:46" ht="60">
      <c r="A19" s="3">
        <f t="shared" si="3"/>
        <v>11</v>
      </c>
      <c r="B19" s="3">
        <f>'תקציב מינהל תפעול 2022'!B44</f>
        <v>1973</v>
      </c>
      <c r="C19" s="255" t="str">
        <f>'תקציב מינהל תפעול 2022'!C44</f>
        <v>שילוט ברחבי העיר</v>
      </c>
      <c r="D19" s="4">
        <f>'תקציב מינהל תפעול 2022'!D44</f>
        <v>2500000</v>
      </c>
      <c r="E19" s="4">
        <f>'תקציב מינהל תפעול 2022'!E44</f>
        <v>2500000</v>
      </c>
      <c r="F19" s="4">
        <f>'תקציב מינהל תפעול 2022'!F44</f>
        <v>0</v>
      </c>
      <c r="G19" s="4">
        <f>'תקציב מינהל תפעול 2022'!G44</f>
        <v>1150000</v>
      </c>
      <c r="H19" s="4">
        <f>'תקציב מינהל תפעול 2022'!H44</f>
        <v>951066</v>
      </c>
      <c r="I19" s="4">
        <f>'תקציב מינהל תפעול 2022'!I44</f>
        <v>0</v>
      </c>
      <c r="J19" s="4">
        <f>'תקציב מינהל תפעול 2022'!J44</f>
        <v>198933</v>
      </c>
      <c r="K19" s="4">
        <f>'תקציב מינהל תפעול 2022'!K44</f>
        <v>198933</v>
      </c>
      <c r="L19" s="4">
        <f>'תקציב מינהל תפעול 2022'!L44</f>
        <v>1149999</v>
      </c>
      <c r="M19" s="4">
        <f>'תקציב מינהל תפעול 2022'!M44</f>
        <v>1</v>
      </c>
      <c r="N19" s="4">
        <f>'תקציב מינהל תפעול 2022'!N44</f>
        <v>800000</v>
      </c>
      <c r="O19" s="4">
        <f>'תקציב מינהל תפעול 2022'!O44</f>
        <v>550000</v>
      </c>
      <c r="P19" s="4">
        <f>'תקציב מינהל תפעול 2022'!P44</f>
        <v>1</v>
      </c>
      <c r="Q19" s="4">
        <f>'תקציב מינהל תפעול 2022'!Q44</f>
        <v>0</v>
      </c>
      <c r="R19" s="4">
        <f>'תקציב מינהל תפעול 2022'!R44</f>
        <v>0</v>
      </c>
      <c r="S19" s="4">
        <f>'תקציב מינהל תפעול 2022'!S44</f>
        <v>0</v>
      </c>
      <c r="T19" s="4">
        <f>'תקציב מינהל תפעול 2022'!T44</f>
        <v>0</v>
      </c>
      <c r="U19" s="4">
        <f>'תקציב מינהל תפעול 2022'!U44</f>
        <v>800000</v>
      </c>
      <c r="V19" s="4">
        <f>'תקציב מינהל תפעול 2022'!V44</f>
        <v>0</v>
      </c>
      <c r="W19" s="4">
        <f>'תקציב מינהל תפעול 2022'!W44</f>
        <v>800000</v>
      </c>
      <c r="X19" s="4">
        <f>'תקציב מינהל תפעול 2022'!X44</f>
        <v>0</v>
      </c>
      <c r="Y19" s="4">
        <f>'תקציב מינהל תפעול 2022'!Y44</f>
        <v>0</v>
      </c>
      <c r="Z19" s="4">
        <f>'תקציב מינהל תפעול 2022'!Z44</f>
        <v>0</v>
      </c>
      <c r="AA19" s="4">
        <f>'תקציב מינהל תפעול 2022'!AA44</f>
        <v>0</v>
      </c>
      <c r="AB19" s="255" t="str">
        <f>'תקציב מינהל תפעול 2022'!AB44</f>
        <v>תוכנית אב לשילוט של כל סוגי השילוט בעיר בשלב 1 הרצליה הירוקה ,החלפת שלטים לשלטים מחזירי אור ברחבי העיר .</v>
      </c>
      <c r="AC19" s="3">
        <f>'תקציב מינהל תפעול 2022'!AC44</f>
        <v>742000</v>
      </c>
      <c r="AD19" s="480"/>
      <c r="AE19" s="484" t="s">
        <v>1283</v>
      </c>
      <c r="AF19" s="475" t="s">
        <v>1284</v>
      </c>
      <c r="AG19" s="475" t="s">
        <v>1285</v>
      </c>
      <c r="AH19" s="476"/>
      <c r="AI19" s="482" t="s">
        <v>1286</v>
      </c>
      <c r="AJ19" s="482" t="s">
        <v>1286</v>
      </c>
      <c r="AK19" s="364" t="s">
        <v>1286</v>
      </c>
      <c r="AL19" s="477" t="s">
        <v>1153</v>
      </c>
      <c r="AM19" s="478">
        <v>1</v>
      </c>
      <c r="AN19" s="364"/>
      <c r="AO19" s="364" t="s">
        <v>1286</v>
      </c>
      <c r="AP19" s="4">
        <v>-200000</v>
      </c>
      <c r="AQ19" s="4">
        <v>-200000</v>
      </c>
      <c r="AR19" s="669"/>
      <c r="AS19" s="669"/>
      <c r="AT19" s="4">
        <v>-200000</v>
      </c>
    </row>
    <row r="20" spans="1:46" ht="60" customHeight="1">
      <c r="A20" s="3">
        <f t="shared" si="3"/>
        <v>12</v>
      </c>
      <c r="B20" s="3">
        <f>'תקציב מינהל תפעול 2022'!B76</f>
        <v>2164</v>
      </c>
      <c r="C20" s="255" t="str">
        <f>'תקציב מינהל תפעול 2022'!C76</f>
        <v>שדרוג מתחם המשקל העירוני</v>
      </c>
      <c r="D20" s="4">
        <f>'תקציב מינהל תפעול 2022'!D76</f>
        <v>300000</v>
      </c>
      <c r="E20" s="4">
        <f>'תקציב מינהל תפעול 2022'!E76</f>
        <v>300000</v>
      </c>
      <c r="F20" s="4">
        <f>'תקציב מינהל תפעול 2022'!F76</f>
        <v>0</v>
      </c>
      <c r="G20" s="4">
        <f>'תקציב מינהל תפעול 2022'!G76</f>
        <v>300000</v>
      </c>
      <c r="H20" s="4">
        <f>'תקציב מינהל תפעול 2022'!H76</f>
        <v>0</v>
      </c>
      <c r="I20" s="4">
        <f>'תקציב מינהל תפעול 2022'!I76</f>
        <v>0</v>
      </c>
      <c r="J20" s="4">
        <f>'תקציב מינהל תפעול 2022'!J76</f>
        <v>0</v>
      </c>
      <c r="K20" s="4">
        <f>'תקציב מינהל תפעול 2022'!K76</f>
        <v>0</v>
      </c>
      <c r="L20" s="4">
        <f>'תקציב מינהל תפעול 2022'!L76</f>
        <v>0</v>
      </c>
      <c r="M20" s="4">
        <f>'תקציב מינהל תפעול 2022'!M76</f>
        <v>300000</v>
      </c>
      <c r="N20" s="4">
        <f>'תקציב מינהל תפעול 2022'!N76</f>
        <v>0</v>
      </c>
      <c r="O20" s="4">
        <f>'תקציב מינהל תפעול 2022'!O76</f>
        <v>0</v>
      </c>
      <c r="P20" s="4">
        <f>'תקציב מינהל תפעול 2022'!P76</f>
        <v>300000</v>
      </c>
      <c r="Q20" s="4">
        <f>'תקציב מינהל תפעול 2022'!Q76</f>
        <v>0</v>
      </c>
      <c r="R20" s="4">
        <f>'תקציב מינהל תפעול 2022'!R76</f>
        <v>0</v>
      </c>
      <c r="S20" s="4">
        <f>'תקציב מינהל תפעול 2022'!S76</f>
        <v>0</v>
      </c>
      <c r="T20" s="4">
        <f>'תקציב מינהל תפעול 2022'!T76</f>
        <v>0</v>
      </c>
      <c r="U20" s="4">
        <f>'תקציב מינהל תפעול 2022'!U76</f>
        <v>0</v>
      </c>
      <c r="V20" s="4">
        <f>'תקציב מינהל תפעול 2022'!V76</f>
        <v>0</v>
      </c>
      <c r="W20" s="4">
        <f>'תקציב מינהל תפעול 2022'!W76</f>
        <v>0</v>
      </c>
      <c r="X20" s="4">
        <f>'תקציב מינהל תפעול 2022'!X76</f>
        <v>0</v>
      </c>
      <c r="Y20" s="4">
        <f>'תקציב מינהל תפעול 2022'!Y76</f>
        <v>0</v>
      </c>
      <c r="Z20" s="4">
        <f>'תקציב מינהל תפעול 2022'!Z76</f>
        <v>0</v>
      </c>
      <c r="AA20" s="4">
        <f>'תקציב מינהל תפעול 2022'!AA76</f>
        <v>0</v>
      </c>
      <c r="AB20" s="255" t="str">
        <f>'תקציב מינהל תפעול 2022'!AB76</f>
        <v>עבודות במתחם המשקל העירוני להסדרת נושא הבטיחות.</v>
      </c>
      <c r="AC20" s="3">
        <f>'תקציב מינהל תפעול 2022'!AC76</f>
        <v>742000</v>
      </c>
      <c r="AD20" s="480"/>
      <c r="AE20" s="484" t="s">
        <v>1357</v>
      </c>
      <c r="AF20" s="475"/>
      <c r="AG20" s="475"/>
      <c r="AH20" s="476"/>
      <c r="AI20" s="482" t="s">
        <v>1358</v>
      </c>
      <c r="AJ20" s="482" t="s">
        <v>1358</v>
      </c>
      <c r="AK20" s="364" t="s">
        <v>1358</v>
      </c>
      <c r="AL20" s="477" t="s">
        <v>1153</v>
      </c>
      <c r="AM20" s="478"/>
      <c r="AN20" s="364"/>
      <c r="AO20" s="364" t="s">
        <v>1358</v>
      </c>
      <c r="AP20" s="4"/>
      <c r="AQ20" s="4"/>
      <c r="AR20" s="669"/>
      <c r="AS20" s="669"/>
      <c r="AT20" s="4"/>
    </row>
    <row r="21" spans="1:46" ht="60">
      <c r="A21" s="3">
        <f t="shared" si="3"/>
        <v>13</v>
      </c>
      <c r="B21" s="3">
        <f>'תקציב מינהל תפעול 2022'!B79</f>
        <v>2167</v>
      </c>
      <c r="C21" s="255" t="str">
        <f>'תקציב מינהל תפעול 2022'!C79</f>
        <v>הקמת סככות המתנה לאוטובוס כולל תשתיות</v>
      </c>
      <c r="D21" s="4">
        <f>'תקציב מינהל תפעול 2022'!D79</f>
        <v>1400000</v>
      </c>
      <c r="E21" s="4">
        <f>'תקציב מינהל תפעול 2022'!E79</f>
        <v>1400000</v>
      </c>
      <c r="F21" s="4">
        <f>'תקציב מינהל תפעול 2022'!F79</f>
        <v>0</v>
      </c>
      <c r="G21" s="4">
        <f>'תקציב מינהל תפעול 2022'!G79</f>
        <v>100000</v>
      </c>
      <c r="H21" s="4">
        <f>'תקציב מינהל תפעול 2022'!H79</f>
        <v>0</v>
      </c>
      <c r="I21" s="4">
        <f>'תקציב מינהל תפעול 2022'!I79</f>
        <v>0</v>
      </c>
      <c r="J21" s="4">
        <f>'תקציב מינהל תפעול 2022'!J79</f>
        <v>0</v>
      </c>
      <c r="K21" s="4">
        <f>'תקציב מינהל תפעול 2022'!K79</f>
        <v>0</v>
      </c>
      <c r="L21" s="4">
        <f>'תקציב מינהל תפעול 2022'!L79</f>
        <v>0</v>
      </c>
      <c r="M21" s="4">
        <f>'תקציב מינהל תפעול 2022'!M79</f>
        <v>100000</v>
      </c>
      <c r="N21" s="4">
        <f>'תקציב מינהל תפעול 2022'!N79</f>
        <v>270000</v>
      </c>
      <c r="O21" s="4">
        <f>'תקציב מינהל תפעול 2022'!O79</f>
        <v>1030000</v>
      </c>
      <c r="P21" s="4">
        <f>'תקציב מינהל תפעול 2022'!P79</f>
        <v>100000</v>
      </c>
      <c r="Q21" s="4">
        <f>'תקציב מינהל תפעול 2022'!Q79</f>
        <v>0</v>
      </c>
      <c r="R21" s="4">
        <f>'תקציב מינהל תפעול 2022'!R79</f>
        <v>0</v>
      </c>
      <c r="S21" s="4">
        <f>'תקציב מינהל תפעול 2022'!S79</f>
        <v>0</v>
      </c>
      <c r="T21" s="4">
        <f>'תקציב מינהל תפעול 2022'!T79</f>
        <v>0</v>
      </c>
      <c r="U21" s="4">
        <f>'תקציב מינהל תפעול 2022'!U79</f>
        <v>270000</v>
      </c>
      <c r="V21" s="4">
        <f>'תקציב מינהל תפעול 2022'!V79</f>
        <v>0</v>
      </c>
      <c r="W21" s="4">
        <f>'תקציב מינהל תפעול 2022'!W79</f>
        <v>270000</v>
      </c>
      <c r="X21" s="4">
        <f>'תקציב מינהל תפעול 2022'!X79</f>
        <v>0</v>
      </c>
      <c r="Y21" s="4">
        <f>'תקציב מינהל תפעול 2022'!Y79</f>
        <v>0</v>
      </c>
      <c r="Z21" s="4">
        <f>'תקציב מינהל תפעול 2022'!Z79</f>
        <v>0</v>
      </c>
      <c r="AA21" s="4">
        <f>'תקציב מינהל תפעול 2022'!AA79</f>
        <v>0</v>
      </c>
      <c r="AB21" s="255" t="str">
        <f>'תקציב מינהל תפעול 2022'!AB79</f>
        <v>התקנת תאורה בתחנות אוטובוס ברחבי העיר שהקים מ.התחבורה  וביצוע תשתיות לתחנות אוטובוס שיוצבו ע"י מ. התחבורה ב - 2022.</v>
      </c>
      <c r="AC21" s="3">
        <f>'תקציב מינהל תפעול 2022'!AC79</f>
        <v>742000</v>
      </c>
      <c r="AD21" s="480"/>
      <c r="AE21" s="484" t="s">
        <v>1366</v>
      </c>
      <c r="AF21" s="475" t="str">
        <f>AE21</f>
        <v>לקבל פרוט. תקציב 2021 לא נוצל כלל.</v>
      </c>
      <c r="AG21" s="482" t="s">
        <v>1367</v>
      </c>
      <c r="AH21" s="476"/>
      <c r="AI21" s="482" t="s">
        <v>1368</v>
      </c>
      <c r="AJ21" s="482" t="s">
        <v>1368</v>
      </c>
      <c r="AK21" s="364" t="s">
        <v>1368</v>
      </c>
      <c r="AL21" s="477" t="s">
        <v>1153</v>
      </c>
      <c r="AM21" s="478">
        <v>1</v>
      </c>
      <c r="AN21" s="364"/>
      <c r="AO21" s="364" t="s">
        <v>1369</v>
      </c>
      <c r="AP21" s="4"/>
      <c r="AQ21" s="4"/>
      <c r="AR21" s="669"/>
      <c r="AS21" s="669"/>
      <c r="AT21" s="4"/>
    </row>
    <row r="22" spans="1:46" ht="60">
      <c r="A22" s="3">
        <f t="shared" si="3"/>
        <v>14</v>
      </c>
      <c r="B22" s="3">
        <f>'תקציב מינהל תפעול 2022'!B94</f>
        <v>2228</v>
      </c>
      <c r="C22" s="255" t="str">
        <f>'תקציב מינהל תפעול 2022'!C94</f>
        <v>עבודות תאורה תשתית האשל,שבטי מנשה,יהודה הלוי,שמואל הנגיד,אבן גבירול</v>
      </c>
      <c r="D22" s="4">
        <f>'תקציב מינהל תפעול 2022'!D94</f>
        <v>1700000</v>
      </c>
      <c r="E22" s="4">
        <f>'תקציב מינהל תפעול 2022'!E94</f>
        <v>1700000</v>
      </c>
      <c r="F22" s="4">
        <f>'תקציב מינהל תפעול 2022'!F94</f>
        <v>0</v>
      </c>
      <c r="G22" s="4">
        <f>'תקציב מינהל תפעול 2022'!G94</f>
        <v>1700000</v>
      </c>
      <c r="H22" s="4">
        <f>'תקציב מינהל תפעול 2022'!H94</f>
        <v>806754</v>
      </c>
      <c r="I22" s="4">
        <f>'תקציב מינהל תפעול 2022'!I94</f>
        <v>0</v>
      </c>
      <c r="J22" s="4">
        <f>'תקציב מינהל תפעול 2022'!J94</f>
        <v>893179</v>
      </c>
      <c r="K22" s="4">
        <f>'תקציב מינהל תפעול 2022'!K94</f>
        <v>893179</v>
      </c>
      <c r="L22" s="4">
        <f>'תקציב מינהל תפעול 2022'!L94</f>
        <v>1699933</v>
      </c>
      <c r="M22" s="4">
        <f>'תקציב מינהל תפעול 2022'!M94</f>
        <v>67</v>
      </c>
      <c r="N22" s="4">
        <f>'תקציב מינהל תפעול 2022'!N94</f>
        <v>0</v>
      </c>
      <c r="O22" s="4">
        <f>'תקציב מינהל תפעול 2022'!O94</f>
        <v>0</v>
      </c>
      <c r="P22" s="4">
        <f>'תקציב מינהל תפעול 2022'!P94</f>
        <v>67</v>
      </c>
      <c r="Q22" s="4">
        <f>'תקציב מינהל תפעול 2022'!Q94</f>
        <v>0</v>
      </c>
      <c r="R22" s="4">
        <f>'תקציב מינהל תפעול 2022'!R94</f>
        <v>0</v>
      </c>
      <c r="S22" s="4">
        <f>'תקציב מינהל תפעול 2022'!S94</f>
        <v>0</v>
      </c>
      <c r="T22" s="4">
        <f>'תקציב מינהל תפעול 2022'!T94</f>
        <v>0</v>
      </c>
      <c r="U22" s="4">
        <f>'תקציב מינהל תפעול 2022'!U94</f>
        <v>0</v>
      </c>
      <c r="V22" s="4">
        <f>'תקציב מינהל תפעול 2022'!V94</f>
        <v>0</v>
      </c>
      <c r="W22" s="4">
        <f>'תקציב מינהל תפעול 2022'!W94</f>
        <v>0</v>
      </c>
      <c r="X22" s="4">
        <f>'תקציב מינהל תפעול 2022'!X94</f>
        <v>0</v>
      </c>
      <c r="Y22" s="4">
        <f>'תקציב מינהל תפעול 2022'!Y94</f>
        <v>0</v>
      </c>
      <c r="Z22" s="4">
        <f>'תקציב מינהל תפעול 2022'!Z94</f>
        <v>0</v>
      </c>
      <c r="AA22" s="4">
        <f>'תקציב מינהל תפעול 2022'!AA94</f>
        <v>0</v>
      </c>
      <c r="AB22" s="255" t="str">
        <f>'תקציב מינהל תפעול 2022'!AB94</f>
        <v>עבודות תשתית ותאורה בעקבות עבודות ח"ח של הטמנת הרשת העילית.</v>
      </c>
      <c r="AC22" s="3">
        <f>'תקציב מינהל תפעול 2022'!AC94</f>
        <v>742000</v>
      </c>
      <c r="AD22" s="480"/>
      <c r="AE22" s="482" t="s">
        <v>1405</v>
      </c>
      <c r="AF22" s="475"/>
      <c r="AG22" s="475"/>
      <c r="AH22" s="476"/>
      <c r="AI22" s="482"/>
      <c r="AJ22" s="482"/>
      <c r="AK22" s="364"/>
      <c r="AL22" s="477" t="s">
        <v>1160</v>
      </c>
      <c r="AM22" s="478"/>
      <c r="AN22" s="364"/>
      <c r="AO22" s="364"/>
      <c r="AP22" s="4"/>
      <c r="AQ22" s="4"/>
      <c r="AR22" s="669"/>
      <c r="AS22" s="669"/>
      <c r="AT22" s="4"/>
    </row>
    <row r="23" spans="1:46" ht="30">
      <c r="A23" s="3">
        <f t="shared" si="3"/>
        <v>15</v>
      </c>
      <c r="B23" s="3">
        <f>'תקציב מינהל תפעול 2022'!B100</f>
        <v>2237</v>
      </c>
      <c r="C23" s="255" t="str">
        <f>'תקציב מינהל תפעול 2022'!C100</f>
        <v>הקמת קירות תמך ברחבי העיר</v>
      </c>
      <c r="D23" s="4">
        <f>'תקציב מינהל תפעול 2022'!D100</f>
        <v>1700000</v>
      </c>
      <c r="E23" s="4">
        <f>'תקציב מינהל תפעול 2022'!E100</f>
        <v>1700000</v>
      </c>
      <c r="F23" s="4">
        <f>'תקציב מינהל תפעול 2022'!F100</f>
        <v>0</v>
      </c>
      <c r="G23" s="4">
        <f>'תקציב מינהל תפעול 2022'!G100</f>
        <v>600000</v>
      </c>
      <c r="H23" s="4">
        <f>'תקציב מינהל תפעול 2022'!H100</f>
        <v>0</v>
      </c>
      <c r="I23" s="4">
        <f>'תקציב מינהל תפעול 2022'!I100</f>
        <v>0</v>
      </c>
      <c r="J23" s="4">
        <f>'תקציב מינהל תפעול 2022'!J100</f>
        <v>0</v>
      </c>
      <c r="K23" s="4">
        <f>'תקציב מינהל תפעול 2022'!K100</f>
        <v>0</v>
      </c>
      <c r="L23" s="4">
        <f>'תקציב מינהל תפעול 2022'!L100</f>
        <v>0</v>
      </c>
      <c r="M23" s="4">
        <f>'תקציב מינהל תפעול 2022'!M100</f>
        <v>600000</v>
      </c>
      <c r="N23" s="4">
        <f>'תקציב מינהל תפעול 2022'!N100</f>
        <v>1100000</v>
      </c>
      <c r="O23" s="4">
        <f>'תקציב מינהל תפעול 2022'!O100</f>
        <v>0</v>
      </c>
      <c r="P23" s="4">
        <f>'תקציב מינהל תפעול 2022'!P100</f>
        <v>600000</v>
      </c>
      <c r="Q23" s="4">
        <f>'תקציב מינהל תפעול 2022'!Q100</f>
        <v>0</v>
      </c>
      <c r="R23" s="4">
        <f>'תקציב מינהל תפעול 2022'!R100</f>
        <v>0</v>
      </c>
      <c r="S23" s="4">
        <f>'תקציב מינהל תפעול 2022'!S100</f>
        <v>0</v>
      </c>
      <c r="T23" s="4">
        <f>'תקציב מינהל תפעול 2022'!T100</f>
        <v>0</v>
      </c>
      <c r="U23" s="4">
        <f>'תקציב מינהל תפעול 2022'!U100</f>
        <v>1100000</v>
      </c>
      <c r="V23" s="4">
        <f>'תקציב מינהל תפעול 2022'!V100</f>
        <v>1100000</v>
      </c>
      <c r="W23" s="4">
        <f>'תקציב מינהל תפעול 2022'!W100</f>
        <v>0</v>
      </c>
      <c r="X23" s="4">
        <f>'תקציב מינהל תפעול 2022'!X100</f>
        <v>0</v>
      </c>
      <c r="Y23" s="4">
        <f>'תקציב מינהל תפעול 2022'!Y100</f>
        <v>0</v>
      </c>
      <c r="Z23" s="4">
        <f>'תקציב מינהל תפעול 2022'!Z100</f>
        <v>0</v>
      </c>
      <c r="AA23" s="4">
        <f>'תקציב מינהל תפעול 2022'!AA100</f>
        <v>0</v>
      </c>
      <c r="AB23" s="255" t="str">
        <f>'תקציב מינהל תפעול 2022'!AB100</f>
        <v>הקמת קירות תמך עקב בעיות בטיחות במרחב הציבורי</v>
      </c>
      <c r="AC23" s="3">
        <f>'תקציב מינהל תפעול 2022'!AC100</f>
        <v>742000</v>
      </c>
      <c r="AD23" s="480"/>
      <c r="AE23" s="475"/>
      <c r="AF23" s="475"/>
      <c r="AG23" s="475"/>
      <c r="AH23" s="476"/>
      <c r="AI23" s="482"/>
      <c r="AJ23" s="482"/>
      <c r="AK23" s="364"/>
      <c r="AL23" s="477" t="s">
        <v>1160</v>
      </c>
      <c r="AM23" s="478">
        <v>1</v>
      </c>
      <c r="AN23" s="364"/>
      <c r="AO23" s="364"/>
      <c r="AP23" s="4"/>
      <c r="AQ23" s="4"/>
      <c r="AR23" s="669"/>
      <c r="AS23" s="669"/>
      <c r="AT23" s="4"/>
    </row>
    <row r="24" spans="1:46" s="498" customFormat="1" ht="56.45" customHeight="1">
      <c r="A24" s="3">
        <f t="shared" si="3"/>
        <v>16</v>
      </c>
      <c r="B24" s="3">
        <f>'תקציב מינהל תפעול 2022'!B102</f>
        <v>2239</v>
      </c>
      <c r="C24" s="255" t="str">
        <f>'תקציב מינהל תפעול 2022'!C102</f>
        <v>מתיחת פנים בנווה עמל</v>
      </c>
      <c r="D24" s="4">
        <f>'תקציב מינהל תפעול 2022'!D102</f>
        <v>30000000</v>
      </c>
      <c r="E24" s="4">
        <f>'תקציב מינהל תפעול 2022'!E102</f>
        <v>4700000</v>
      </c>
      <c r="F24" s="4">
        <f>'תקציב מינהל תפעול 2022'!F102</f>
        <v>25300000</v>
      </c>
      <c r="G24" s="4">
        <f>'תקציב מינהל תפעול 2022'!G102</f>
        <v>0</v>
      </c>
      <c r="H24" s="4">
        <f>'תקציב מינהל תפעול 2022'!H102</f>
        <v>0</v>
      </c>
      <c r="I24" s="4">
        <f>'תקציב מינהל תפעול 2022'!I102</f>
        <v>0</v>
      </c>
      <c r="J24" s="4">
        <f>'תקציב מינהל תפעול 2022'!J102</f>
        <v>0</v>
      </c>
      <c r="K24" s="4">
        <f>'תקציב מינהל תפעול 2022'!K102</f>
        <v>0</v>
      </c>
      <c r="L24" s="4">
        <f>'תקציב מינהל תפעול 2022'!L102</f>
        <v>0</v>
      </c>
      <c r="M24" s="4">
        <f>'תקציב מינהל תפעול 2022'!M102</f>
        <v>2000000</v>
      </c>
      <c r="N24" s="4">
        <f>'תקציב מינהל תפעול 2022'!N102</f>
        <v>1500000</v>
      </c>
      <c r="O24" s="4">
        <f>'תקציב מינהל תפעול 2022'!O102</f>
        <v>26500000</v>
      </c>
      <c r="P24" s="4">
        <f>'תקציב מינהל תפעול 2022'!P102</f>
        <v>0</v>
      </c>
      <c r="Q24" s="4">
        <f>'תקציב מינהל תפעול 2022'!Q102</f>
        <v>0</v>
      </c>
      <c r="R24" s="4">
        <f>'תקציב מינהל תפעול 2022'!R102</f>
        <v>2000000</v>
      </c>
      <c r="S24" s="4">
        <f>'תקציב מינהל תפעול 2022'!S102</f>
        <v>2000000</v>
      </c>
      <c r="T24" s="4">
        <f>'תקציב מינהל תפעול 2022'!T102</f>
        <v>0</v>
      </c>
      <c r="U24" s="4">
        <f>'תקציב מינהל תפעול 2022'!U102</f>
        <v>1500000</v>
      </c>
      <c r="V24" s="4">
        <f>'תקציב מינהל תפעול 2022'!V102</f>
        <v>1500000</v>
      </c>
      <c r="W24" s="4">
        <f>'תקציב מינהל תפעול 2022'!W102</f>
        <v>0</v>
      </c>
      <c r="X24" s="4">
        <f>'תקציב מינהל תפעול 2022'!X102</f>
        <v>0</v>
      </c>
      <c r="Y24" s="4">
        <f>'תקציב מינהל תפעול 2022'!Y102</f>
        <v>0</v>
      </c>
      <c r="Z24" s="4">
        <f>'תקציב מינהל תפעול 2022'!Z102</f>
        <v>0</v>
      </c>
      <c r="AA24" s="4">
        <f>'תקציב מינהל תפעול 2022'!AA102</f>
        <v>0</v>
      </c>
      <c r="AB24" s="255" t="str">
        <f>'תקציב מינהל תפעול 2022'!AB102</f>
        <v>שדרוג שכונת נווה עמל כולל: כבישים, מפרצי חנייה, מדרכות, גינון, תאורה, שילוט וריהוט רחוב.</v>
      </c>
      <c r="AC24" s="3">
        <f>'תקציב מינהל תפעול 2022'!AC102</f>
        <v>742000</v>
      </c>
      <c r="AD24" s="480"/>
      <c r="AE24" s="3" t="s">
        <v>1419</v>
      </c>
      <c r="AF24" s="511"/>
      <c r="AG24" s="480"/>
      <c r="AH24" s="480"/>
      <c r="AI24" s="512" t="s">
        <v>1420</v>
      </c>
      <c r="AJ24" s="512" t="s">
        <v>1420</v>
      </c>
      <c r="AK24" s="364" t="s">
        <v>1421</v>
      </c>
      <c r="AL24" s="477" t="s">
        <v>1185</v>
      </c>
      <c r="AM24" s="478">
        <v>2</v>
      </c>
      <c r="AN24" s="364"/>
      <c r="AO24" s="364" t="s">
        <v>1421</v>
      </c>
      <c r="AP24" s="574">
        <v>-5700000</v>
      </c>
      <c r="AQ24" s="4"/>
      <c r="AR24" s="669">
        <v>8000000</v>
      </c>
      <c r="AS24" s="669">
        <f>AR24-N24</f>
        <v>6500000</v>
      </c>
      <c r="AT24" s="4">
        <v>-2000000</v>
      </c>
    </row>
    <row r="25" spans="1:46" ht="60.6" customHeight="1">
      <c r="A25" s="3">
        <f t="shared" si="3"/>
        <v>17</v>
      </c>
      <c r="B25" s="3">
        <f>'תקציב מינהל תפעול 2022'!B107</f>
        <v>20021</v>
      </c>
      <c r="C25" s="255" t="str">
        <f>'תקציב מינהל תפעול 2022'!C107</f>
        <v>שדרוג רחוב אלי לנדאו</v>
      </c>
      <c r="D25" s="4">
        <f>'תקציב מינהל תפעול 2022'!D107</f>
        <v>8000000</v>
      </c>
      <c r="E25" s="4">
        <f>'תקציב מינהל תפעול 2022'!E107</f>
        <v>0</v>
      </c>
      <c r="F25" s="4">
        <f>'תקציב מינהל תפעול 2022'!F107</f>
        <v>8000000</v>
      </c>
      <c r="G25" s="4">
        <f>'תקציב מינהל תפעול 2022'!G107</f>
        <v>0</v>
      </c>
      <c r="H25" s="4">
        <f>'תקציב מינהל תפעול 2022'!H107</f>
        <v>0</v>
      </c>
      <c r="I25" s="4">
        <f>'תקציב מינהל תפעול 2022'!I107</f>
        <v>0</v>
      </c>
      <c r="J25" s="4">
        <f>'תקציב מינהל תפעול 2022'!J107</f>
        <v>0</v>
      </c>
      <c r="K25" s="4">
        <f>'תקציב מינהל תפעול 2022'!K107</f>
        <v>0</v>
      </c>
      <c r="L25" s="4">
        <f>'תקציב מינהל תפעול 2022'!L107</f>
        <v>0</v>
      </c>
      <c r="M25" s="4">
        <f>'תקציב מינהל תפעול 2022'!M107</f>
        <v>0</v>
      </c>
      <c r="N25" s="4">
        <f>'תקציב מינהל תפעול 2022'!N107</f>
        <v>3000000</v>
      </c>
      <c r="O25" s="4">
        <f>'תקציב מינהל תפעול 2022'!O107</f>
        <v>5000000</v>
      </c>
      <c r="P25" s="4">
        <f>'תקציב מינהל תפעול 2022'!P107</f>
        <v>0</v>
      </c>
      <c r="Q25" s="4">
        <f>'תקציב מינהל תפעול 2022'!Q107</f>
        <v>0</v>
      </c>
      <c r="R25" s="4">
        <f>'תקציב מינהל תפעול 2022'!R107</f>
        <v>0</v>
      </c>
      <c r="S25" s="4">
        <f>'תקציב מינהל תפעול 2022'!S107</f>
        <v>0</v>
      </c>
      <c r="T25" s="4">
        <f>'תקציב מינהל תפעול 2022'!T107</f>
        <v>0</v>
      </c>
      <c r="U25" s="4">
        <f>'תקציב מינהל תפעול 2022'!U107</f>
        <v>3000000</v>
      </c>
      <c r="V25" s="4">
        <f>'תקציב מינהל תפעול 2022'!V107</f>
        <v>3000000</v>
      </c>
      <c r="W25" s="4">
        <f>'תקציב מינהל תפעול 2022'!W107</f>
        <v>0</v>
      </c>
      <c r="X25" s="4">
        <f>'תקציב מינהל תפעול 2022'!X107</f>
        <v>0</v>
      </c>
      <c r="Y25" s="4">
        <f>'תקציב מינהל תפעול 2022'!Y107</f>
        <v>0</v>
      </c>
      <c r="Z25" s="4">
        <f>'תקציב מינהל תפעול 2022'!Z107</f>
        <v>0</v>
      </c>
      <c r="AA25" s="4">
        <f>'תקציב מינהל תפעול 2022'!AA107</f>
        <v>0</v>
      </c>
      <c r="AB25" s="255" t="str">
        <f>'תקציב מינהל תפעול 2022'!AB107</f>
        <v>שדרוג רחוב אלי לנדאו כולל: כבישים, מפרצי חנייה, מדרכות, גינון, תאורה, שילוט וריהוט רחוב.</v>
      </c>
      <c r="AC25" s="3">
        <f>'תקציב מינהל תפעול 2022'!AC107</f>
        <v>742000</v>
      </c>
      <c r="AD25" s="480"/>
      <c r="AE25" s="3"/>
      <c r="AF25" s="511" t="s">
        <v>1436</v>
      </c>
      <c r="AG25" s="480"/>
      <c r="AH25" s="480"/>
      <c r="AI25" s="3" t="s">
        <v>1437</v>
      </c>
      <c r="AJ25" s="3" t="s">
        <v>1437</v>
      </c>
      <c r="AK25" s="32"/>
      <c r="AL25" s="477" t="s">
        <v>1185</v>
      </c>
      <c r="AM25" s="478">
        <v>2</v>
      </c>
      <c r="AN25" s="32"/>
      <c r="AO25" s="32"/>
      <c r="AP25" s="4">
        <v>-1000000</v>
      </c>
      <c r="AQ25" s="4">
        <v>-1000000</v>
      </c>
      <c r="AR25" s="663"/>
      <c r="AS25" s="669"/>
      <c r="AT25" s="4">
        <v>-1000000</v>
      </c>
    </row>
    <row r="26" spans="1:46" ht="45">
      <c r="A26" s="3">
        <f t="shared" si="3"/>
        <v>18</v>
      </c>
      <c r="B26" s="3">
        <f>'תקציב מינהל תפעול 2022'!B29</f>
        <v>1849</v>
      </c>
      <c r="C26" s="255" t="str">
        <f>'תקציב מינהל תפעול 2022'!C29</f>
        <v xml:space="preserve"> התקנת גופי תאורה בטכנולוגיה מתקדמת במגרשי הספורט</v>
      </c>
      <c r="D26" s="4">
        <f>'תקציב מינהל תפעול 2022'!D29</f>
        <v>1100000</v>
      </c>
      <c r="E26" s="4">
        <f>'תקציב מינהל תפעול 2022'!E29</f>
        <v>2150000</v>
      </c>
      <c r="F26" s="4">
        <f>'תקציב מינהל תפעול 2022'!F29</f>
        <v>-1050000</v>
      </c>
      <c r="G26" s="4">
        <f>'תקציב מינהל תפעול 2022'!G29</f>
        <v>1100000</v>
      </c>
      <c r="H26" s="4">
        <f>'תקציב מינהל תפעול 2022'!H29</f>
        <v>1094513</v>
      </c>
      <c r="I26" s="4">
        <f>'תקציב מינהל תפעול 2022'!I29</f>
        <v>0</v>
      </c>
      <c r="J26" s="4">
        <f>'תקציב מינהל תפעול 2022'!J29</f>
        <v>2040</v>
      </c>
      <c r="K26" s="4">
        <f>'תקציב מינהל תפעול 2022'!K29</f>
        <v>2040</v>
      </c>
      <c r="L26" s="4">
        <f>'תקציב מינהל תפעול 2022'!L29</f>
        <v>1096553</v>
      </c>
      <c r="M26" s="4">
        <f>'תקציב מינהל תפעול 2022'!M29</f>
        <v>3447</v>
      </c>
      <c r="N26" s="4">
        <f>'תקציב מינהל תפעול 2022'!N29</f>
        <v>0</v>
      </c>
      <c r="O26" s="4">
        <f>'תקציב מינהל תפעול 2022'!O29</f>
        <v>0</v>
      </c>
      <c r="P26" s="4">
        <f>'תקציב מינהל תפעול 2022'!P29</f>
        <v>3447</v>
      </c>
      <c r="Q26" s="4">
        <f>'תקציב מינהל תפעול 2022'!Q29</f>
        <v>0</v>
      </c>
      <c r="R26" s="4">
        <f>'תקציב מינהל תפעול 2022'!R29</f>
        <v>0</v>
      </c>
      <c r="S26" s="4">
        <f>'תקציב מינהל תפעול 2022'!S29</f>
        <v>0</v>
      </c>
      <c r="T26" s="4">
        <f>'תקציב מינהל תפעול 2022'!T29</f>
        <v>0</v>
      </c>
      <c r="U26" s="4">
        <f>'תקציב מינהל תפעול 2022'!U29</f>
        <v>0</v>
      </c>
      <c r="V26" s="4">
        <f>'תקציב מינהל תפעול 2022'!V29</f>
        <v>0</v>
      </c>
      <c r="W26" s="4">
        <f>'תקציב מינהל תפעול 2022'!W29</f>
        <v>0</v>
      </c>
      <c r="X26" s="4">
        <f>'תקציב מינהל תפעול 2022'!X29</f>
        <v>0</v>
      </c>
      <c r="Y26" s="4">
        <f>'תקציב מינהל תפעול 2022'!Y29</f>
        <v>0</v>
      </c>
      <c r="Z26" s="4">
        <f>'תקציב מינהל תפעול 2022'!Z29</f>
        <v>0</v>
      </c>
      <c r="AA26" s="4">
        <f>'תקציב מינהל תפעול 2022'!AA29</f>
        <v>0</v>
      </c>
      <c r="AB26" s="255" t="str">
        <f>'תקציב מינהל תפעול 2022'!AB29</f>
        <v xml:space="preserve">התקנת גופי תאורה בטכנולוגיה מתקדמת במגרשי ספורט. </v>
      </c>
      <c r="AC26" s="3">
        <f>'תקציב מינהל תפעול 2022'!AC29</f>
        <v>743000</v>
      </c>
      <c r="AD26" s="480" t="s">
        <v>1240</v>
      </c>
      <c r="AE26" s="475" t="s">
        <v>1241</v>
      </c>
      <c r="AF26" s="475"/>
      <c r="AG26" s="475"/>
      <c r="AH26" s="476"/>
      <c r="AI26" s="482" t="s">
        <v>1242</v>
      </c>
      <c r="AJ26" s="482" t="s">
        <v>1242</v>
      </c>
      <c r="AK26" s="364" t="s">
        <v>1242</v>
      </c>
      <c r="AL26" s="477" t="s">
        <v>1160</v>
      </c>
      <c r="AM26" s="478"/>
      <c r="AN26" s="364"/>
      <c r="AO26" s="364" t="s">
        <v>1242</v>
      </c>
      <c r="AP26" s="4"/>
      <c r="AQ26" s="4"/>
      <c r="AR26" s="669"/>
      <c r="AS26" s="669"/>
      <c r="AT26" s="4"/>
    </row>
    <row r="27" spans="1:46" ht="90">
      <c r="A27" s="3">
        <f t="shared" si="3"/>
        <v>19</v>
      </c>
      <c r="B27" s="3">
        <f>'תקציב מינהל תפעול 2022'!B36</f>
        <v>1917</v>
      </c>
      <c r="C27" s="255" t="str">
        <f>'תקציב מינהל תפעול 2022'!C36</f>
        <v>מע. תאורה LED ברחבי העיר</v>
      </c>
      <c r="D27" s="4">
        <f>'תקציב מינהל תפעול 2022'!D36</f>
        <v>76800000</v>
      </c>
      <c r="E27" s="4">
        <f>'תקציב מינהל תפעול 2022'!E36</f>
        <v>76800000</v>
      </c>
      <c r="F27" s="4">
        <f>'תקציב מינהל תפעול 2022'!F36</f>
        <v>0</v>
      </c>
      <c r="G27" s="4">
        <f>'תקציב מינהל תפעול 2022'!G36</f>
        <v>33701000</v>
      </c>
      <c r="H27" s="4">
        <f>'תקציב מינהל תפעול 2022'!H36</f>
        <v>26411312</v>
      </c>
      <c r="I27" s="4">
        <f>'תקציב מינהל תפעול 2022'!I36</f>
        <v>0</v>
      </c>
      <c r="J27" s="4">
        <f>'תקציב מינהל תפעול 2022'!J36</f>
        <v>7051589</v>
      </c>
      <c r="K27" s="4">
        <f>'תקציב מינהל תפעול 2022'!K36</f>
        <v>7051589</v>
      </c>
      <c r="L27" s="4">
        <f>'תקציב מינהל תפעול 2022'!L36</f>
        <v>33462901</v>
      </c>
      <c r="M27" s="4">
        <f>'תקציב מינהל תפעול 2022'!M36</f>
        <v>238099</v>
      </c>
      <c r="N27" s="4">
        <f>'תקציב מינהל תפעול 2022'!N36</f>
        <v>0</v>
      </c>
      <c r="O27" s="4">
        <f>'תקציב מינהל תפעול 2022'!O36</f>
        <v>43099000</v>
      </c>
      <c r="P27" s="4">
        <f>'תקציב מינהל תפעול 2022'!P36</f>
        <v>238099</v>
      </c>
      <c r="Q27" s="4">
        <f>'תקציב מינהל תפעול 2022'!Q36</f>
        <v>0</v>
      </c>
      <c r="R27" s="4">
        <f>'תקציב מינהל תפעול 2022'!R36</f>
        <v>0</v>
      </c>
      <c r="S27" s="4">
        <f>'תקציב מינהל תפעול 2022'!S36</f>
        <v>0</v>
      </c>
      <c r="T27" s="4">
        <f>'תקציב מינהל תפעול 2022'!T36</f>
        <v>0</v>
      </c>
      <c r="U27" s="4">
        <f>'תקציב מינהל תפעול 2022'!U36</f>
        <v>0</v>
      </c>
      <c r="V27" s="4">
        <f>'תקציב מינהל תפעול 2022'!V36</f>
        <v>0</v>
      </c>
      <c r="W27" s="4">
        <f>'תקציב מינהל תפעול 2022'!W36</f>
        <v>0</v>
      </c>
      <c r="X27" s="4">
        <f>'תקציב מינהל תפעול 2022'!X36</f>
        <v>0</v>
      </c>
      <c r="Y27" s="4">
        <f>'תקציב מינהל תפעול 2022'!Y36</f>
        <v>0</v>
      </c>
      <c r="Z27" s="4">
        <f>'תקציב מינהל תפעול 2022'!Z36</f>
        <v>0</v>
      </c>
      <c r="AA27" s="4">
        <f>'תקציב מינהל תפעול 2022'!AA36</f>
        <v>0</v>
      </c>
      <c r="AB27" s="255" t="str">
        <f>'תקציב מינהל תפעול 2022'!AB36</f>
        <v>סל להקמת ושדרוג תשתיות כולל עמודי תאורה והתקנת גופי תאורה בטכנולוגיה מתקדמת עפ"י תוכנית רב שנתית. מימון מ. הכלכלה והתעשיה.</v>
      </c>
      <c r="AC27" s="3">
        <f>'תקציב מינהל תפעול 2022'!AC36</f>
        <v>743000</v>
      </c>
      <c r="AD27" s="480"/>
      <c r="AE27" s="482" t="s">
        <v>1259</v>
      </c>
      <c r="AF27" s="475"/>
      <c r="AG27" s="475" t="s">
        <v>1260</v>
      </c>
      <c r="AH27" s="476"/>
      <c r="AI27" s="474" t="s">
        <v>1259</v>
      </c>
      <c r="AJ27" s="490" t="s">
        <v>1259</v>
      </c>
      <c r="AK27" s="499" t="s">
        <v>1261</v>
      </c>
      <c r="AL27" s="477" t="s">
        <v>1160</v>
      </c>
      <c r="AM27" s="478">
        <v>1</v>
      </c>
      <c r="AN27" s="499" t="s">
        <v>1262</v>
      </c>
      <c r="AO27" s="364" t="s">
        <v>1263</v>
      </c>
      <c r="AP27" s="4"/>
      <c r="AQ27" s="4"/>
      <c r="AR27" s="669"/>
      <c r="AS27" s="669"/>
      <c r="AT27" s="4"/>
    </row>
    <row r="28" spans="1:46" ht="75">
      <c r="A28" s="3">
        <f t="shared" si="3"/>
        <v>20</v>
      </c>
      <c r="B28" s="3">
        <f>'תקציב מינהל תפעול 2022'!B5</f>
        <v>1134</v>
      </c>
      <c r="C28" s="255" t="str">
        <f>'תקציב מינהל תפעול 2022'!C5</f>
        <v>יער עירוני וגינות קהילתיות</v>
      </c>
      <c r="D28" s="4">
        <f>'תקציב מינהל תפעול 2022'!D5</f>
        <v>2805000</v>
      </c>
      <c r="E28" s="4">
        <f>'תקציב מינהל תפעול 2022'!E5</f>
        <v>2795000</v>
      </c>
      <c r="F28" s="4">
        <f>'תקציב מינהל תפעול 2022'!F5</f>
        <v>10000</v>
      </c>
      <c r="G28" s="4">
        <f>'תקציב מינהל תפעול 2022'!G5</f>
        <v>2655000</v>
      </c>
      <c r="H28" s="4">
        <f>'תקציב מינהל תפעול 2022'!H5</f>
        <v>2558095</v>
      </c>
      <c r="I28" s="4">
        <f>'תקציב מינהל תפעול 2022'!I5</f>
        <v>0</v>
      </c>
      <c r="J28" s="4">
        <f>'תקציב מינהל תפעול 2022'!J5</f>
        <v>81315</v>
      </c>
      <c r="K28" s="4">
        <f>'תקציב מינהל תפעול 2022'!K5</f>
        <v>81315</v>
      </c>
      <c r="L28" s="4">
        <f>'תקציב מינהל תפעול 2022'!L5</f>
        <v>2639410</v>
      </c>
      <c r="M28" s="4">
        <f>'תקציב מינהל תפעול 2022'!M5</f>
        <v>15590</v>
      </c>
      <c r="N28" s="4">
        <f>'תקציב מינהל תפעול 2022'!N5</f>
        <v>150000</v>
      </c>
      <c r="O28" s="4">
        <f>'תקציב מינהל תפעול 2022'!O5</f>
        <v>0</v>
      </c>
      <c r="P28" s="4">
        <f>'תקציב מינהל תפעול 2022'!P5</f>
        <v>15590</v>
      </c>
      <c r="Q28" s="4">
        <f>'תקציב מינהל תפעול 2022'!Q5</f>
        <v>0</v>
      </c>
      <c r="R28" s="4">
        <f>'תקציב מינהל תפעול 2022'!R5</f>
        <v>0</v>
      </c>
      <c r="S28" s="4">
        <f>'תקציב מינהל תפעול 2022'!S5</f>
        <v>0</v>
      </c>
      <c r="T28" s="4">
        <f>'תקציב מינהל תפעול 2022'!T5</f>
        <v>0</v>
      </c>
      <c r="U28" s="4">
        <f>'תקציב מינהל תפעול 2022'!U5</f>
        <v>150000</v>
      </c>
      <c r="V28" s="4">
        <f>'תקציב מינהל תפעול 2022'!V5</f>
        <v>150000</v>
      </c>
      <c r="W28" s="4">
        <f>'תקציב מינהל תפעול 2022'!W5</f>
        <v>0</v>
      </c>
      <c r="X28" s="4">
        <f>'תקציב מינהל תפעול 2022'!X5</f>
        <v>0</v>
      </c>
      <c r="Y28" s="4">
        <f>'תקציב מינהל תפעול 2022'!Y5</f>
        <v>0</v>
      </c>
      <c r="Z28" s="4">
        <f>'תקציב מינהל תפעול 2022'!Z5</f>
        <v>0</v>
      </c>
      <c r="AA28" s="4">
        <f>'תקציב מינהל תפעול 2022'!AA5</f>
        <v>0</v>
      </c>
      <c r="AB28" s="255" t="str">
        <f>'תקציב מינהל תפעול 2022'!AB5</f>
        <v>שדרוג תשתיות בגינות קהילתיות וחורשות קיימות. הקמת גינה בגליל ים ונוספת בנווה ישראל.</v>
      </c>
      <c r="AC28" s="3">
        <f>'תקציב מינהל תפעול 2022'!AC5</f>
        <v>746000</v>
      </c>
      <c r="AD28" s="473"/>
      <c r="AE28" s="474" t="s">
        <v>1149</v>
      </c>
      <c r="AF28" s="475"/>
      <c r="AG28" s="475"/>
      <c r="AH28" s="476"/>
      <c r="AI28" s="474" t="s">
        <v>1149</v>
      </c>
      <c r="AJ28" s="474" t="s">
        <v>1149</v>
      </c>
      <c r="AK28" s="272" t="s">
        <v>1149</v>
      </c>
      <c r="AL28" s="477" t="s">
        <v>1150</v>
      </c>
      <c r="AM28" s="478">
        <v>2</v>
      </c>
      <c r="AN28" s="272"/>
      <c r="AO28" s="272" t="s">
        <v>1149</v>
      </c>
      <c r="AP28" s="4"/>
      <c r="AQ28" s="4"/>
      <c r="AR28" s="638"/>
      <c r="AS28" s="669"/>
      <c r="AT28" s="4"/>
    </row>
    <row r="29" spans="1:46" s="494" customFormat="1" ht="105">
      <c r="A29" s="3">
        <f t="shared" si="3"/>
        <v>21</v>
      </c>
      <c r="B29" s="3">
        <f>'תקציב מינהל תפעול 2022'!B9</f>
        <v>1254</v>
      </c>
      <c r="C29" s="255" t="str">
        <f>'תקציב מינהל תפעול 2022'!C9</f>
        <v xml:space="preserve">שיקום שדרוג,הקמה ונגישות גינות ציבוריות </v>
      </c>
      <c r="D29" s="4">
        <f>'תקציב מינהל תפעול 2022'!D9</f>
        <v>49000000</v>
      </c>
      <c r="E29" s="4">
        <f>'תקציב מינהל תפעול 2022'!E9</f>
        <v>49000000</v>
      </c>
      <c r="F29" s="4">
        <f>'תקציב מינהל תפעול 2022'!F9</f>
        <v>0</v>
      </c>
      <c r="G29" s="4">
        <f>'תקציב מינהל תפעול 2022'!G9</f>
        <v>43072866</v>
      </c>
      <c r="H29" s="4">
        <f>'תקציב מינהל תפעול 2022'!H9</f>
        <v>40003100</v>
      </c>
      <c r="I29" s="4">
        <f>'תקציב מינהל תפעול 2022'!I9</f>
        <v>0</v>
      </c>
      <c r="J29" s="4">
        <f>'תקציב מינהל תפעול 2022'!J9</f>
        <v>3065769</v>
      </c>
      <c r="K29" s="4">
        <f>'תקציב מינהל תפעול 2022'!K9</f>
        <v>3065769</v>
      </c>
      <c r="L29" s="4">
        <f>'תקציב מינהל תפעול 2022'!L9</f>
        <v>43068869</v>
      </c>
      <c r="M29" s="4">
        <f>'תקציב מינהל תפעול 2022'!M9</f>
        <v>3997</v>
      </c>
      <c r="N29" s="4">
        <f>'תקציב מינהל תפעול 2022'!N9</f>
        <v>4000000</v>
      </c>
      <c r="O29" s="4">
        <f>'תקציב מינהל תפעול 2022'!O9</f>
        <v>1927134</v>
      </c>
      <c r="P29" s="4">
        <f>'תקציב מינהל תפעול 2022'!P9</f>
        <v>3997</v>
      </c>
      <c r="Q29" s="4">
        <f>'תקציב מינהל תפעול 2022'!Q9</f>
        <v>0</v>
      </c>
      <c r="R29" s="4">
        <f>'תקציב מינהל תפעול 2022'!R9</f>
        <v>0</v>
      </c>
      <c r="S29" s="4">
        <f>'תקציב מינהל תפעול 2022'!S9</f>
        <v>0</v>
      </c>
      <c r="T29" s="4">
        <f>'תקציב מינהל תפעול 2022'!T9</f>
        <v>0</v>
      </c>
      <c r="U29" s="4">
        <f>'תקציב מינהל תפעול 2022'!U9</f>
        <v>4000000</v>
      </c>
      <c r="V29" s="4">
        <f>'תקציב מינהל תפעול 2022'!V9</f>
        <v>0</v>
      </c>
      <c r="W29" s="4">
        <f>'תקציב מינהל תפעול 2022'!W9</f>
        <v>4000000</v>
      </c>
      <c r="X29" s="4">
        <f>'תקציב מינהל תפעול 2022'!X9</f>
        <v>0</v>
      </c>
      <c r="Y29" s="4">
        <f>'תקציב מינהל תפעול 2022'!Y9</f>
        <v>0</v>
      </c>
      <c r="Z29" s="4">
        <f>'תקציב מינהל תפעול 2022'!Z9</f>
        <v>0</v>
      </c>
      <c r="AA29" s="4">
        <f>'תקציב מינהל תפעול 2022'!AA9</f>
        <v>0</v>
      </c>
      <c r="AB29" s="255" t="str">
        <f>'תקציב מינהל תפעול 2022'!AB9</f>
        <v xml:space="preserve">הקמה ושדרוג גינות ציבוריות כולל: פיתוח, תשתיות ושבילי גישה, הנגשה, תאורה, מערכות השקייה, מתקני משחק, ריהוט גן, מתקני כושר, משטחי גומי וכל העבודות. עפ"י תוכנית עבודה שתאושר ע"י הנהלת העיר. </v>
      </c>
      <c r="AC29" s="3">
        <f>'תקציב מינהל תפעול 2022'!AC9</f>
        <v>746000</v>
      </c>
      <c r="AD29" s="480"/>
      <c r="AE29" s="482" t="s">
        <v>1162</v>
      </c>
      <c r="AF29" s="475"/>
      <c r="AG29" s="475" t="s">
        <v>1163</v>
      </c>
      <c r="AH29" s="476"/>
      <c r="AI29" s="482" t="s">
        <v>1164</v>
      </c>
      <c r="AJ29" s="482" t="s">
        <v>1164</v>
      </c>
      <c r="AK29" s="364" t="s">
        <v>1164</v>
      </c>
      <c r="AL29" s="477" t="s">
        <v>1153</v>
      </c>
      <c r="AM29" s="478">
        <v>1</v>
      </c>
      <c r="AN29" s="364"/>
      <c r="AO29" s="364" t="s">
        <v>1164</v>
      </c>
      <c r="AP29" s="574">
        <v>-2500000</v>
      </c>
      <c r="AQ29" s="4"/>
      <c r="AR29" s="669">
        <v>5000000</v>
      </c>
      <c r="AS29" s="669">
        <f>AR29-N29</f>
        <v>1000000</v>
      </c>
      <c r="AT29" s="4">
        <v>-500000</v>
      </c>
    </row>
    <row r="30" spans="1:46" ht="75">
      <c r="A30" s="3">
        <f t="shared" si="3"/>
        <v>22</v>
      </c>
      <c r="B30" s="3">
        <f>'תקציב מינהל תפעול 2022'!B10</f>
        <v>1342</v>
      </c>
      <c r="C30" s="255" t="str">
        <f>'תקציב מינהל תפעול 2022'!C10</f>
        <v>הקמת גינות לכלבים</v>
      </c>
      <c r="D30" s="4">
        <f>'תקציב מינהל תפעול 2022'!D10</f>
        <v>4700000</v>
      </c>
      <c r="E30" s="4">
        <f>'תקציב מינהל תפעול 2022'!E10</f>
        <v>4700000</v>
      </c>
      <c r="F30" s="4">
        <f>'תקציב מינהל תפעול 2022'!F10</f>
        <v>0</v>
      </c>
      <c r="G30" s="4">
        <f>'תקציב מינהל תפעול 2022'!G10</f>
        <v>2890000</v>
      </c>
      <c r="H30" s="4">
        <f>'תקציב מינהל תפעול 2022'!H10</f>
        <v>2878272</v>
      </c>
      <c r="I30" s="4">
        <f>'תקציב מינהל תפעול 2022'!I10</f>
        <v>0</v>
      </c>
      <c r="J30" s="4">
        <f>'תקציב מינהל תפעול 2022'!J10</f>
        <v>0</v>
      </c>
      <c r="K30" s="4">
        <f>'תקציב מינהל תפעול 2022'!K10</f>
        <v>0</v>
      </c>
      <c r="L30" s="4">
        <f>'תקציב מינהל תפעול 2022'!L10</f>
        <v>2878272</v>
      </c>
      <c r="M30" s="4">
        <f>'תקציב מינהל תפעול 2022'!M10</f>
        <v>11728</v>
      </c>
      <c r="N30" s="4">
        <f>'תקציב מינהל תפעול 2022'!N10</f>
        <v>1050000</v>
      </c>
      <c r="O30" s="4">
        <f>'תקציב מינהל תפעול 2022'!O10</f>
        <v>760000</v>
      </c>
      <c r="P30" s="4">
        <f>'תקציב מינהל תפעול 2022'!P10</f>
        <v>11728</v>
      </c>
      <c r="Q30" s="4">
        <f>'תקציב מינהל תפעול 2022'!Q10</f>
        <v>0</v>
      </c>
      <c r="R30" s="4">
        <f>'תקציב מינהל תפעול 2022'!R10</f>
        <v>0</v>
      </c>
      <c r="S30" s="4">
        <f>'תקציב מינהל תפעול 2022'!S10</f>
        <v>0</v>
      </c>
      <c r="T30" s="4">
        <f>'תקציב מינהל תפעול 2022'!T10</f>
        <v>0</v>
      </c>
      <c r="U30" s="4">
        <f>'תקציב מינהל תפעול 2022'!U10</f>
        <v>1050000</v>
      </c>
      <c r="V30" s="4">
        <f>'תקציב מינהל תפעול 2022'!V10</f>
        <v>850000</v>
      </c>
      <c r="W30" s="4">
        <f>'תקציב מינהל תפעול 2022'!W10</f>
        <v>200000</v>
      </c>
      <c r="X30" s="4">
        <f>'תקציב מינהל תפעול 2022'!X10</f>
        <v>0</v>
      </c>
      <c r="Y30" s="4">
        <f>'תקציב מינהל תפעול 2022'!Y10</f>
        <v>0</v>
      </c>
      <c r="Z30" s="4">
        <f>'תקציב מינהל תפעול 2022'!Z10</f>
        <v>0</v>
      </c>
      <c r="AA30" s="4">
        <f>'תקציב מינהל תפעול 2022'!AA10</f>
        <v>0</v>
      </c>
      <c r="AB30" s="255" t="str">
        <f>'תקציב מינהל תפעול 2022'!AB10</f>
        <v>תב"ר מסגרת.  גיבוש תוכנית לאיתור שטחים להקמת גינות כלבים נוספות לאור בקשות תושבי העיר והקמתן.</v>
      </c>
      <c r="AC30" s="3">
        <f>'תקציב מינהל תפעול 2022'!AC10</f>
        <v>746000</v>
      </c>
      <c r="AD30" s="480"/>
      <c r="AE30" s="482" t="s">
        <v>1165</v>
      </c>
      <c r="AF30" s="475"/>
      <c r="AG30" s="475" t="s">
        <v>1166</v>
      </c>
      <c r="AH30" s="476"/>
      <c r="AI30" s="475" t="s">
        <v>1167</v>
      </c>
      <c r="AJ30" s="475" t="s">
        <v>1167</v>
      </c>
      <c r="AK30" s="364" t="s">
        <v>1167</v>
      </c>
      <c r="AL30" s="477" t="s">
        <v>1153</v>
      </c>
      <c r="AM30" s="478">
        <v>2</v>
      </c>
      <c r="AN30" s="364"/>
      <c r="AO30" s="364" t="s">
        <v>1167</v>
      </c>
      <c r="AP30" s="4">
        <v>-350000</v>
      </c>
      <c r="AQ30" s="4"/>
      <c r="AR30" s="669"/>
      <c r="AS30" s="669"/>
      <c r="AT30" s="4"/>
    </row>
    <row r="31" spans="1:46" ht="75">
      <c r="A31" s="3">
        <f t="shared" si="3"/>
        <v>23</v>
      </c>
      <c r="B31" s="3">
        <f>'תקציב מינהל תפעול 2022'!B11</f>
        <v>1343</v>
      </c>
      <c r="C31" s="255" t="str">
        <f>'תקציב מינהל תפעול 2022'!C11</f>
        <v>סככות הצללה לגני משחקים</v>
      </c>
      <c r="D31" s="4">
        <f>'תקציב מינהל תפעול 2022'!D11</f>
        <v>7170000</v>
      </c>
      <c r="E31" s="4">
        <f>'תקציב מינהל תפעול 2022'!E11</f>
        <v>7020000</v>
      </c>
      <c r="F31" s="4">
        <f>'תקציב מינהל תפעול 2022'!F11</f>
        <v>150000</v>
      </c>
      <c r="G31" s="4">
        <f>'תקציב מינהל תפעול 2022'!G11</f>
        <v>7020000</v>
      </c>
      <c r="H31" s="4">
        <f>'תקציב מינהל תפעול 2022'!H11</f>
        <v>6344296</v>
      </c>
      <c r="I31" s="4">
        <f>'תקציב מינהל תפעול 2022'!I11</f>
        <v>0</v>
      </c>
      <c r="J31" s="4">
        <f>'תקציב מינהל תפעול 2022'!J11</f>
        <v>502097</v>
      </c>
      <c r="K31" s="4">
        <f>'תקציב מינהל תפעול 2022'!K11</f>
        <v>502097</v>
      </c>
      <c r="L31" s="4">
        <f>'תקציב מינהל תפעול 2022'!L11</f>
        <v>6846393</v>
      </c>
      <c r="M31" s="4">
        <f>'תקציב מינהל תפעול 2022'!M11</f>
        <v>173607</v>
      </c>
      <c r="N31" s="4">
        <f>'תקציב מינהל תפעול 2022'!N11</f>
        <v>150000</v>
      </c>
      <c r="O31" s="4">
        <f>'תקציב מינהל תפעול 2022'!O11</f>
        <v>0</v>
      </c>
      <c r="P31" s="4">
        <f>'תקציב מינהל תפעול 2022'!P11</f>
        <v>173607</v>
      </c>
      <c r="Q31" s="4">
        <f>'תקציב מינהל תפעול 2022'!Q11</f>
        <v>0</v>
      </c>
      <c r="R31" s="4">
        <f>'תקציב מינהל תפעול 2022'!R11</f>
        <v>0</v>
      </c>
      <c r="S31" s="4">
        <f>'תקציב מינהל תפעול 2022'!S11</f>
        <v>0</v>
      </c>
      <c r="T31" s="4">
        <f>'תקציב מינהל תפעול 2022'!T11</f>
        <v>0</v>
      </c>
      <c r="U31" s="4">
        <f>'תקציב מינהל תפעול 2022'!U11</f>
        <v>150000</v>
      </c>
      <c r="V31" s="4">
        <f>'תקציב מינהל תפעול 2022'!V11</f>
        <v>0</v>
      </c>
      <c r="W31" s="4">
        <f>'תקציב מינהל תפעול 2022'!W11</f>
        <v>150000</v>
      </c>
      <c r="X31" s="4">
        <f>'תקציב מינהל תפעול 2022'!X11</f>
        <v>0</v>
      </c>
      <c r="Y31" s="4">
        <f>'תקציב מינהל תפעול 2022'!Y11</f>
        <v>0</v>
      </c>
      <c r="Z31" s="4">
        <f>'תקציב מינהל תפעול 2022'!Z11</f>
        <v>0</v>
      </c>
      <c r="AA31" s="4">
        <f>'תקציב מינהל תפעול 2022'!AA11</f>
        <v>0</v>
      </c>
      <c r="AB31" s="255" t="str">
        <f>'תקציב מינהל תפעול 2022'!AB11</f>
        <v xml:space="preserve">הצללת אזורים של מתקני משחקים לנוחות הציבור. נחקק חוק חדש שאושר בוועדת הפנים המחייב את הרשויות להקים הצללות בגני משחקים. </v>
      </c>
      <c r="AC31" s="3">
        <f>'תקציב מינהל תפעול 2022'!AC11</f>
        <v>746000</v>
      </c>
      <c r="AD31" s="480"/>
      <c r="AE31" s="482" t="s">
        <v>1168</v>
      </c>
      <c r="AF31" s="475"/>
      <c r="AG31" s="475" t="s">
        <v>1169</v>
      </c>
      <c r="AH31" s="476"/>
      <c r="AI31" s="482" t="s">
        <v>1170</v>
      </c>
      <c r="AJ31" s="482" t="s">
        <v>1170</v>
      </c>
      <c r="AK31" s="364" t="s">
        <v>1171</v>
      </c>
      <c r="AL31" s="477" t="s">
        <v>1153</v>
      </c>
      <c r="AM31" s="478">
        <v>2</v>
      </c>
      <c r="AN31" s="364"/>
      <c r="AO31" s="364" t="s">
        <v>1171</v>
      </c>
      <c r="AP31" s="4"/>
      <c r="AQ31" s="4"/>
      <c r="AR31" s="669">
        <v>150000</v>
      </c>
      <c r="AS31" s="669">
        <f>AR31-N31</f>
        <v>0</v>
      </c>
      <c r="AT31" s="4"/>
    </row>
    <row r="32" spans="1:46" ht="105">
      <c r="A32" s="3">
        <f t="shared" si="3"/>
        <v>24</v>
      </c>
      <c r="B32" s="3">
        <f>'תקציב מינהל תפעול 2022'!B18</f>
        <v>1504</v>
      </c>
      <c r="C32" s="255" t="str">
        <f>'תקציב מינהל תפעול 2022'!C18</f>
        <v>נטיעת עצים ברחבי העיר</v>
      </c>
      <c r="D32" s="4">
        <f>'תקציב מינהל תפעול 2022'!D18</f>
        <v>2500000</v>
      </c>
      <c r="E32" s="4">
        <f>'תקציב מינהל תפעול 2022'!E18</f>
        <v>2500000</v>
      </c>
      <c r="F32" s="4">
        <f>'תקציב מינהל תפעול 2022'!F18</f>
        <v>0</v>
      </c>
      <c r="G32" s="4">
        <f>'תקציב מינהל תפעול 2022'!G18</f>
        <v>1500000</v>
      </c>
      <c r="H32" s="4">
        <f>'תקציב מינהל תפעול 2022'!H18</f>
        <v>1461344</v>
      </c>
      <c r="I32" s="4">
        <f>'תקציב מינהל תפעול 2022'!I18</f>
        <v>0</v>
      </c>
      <c r="J32" s="4">
        <f>'תקציב מינהל תפעול 2022'!J18</f>
        <v>0</v>
      </c>
      <c r="K32" s="4">
        <f>'תקציב מינהל תפעול 2022'!K18</f>
        <v>0</v>
      </c>
      <c r="L32" s="4">
        <f>'תקציב מינהל תפעול 2022'!L18</f>
        <v>1461344</v>
      </c>
      <c r="M32" s="4">
        <f>'תקציב מינהל תפעול 2022'!M18</f>
        <v>38656</v>
      </c>
      <c r="N32" s="4">
        <f>'תקציב מינהל תפעול 2022'!N18</f>
        <v>500000</v>
      </c>
      <c r="O32" s="4">
        <f>'תקציב מינהל תפעול 2022'!O18</f>
        <v>500000</v>
      </c>
      <c r="P32" s="4">
        <f>'תקציב מינהל תפעול 2022'!P18</f>
        <v>38656</v>
      </c>
      <c r="Q32" s="4">
        <f>'תקציב מינהל תפעול 2022'!Q18</f>
        <v>0</v>
      </c>
      <c r="R32" s="4">
        <f>'תקציב מינהל תפעול 2022'!R18</f>
        <v>0</v>
      </c>
      <c r="S32" s="4">
        <f>'תקציב מינהל תפעול 2022'!S18</f>
        <v>0</v>
      </c>
      <c r="T32" s="4">
        <f>'תקציב מינהל תפעול 2022'!T18</f>
        <v>0</v>
      </c>
      <c r="U32" s="4">
        <f>'תקציב מינהל תפעול 2022'!U18</f>
        <v>500000</v>
      </c>
      <c r="V32" s="4">
        <f>'תקציב מינהל תפעול 2022'!V18</f>
        <v>500000</v>
      </c>
      <c r="W32" s="4">
        <f>'תקציב מינהל תפעול 2022'!W18</f>
        <v>0</v>
      </c>
      <c r="X32" s="4">
        <f>'תקציב מינהל תפעול 2022'!X18</f>
        <v>0</v>
      </c>
      <c r="Y32" s="4">
        <f>'תקציב מינהל תפעול 2022'!Y18</f>
        <v>0</v>
      </c>
      <c r="Z32" s="4">
        <f>'תקציב מינהל תפעול 2022'!Z18</f>
        <v>0</v>
      </c>
      <c r="AA32" s="4">
        <f>'תקציב מינהל תפעול 2022'!AA18</f>
        <v>0</v>
      </c>
      <c r="AB32" s="255" t="str">
        <f>'תקציב מינהל תפעול 2022'!AB18</f>
        <v>נטיעת עצים ברחבי העיר לרבות פתיחת ריצוף קיים במדרכה,  והתקנת מגן סביב העץ במקרה הצורך. בהמשך להצעת החוק בנושא הצללת המרחב הציבורי, יאותרו שטחים נוספים לנטיעת עצים ברחבי העיר.</v>
      </c>
      <c r="AC32" s="3">
        <f>'תקציב מינהל תפעול 2022'!AC18</f>
        <v>746000</v>
      </c>
      <c r="AD32" s="480"/>
      <c r="AE32" s="482" t="s">
        <v>1198</v>
      </c>
      <c r="AF32" s="475" t="s">
        <v>1199</v>
      </c>
      <c r="AG32" s="475"/>
      <c r="AH32" s="476"/>
      <c r="AI32" s="482" t="s">
        <v>1200</v>
      </c>
      <c r="AJ32" s="482" t="s">
        <v>1201</v>
      </c>
      <c r="AK32" s="364" t="s">
        <v>1201</v>
      </c>
      <c r="AL32" s="477" t="s">
        <v>1153</v>
      </c>
      <c r="AM32" s="478">
        <v>2</v>
      </c>
      <c r="AN32" s="364"/>
      <c r="AO32" s="364" t="s">
        <v>1201</v>
      </c>
      <c r="AP32" s="4">
        <v>-200000</v>
      </c>
      <c r="AQ32" s="4">
        <v>-200000</v>
      </c>
      <c r="AR32" s="669"/>
      <c r="AS32" s="669"/>
      <c r="AT32" s="4">
        <v>-200000</v>
      </c>
    </row>
    <row r="33" spans="1:46" ht="60">
      <c r="A33" s="3">
        <f t="shared" si="3"/>
        <v>25</v>
      </c>
      <c r="B33" s="3">
        <f>'תקציב מינהל תפעול 2022'!B19</f>
        <v>1560</v>
      </c>
      <c r="C33" s="255" t="str">
        <f>'תקציב מינהל תפעול 2022'!C19</f>
        <v>עבודות שונות בפארק הרצליה</v>
      </c>
      <c r="D33" s="4">
        <f>'תקציב מינהל תפעול 2022'!D19</f>
        <v>7510000</v>
      </c>
      <c r="E33" s="4">
        <f>'תקציב מינהל תפעול 2022'!E19</f>
        <v>6410000</v>
      </c>
      <c r="F33" s="4">
        <f>'תקציב מינהל תפעול 2022'!F19</f>
        <v>1100000</v>
      </c>
      <c r="G33" s="4">
        <f>'תקציב מינהל תפעול 2022'!G19</f>
        <v>6010000</v>
      </c>
      <c r="H33" s="4">
        <f>'תקציב מינהל תפעול 2022'!H19</f>
        <v>5855068</v>
      </c>
      <c r="I33" s="4">
        <f>'תקציב מינהל תפעול 2022'!I19</f>
        <v>0</v>
      </c>
      <c r="J33" s="4">
        <f>'תקציב מינהל תפעול 2022'!J19</f>
        <v>45783</v>
      </c>
      <c r="K33" s="4">
        <f>'תקציב מינהל תפעול 2022'!K19</f>
        <v>45783</v>
      </c>
      <c r="L33" s="4">
        <f>'תקציב מינהל תפעול 2022'!L19</f>
        <v>5900851</v>
      </c>
      <c r="M33" s="4">
        <f>'תקציב מינהל תפעול 2022'!M19</f>
        <v>109149</v>
      </c>
      <c r="N33" s="4">
        <f>'תקציב מינהל תפעול 2022'!N19</f>
        <v>1300000</v>
      </c>
      <c r="O33" s="4">
        <f>'תקציב מינהל תפעול 2022'!O19</f>
        <v>200000</v>
      </c>
      <c r="P33" s="4">
        <f>'תקציב מינהל תפעול 2022'!P19</f>
        <v>109149</v>
      </c>
      <c r="Q33" s="4">
        <f>'תקציב מינהל תפעול 2022'!Q19</f>
        <v>0</v>
      </c>
      <c r="R33" s="4">
        <f>'תקציב מינהל תפעול 2022'!R19</f>
        <v>0</v>
      </c>
      <c r="S33" s="4">
        <f>'תקציב מינהל תפעול 2022'!S19</f>
        <v>0</v>
      </c>
      <c r="T33" s="4">
        <f>'תקציב מינהל תפעול 2022'!T19</f>
        <v>0</v>
      </c>
      <c r="U33" s="4">
        <f>'תקציב מינהל תפעול 2022'!U19</f>
        <v>1300000</v>
      </c>
      <c r="V33" s="4">
        <f>'תקציב מינהל תפעול 2022'!V19</f>
        <v>0</v>
      </c>
      <c r="W33" s="4">
        <f>'תקציב מינהל תפעול 2022'!W19</f>
        <v>1300000</v>
      </c>
      <c r="X33" s="4">
        <f>'תקציב מינהל תפעול 2022'!X19</f>
        <v>0</v>
      </c>
      <c r="Y33" s="4">
        <f>'תקציב מינהל תפעול 2022'!Y19</f>
        <v>0</v>
      </c>
      <c r="Z33" s="4">
        <f>'תקציב מינהל תפעול 2022'!Z19</f>
        <v>0</v>
      </c>
      <c r="AA33" s="4">
        <f>'תקציב מינהל תפעול 2022'!AA19</f>
        <v>0</v>
      </c>
      <c r="AB33" s="255" t="str">
        <f>'תקציב מינהל תפעול 2022'!AB19</f>
        <v>עבודות שונות בפארק כולל חידוש דק, שיפוץ שרותים מרכזיים , חידוש מסלול גומי, קרצוף וריבוד מסלולים.</v>
      </c>
      <c r="AC33" s="3">
        <f>'תקציב מינהל תפעול 2022'!AC19</f>
        <v>746000</v>
      </c>
      <c r="AD33" s="480"/>
      <c r="AE33" s="475" t="s">
        <v>1192</v>
      </c>
      <c r="AF33" s="475"/>
      <c r="AG33" s="475" t="s">
        <v>1193</v>
      </c>
      <c r="AH33" s="476"/>
      <c r="AI33" s="482" t="s">
        <v>1202</v>
      </c>
      <c r="AJ33" s="482" t="s">
        <v>1203</v>
      </c>
      <c r="AK33" s="364" t="s">
        <v>1203</v>
      </c>
      <c r="AL33" s="477" t="s">
        <v>1160</v>
      </c>
      <c r="AM33" s="478">
        <v>1</v>
      </c>
      <c r="AN33" s="364"/>
      <c r="AO33" s="364" t="s">
        <v>1203</v>
      </c>
      <c r="AP33" s="574">
        <v>-1000000</v>
      </c>
      <c r="AQ33" s="4"/>
      <c r="AR33" s="669">
        <v>1500000</v>
      </c>
      <c r="AS33" s="669">
        <f>AR33-N33</f>
        <v>200000</v>
      </c>
      <c r="AT33" s="4">
        <v>-500000</v>
      </c>
    </row>
    <row r="34" spans="1:46" ht="75">
      <c r="A34" s="3">
        <f t="shared" si="3"/>
        <v>26</v>
      </c>
      <c r="B34" s="3">
        <f>'תקציב מינהל תפעול 2022'!B22</f>
        <v>1680</v>
      </c>
      <c r="C34" s="255" t="str">
        <f>'תקציב מינהל תפעול 2022'!C22</f>
        <v>סקר עצים מסוכנים ברחבי העיר</v>
      </c>
      <c r="D34" s="4">
        <f>'תקציב מינהל תפעול 2022'!D22</f>
        <v>1300000</v>
      </c>
      <c r="E34" s="4">
        <f>'תקציב מינהל תפעול 2022'!E22</f>
        <v>2800000</v>
      </c>
      <c r="F34" s="4">
        <f>'תקציב מינהל תפעול 2022'!F22</f>
        <v>-1500000</v>
      </c>
      <c r="G34" s="4">
        <f>'תקציב מינהל תפעול 2022'!G22</f>
        <v>800000</v>
      </c>
      <c r="H34" s="4">
        <f>'תקציב מינהל תפעול 2022'!H22</f>
        <v>603520</v>
      </c>
      <c r="I34" s="4">
        <f>'תקציב מינהל תפעול 2022'!I22</f>
        <v>0</v>
      </c>
      <c r="J34" s="4">
        <f>'תקציב מינהל תפעול 2022'!J22</f>
        <v>121579</v>
      </c>
      <c r="K34" s="4">
        <f>'תקציב מינהל תפעול 2022'!K22</f>
        <v>121579</v>
      </c>
      <c r="L34" s="4">
        <f>'תקציב מינהל תפעול 2022'!L22</f>
        <v>725099</v>
      </c>
      <c r="M34" s="4">
        <f>'תקציב מינהל תפעול 2022'!M22</f>
        <v>74901</v>
      </c>
      <c r="N34" s="4">
        <f>'תקציב מינהל תפעול 2022'!N22</f>
        <v>500000</v>
      </c>
      <c r="O34" s="4">
        <f>'תקציב מינהל תפעול 2022'!O22</f>
        <v>0</v>
      </c>
      <c r="P34" s="4">
        <f>'תקציב מינהל תפעול 2022'!P22</f>
        <v>74901</v>
      </c>
      <c r="Q34" s="4">
        <f>'תקציב מינהל תפעול 2022'!Q22</f>
        <v>0</v>
      </c>
      <c r="R34" s="4">
        <f>'תקציב מינהל תפעול 2022'!R22</f>
        <v>0</v>
      </c>
      <c r="S34" s="4">
        <f>'תקציב מינהל תפעול 2022'!S22</f>
        <v>0</v>
      </c>
      <c r="T34" s="4">
        <f>'תקציב מינהל תפעול 2022'!T22</f>
        <v>0</v>
      </c>
      <c r="U34" s="4">
        <f>'תקציב מינהל תפעול 2022'!U22</f>
        <v>500000</v>
      </c>
      <c r="V34" s="4">
        <f>'תקציב מינהל תפעול 2022'!V22</f>
        <v>0</v>
      </c>
      <c r="W34" s="4">
        <f>'תקציב מינהל תפעול 2022'!W22</f>
        <v>500000</v>
      </c>
      <c r="X34" s="4">
        <f>'תקציב מינהל תפעול 2022'!X22</f>
        <v>0</v>
      </c>
      <c r="Y34" s="4">
        <f>'תקציב מינהל תפעול 2022'!Y22</f>
        <v>0</v>
      </c>
      <c r="Z34" s="4">
        <f>'תקציב מינהל תפעול 2022'!Z22</f>
        <v>0</v>
      </c>
      <c r="AA34" s="4">
        <f>'תקציב מינהל תפעול 2022'!AA22</f>
        <v>0</v>
      </c>
      <c r="AB34" s="255" t="str">
        <f>'תקציב מינהל תפעול 2022'!AB22</f>
        <v xml:space="preserve">ביצוע סקר מקיף של כל העצים בעיר ע"י אגרונומים. זאת עפ"י דרישה מ. החקלאות עקב שינויי אקלים והזדקנות העצים במרחב הציבורי. </v>
      </c>
      <c r="AC34" s="3">
        <f>'תקציב מינהל תפעול 2022'!AC22</f>
        <v>746000</v>
      </c>
      <c r="AD34" s="480"/>
      <c r="AE34" s="484" t="s">
        <v>1217</v>
      </c>
      <c r="AF34" s="475" t="s">
        <v>1009</v>
      </c>
      <c r="AG34" s="475" t="s">
        <v>1218</v>
      </c>
      <c r="AH34" s="476"/>
      <c r="AI34" s="482" t="s">
        <v>1219</v>
      </c>
      <c r="AJ34" s="482" t="s">
        <v>1219</v>
      </c>
      <c r="AK34" s="364" t="s">
        <v>1220</v>
      </c>
      <c r="AL34" s="477" t="s">
        <v>1153</v>
      </c>
      <c r="AM34" s="478">
        <v>1</v>
      </c>
      <c r="AN34" s="364"/>
      <c r="AO34" s="364" t="s">
        <v>1220</v>
      </c>
      <c r="AP34" s="4">
        <v>-100000</v>
      </c>
      <c r="AQ34" s="4"/>
      <c r="AR34" s="669"/>
      <c r="AS34" s="669"/>
      <c r="AT34" s="4"/>
    </row>
    <row r="35" spans="1:46" ht="45">
      <c r="A35" s="3">
        <f t="shared" si="3"/>
        <v>27</v>
      </c>
      <c r="B35" s="3">
        <f>'תקציב מינהל תפעול 2022'!B45</f>
        <v>1989</v>
      </c>
      <c r="C35" s="255" t="str">
        <f>'תקציב מינהל תפעול 2022'!C45</f>
        <v>פיתוח נופי דרך ירושלים כביש 531</v>
      </c>
      <c r="D35" s="4">
        <f>'תקציב מינהל תפעול 2022'!D45</f>
        <v>1070000</v>
      </c>
      <c r="E35" s="4">
        <f>'תקציב מינהל תפעול 2022'!E45</f>
        <v>1070000</v>
      </c>
      <c r="F35" s="4">
        <f>'תקציב מינהל תפעול 2022'!F45</f>
        <v>0</v>
      </c>
      <c r="G35" s="4">
        <f>'תקציב מינהל תפעול 2022'!G45</f>
        <v>570000</v>
      </c>
      <c r="H35" s="4">
        <f>'תקציב מינהל תפעול 2022'!H45</f>
        <v>542461</v>
      </c>
      <c r="I35" s="4">
        <f>'תקציב מינהל תפעול 2022'!I45</f>
        <v>0</v>
      </c>
      <c r="J35" s="4">
        <f>'תקציב מינהל תפעול 2022'!J45</f>
        <v>26086</v>
      </c>
      <c r="K35" s="4">
        <f>'תקציב מינהל תפעול 2022'!K45</f>
        <v>26086</v>
      </c>
      <c r="L35" s="4">
        <f>'תקציב מינהל תפעול 2022'!L45</f>
        <v>568547</v>
      </c>
      <c r="M35" s="4">
        <f>'תקציב מינהל תפעול 2022'!M45</f>
        <v>1453</v>
      </c>
      <c r="N35" s="4">
        <f>'תקציב מינהל תפעול 2022'!N45</f>
        <v>0</v>
      </c>
      <c r="O35" s="4">
        <f>'תקציב מינהל תפעול 2022'!O45</f>
        <v>500000</v>
      </c>
      <c r="P35" s="4">
        <f>'תקציב מינהל תפעול 2022'!P45</f>
        <v>1453</v>
      </c>
      <c r="Q35" s="4">
        <f>'תקציב מינהל תפעול 2022'!Q45</f>
        <v>0</v>
      </c>
      <c r="R35" s="4">
        <f>'תקציב מינהל תפעול 2022'!R45</f>
        <v>0</v>
      </c>
      <c r="S35" s="4">
        <f>'תקציב מינהל תפעול 2022'!S45</f>
        <v>0</v>
      </c>
      <c r="T35" s="4">
        <f>'תקציב מינהל תפעול 2022'!T45</f>
        <v>0</v>
      </c>
      <c r="U35" s="4">
        <f>'תקציב מינהל תפעול 2022'!U45</f>
        <v>0</v>
      </c>
      <c r="V35" s="4">
        <f>'תקציב מינהל תפעול 2022'!V45</f>
        <v>0</v>
      </c>
      <c r="W35" s="4">
        <f>'תקציב מינהל תפעול 2022'!W45</f>
        <v>0</v>
      </c>
      <c r="X35" s="4">
        <f>'תקציב מינהל תפעול 2022'!X45</f>
        <v>0</v>
      </c>
      <c r="Y35" s="4">
        <f>'תקציב מינהל תפעול 2022'!Y45</f>
        <v>0</v>
      </c>
      <c r="Z35" s="4">
        <f>'תקציב מינהל תפעול 2022'!Z45</f>
        <v>0</v>
      </c>
      <c r="AA35" s="4">
        <f>'תקציב מינהל תפעול 2022'!AA45</f>
        <v>0</v>
      </c>
      <c r="AB35" s="255" t="str">
        <f>'תקציב מינהל תפעול 2022'!AB45</f>
        <v xml:space="preserve">עבודות פיתוח השטח בין שכונת יד התשעה לקיר האקוסטי של כביש 531, כולל פיתוח השצ"פ. </v>
      </c>
      <c r="AC35" s="3">
        <f>'תקציב מינהל תפעול 2022'!AC45</f>
        <v>746000</v>
      </c>
      <c r="AD35" s="480"/>
      <c r="AE35" s="484" t="s">
        <v>1287</v>
      </c>
      <c r="AF35" s="475"/>
      <c r="AG35" s="475"/>
      <c r="AH35" s="476"/>
      <c r="AI35" s="482" t="s">
        <v>1288</v>
      </c>
      <c r="AJ35" s="482" t="s">
        <v>1288</v>
      </c>
      <c r="AK35" s="364" t="s">
        <v>1288</v>
      </c>
      <c r="AL35" s="477" t="s">
        <v>1153</v>
      </c>
      <c r="AM35" s="478"/>
      <c r="AN35" s="364"/>
      <c r="AO35" s="364" t="s">
        <v>1288</v>
      </c>
      <c r="AP35" s="4"/>
      <c r="AQ35" s="4"/>
      <c r="AR35" s="669"/>
      <c r="AS35" s="669"/>
      <c r="AT35" s="4"/>
    </row>
    <row r="36" spans="1:46" ht="60">
      <c r="A36" s="3">
        <f t="shared" si="3"/>
        <v>28</v>
      </c>
      <c r="B36" s="3">
        <f>'תקציב מינהל תפעול 2022'!B61</f>
        <v>2088</v>
      </c>
      <c r="C36" s="255" t="str">
        <f>'תקציב מינהל תפעול 2022'!C61</f>
        <v xml:space="preserve">שדרוג גן דפנה אילת </v>
      </c>
      <c r="D36" s="4">
        <f>'תקציב מינהל תפעול 2022'!D61</f>
        <v>1600000</v>
      </c>
      <c r="E36" s="4">
        <f>'תקציב מינהל תפעול 2022'!E61</f>
        <v>1600000</v>
      </c>
      <c r="F36" s="4">
        <f>'תקציב מינהל תפעול 2022'!F61</f>
        <v>0</v>
      </c>
      <c r="G36" s="4">
        <f>'תקציב מינהל תפעול 2022'!G61</f>
        <v>1600000</v>
      </c>
      <c r="H36" s="4">
        <f>'תקציב מינהל תפעול 2022'!H61</f>
        <v>1328832</v>
      </c>
      <c r="I36" s="4">
        <f>'תקציב מינהל תפעול 2022'!I61</f>
        <v>0</v>
      </c>
      <c r="J36" s="4">
        <f>'תקציב מינהל תפעול 2022'!J61</f>
        <v>0</v>
      </c>
      <c r="K36" s="4">
        <f>'תקציב מינהל תפעול 2022'!K61</f>
        <v>0</v>
      </c>
      <c r="L36" s="4">
        <f>'תקציב מינהל תפעול 2022'!L61</f>
        <v>1328832</v>
      </c>
      <c r="M36" s="4">
        <f>'תקציב מינהל תפעול 2022'!M61</f>
        <v>271168</v>
      </c>
      <c r="N36" s="4">
        <f>'תקציב מינהל תפעול 2022'!N61</f>
        <v>0</v>
      </c>
      <c r="O36" s="4">
        <f>'תקציב מינהל תפעול 2022'!O61</f>
        <v>0</v>
      </c>
      <c r="P36" s="4">
        <f>'תקציב מינהל תפעול 2022'!P61</f>
        <v>271168</v>
      </c>
      <c r="Q36" s="4">
        <f>'תקציב מינהל תפעול 2022'!Q61</f>
        <v>0</v>
      </c>
      <c r="R36" s="4">
        <f>'תקציב מינהל תפעול 2022'!R61</f>
        <v>0</v>
      </c>
      <c r="S36" s="4">
        <f>'תקציב מינהל תפעול 2022'!S61</f>
        <v>0</v>
      </c>
      <c r="T36" s="4">
        <f>'תקציב מינהל תפעול 2022'!T61</f>
        <v>0</v>
      </c>
      <c r="U36" s="4">
        <f>'תקציב מינהל תפעול 2022'!U61</f>
        <v>0</v>
      </c>
      <c r="V36" s="4">
        <f>'תקציב מינהל תפעול 2022'!V61</f>
        <v>0</v>
      </c>
      <c r="W36" s="4">
        <f>'תקציב מינהל תפעול 2022'!W61</f>
        <v>0</v>
      </c>
      <c r="X36" s="4">
        <f>'תקציב מינהל תפעול 2022'!X61</f>
        <v>0</v>
      </c>
      <c r="Y36" s="4">
        <f>'תקציב מינהל תפעול 2022'!Y61</f>
        <v>0</v>
      </c>
      <c r="Z36" s="4">
        <f>'תקציב מינהל תפעול 2022'!Z61</f>
        <v>0</v>
      </c>
      <c r="AA36" s="4">
        <f>'תקציב מינהל תפעול 2022'!AA61</f>
        <v>0</v>
      </c>
      <c r="AB36" s="255" t="str">
        <f>'תקציב מינהל תפעול 2022'!AB61</f>
        <v>הסדרת הגן המרכזי בשכונת גן רש"ל כולל: מתקני משחק, משטח גומי, עבודות גינון, השקייה, פיתוח והנגשה.</v>
      </c>
      <c r="AC36" s="3">
        <f>'תקציב מינהל תפעול 2022'!AC61</f>
        <v>746000</v>
      </c>
      <c r="AD36" s="480"/>
      <c r="AE36" s="484" t="s">
        <v>1319</v>
      </c>
      <c r="AF36" s="475" t="str">
        <f>AE36</f>
        <v>לקבל לוז לתוצאות הליך שיתוף הציבור לגבי מתקן הנינג'ה ובהתאם לבחון המשך או סגירת תבר.</v>
      </c>
      <c r="AG36" s="500"/>
      <c r="AH36" s="476"/>
      <c r="AI36" s="482" t="s">
        <v>1320</v>
      </c>
      <c r="AJ36" s="482" t="s">
        <v>1320</v>
      </c>
      <c r="AK36" s="364" t="s">
        <v>1320</v>
      </c>
      <c r="AL36" s="477" t="s">
        <v>1153</v>
      </c>
      <c r="AM36" s="478"/>
      <c r="AN36" s="364"/>
      <c r="AO36" s="364" t="s">
        <v>1320</v>
      </c>
      <c r="AP36" s="4"/>
      <c r="AQ36" s="4"/>
      <c r="AR36" s="669"/>
      <c r="AS36" s="669"/>
      <c r="AT36" s="4"/>
    </row>
    <row r="37" spans="1:46" ht="45">
      <c r="A37" s="3">
        <f t="shared" si="3"/>
        <v>29</v>
      </c>
      <c r="B37" s="3">
        <f>'תקציב מינהל תפעול 2022'!B73</f>
        <v>2155</v>
      </c>
      <c r="C37" s="255" t="str">
        <f>'תקציב מינהל תפעול 2022'!C73</f>
        <v>גידור מרחב האירועים בפארק</v>
      </c>
      <c r="D37" s="4">
        <f>'תקציב מינהל תפעול 2022'!D73</f>
        <v>700000</v>
      </c>
      <c r="E37" s="4">
        <f>'תקציב מינהל תפעול 2022'!E73</f>
        <v>700000</v>
      </c>
      <c r="F37" s="4">
        <f>'תקציב מינהל תפעול 2022'!F73</f>
        <v>0</v>
      </c>
      <c r="G37" s="4">
        <f>'תקציב מינהל תפעול 2022'!G73</f>
        <v>0</v>
      </c>
      <c r="H37" s="4">
        <f>'תקציב מינהל תפעול 2022'!H73</f>
        <v>0</v>
      </c>
      <c r="I37" s="4">
        <f>'תקציב מינהל תפעול 2022'!I73</f>
        <v>0</v>
      </c>
      <c r="J37" s="4">
        <f>'תקציב מינהל תפעול 2022'!J73</f>
        <v>0</v>
      </c>
      <c r="K37" s="4">
        <f>'תקציב מינהל תפעול 2022'!K73</f>
        <v>0</v>
      </c>
      <c r="L37" s="4">
        <f>'תקציב מינהל תפעול 2022'!L73</f>
        <v>0</v>
      </c>
      <c r="M37" s="4">
        <f>'תקציב מינהל תפעול 2022'!M73</f>
        <v>0</v>
      </c>
      <c r="N37" s="4">
        <f>'תקציב מינהל תפעול 2022'!N73</f>
        <v>0</v>
      </c>
      <c r="O37" s="4">
        <f>'תקציב מינהל תפעול 2022'!O73</f>
        <v>700000</v>
      </c>
      <c r="P37" s="4">
        <f>'תקציב מינהל תפעול 2022'!P73</f>
        <v>0</v>
      </c>
      <c r="Q37" s="4">
        <f>'תקציב מינהל תפעול 2022'!Q73</f>
        <v>0</v>
      </c>
      <c r="R37" s="4">
        <f>'תקציב מינהל תפעול 2022'!R73</f>
        <v>0</v>
      </c>
      <c r="S37" s="4">
        <f>'תקציב מינהל תפעול 2022'!S73</f>
        <v>0</v>
      </c>
      <c r="T37" s="4">
        <f>'תקציב מינהל תפעול 2022'!T73</f>
        <v>0</v>
      </c>
      <c r="U37" s="4">
        <f>'תקציב מינהל תפעול 2022'!U73</f>
        <v>0</v>
      </c>
      <c r="V37" s="4">
        <f>'תקציב מינהל תפעול 2022'!V73</f>
        <v>0</v>
      </c>
      <c r="W37" s="4">
        <f>'תקציב מינהל תפעול 2022'!W73</f>
        <v>0</v>
      </c>
      <c r="X37" s="4">
        <f>'תקציב מינהל תפעול 2022'!X73</f>
        <v>0</v>
      </c>
      <c r="Y37" s="4">
        <f>'תקציב מינהל תפעול 2022'!Y73</f>
        <v>0</v>
      </c>
      <c r="Z37" s="4">
        <f>'תקציב מינהל תפעול 2022'!Z73</f>
        <v>0</v>
      </c>
      <c r="AA37" s="4">
        <f>'תקציב מינהל תפעול 2022'!AA73</f>
        <v>0</v>
      </c>
      <c r="AB37" s="255" t="str">
        <f>'תקציב מינהל תפעול 2022'!AB73</f>
        <v>עבודות גידור קבוע, תאורה תשתיות ושערים במרחב האירועים בפארק.</v>
      </c>
      <c r="AC37" s="3">
        <f>'תקציב מינהל תפעול 2022'!AC73</f>
        <v>746000</v>
      </c>
      <c r="AD37" s="480"/>
      <c r="AE37" s="482" t="s">
        <v>1343</v>
      </c>
      <c r="AF37" s="475"/>
      <c r="AG37" s="475" t="s">
        <v>1344</v>
      </c>
      <c r="AH37" s="476"/>
      <c r="AI37" s="482" t="s">
        <v>1345</v>
      </c>
      <c r="AJ37" s="490" t="s">
        <v>1345</v>
      </c>
      <c r="AK37" s="364"/>
      <c r="AL37" s="477" t="s">
        <v>1160</v>
      </c>
      <c r="AM37" s="478">
        <v>2</v>
      </c>
      <c r="AN37" s="364"/>
      <c r="AO37" s="364"/>
      <c r="AP37" s="4"/>
      <c r="AQ37" s="4"/>
      <c r="AR37" s="669"/>
      <c r="AS37" s="669"/>
      <c r="AT37" s="4"/>
    </row>
    <row r="38" spans="1:46" ht="51">
      <c r="A38" s="3">
        <f t="shared" si="3"/>
        <v>30</v>
      </c>
      <c r="B38" s="3">
        <f>'תקציב מינהל תפעול 2022'!B77</f>
        <v>2165</v>
      </c>
      <c r="C38" s="255" t="str">
        <f>'תקציב מינהל תפעול 2022'!C77</f>
        <v>שדרוג רחוב וינגייט</v>
      </c>
      <c r="D38" s="4">
        <f>'תקציב מינהל תפעול 2022'!D77</f>
        <v>1040000</v>
      </c>
      <c r="E38" s="4">
        <f>'תקציב מינהל תפעול 2022'!E77</f>
        <v>1040000</v>
      </c>
      <c r="F38" s="4">
        <f>'תקציב מינהל תפעול 2022'!F77</f>
        <v>0</v>
      </c>
      <c r="G38" s="4">
        <f>'תקציב מינהל תפעול 2022'!G77</f>
        <v>0</v>
      </c>
      <c r="H38" s="4">
        <f>'תקציב מינהל תפעול 2022'!H77</f>
        <v>0</v>
      </c>
      <c r="I38" s="4">
        <f>'תקציב מינהל תפעול 2022'!I77</f>
        <v>0</v>
      </c>
      <c r="J38" s="4">
        <f>'תקציב מינהל תפעול 2022'!J77</f>
        <v>0</v>
      </c>
      <c r="K38" s="4">
        <f>'תקציב מינהל תפעול 2022'!K77</f>
        <v>0</v>
      </c>
      <c r="L38" s="4">
        <f>'תקציב מינהל תפעול 2022'!L77</f>
        <v>0</v>
      </c>
      <c r="M38" s="4">
        <f>'תקציב מינהל תפעול 2022'!M77</f>
        <v>0</v>
      </c>
      <c r="N38" s="4">
        <f>'תקציב מינהל תפעול 2022'!N77</f>
        <v>0</v>
      </c>
      <c r="O38" s="4">
        <f>'תקציב מינהל תפעול 2022'!O77</f>
        <v>1040000</v>
      </c>
      <c r="P38" s="4">
        <f>'תקציב מינהל תפעול 2022'!P77</f>
        <v>0</v>
      </c>
      <c r="Q38" s="4">
        <f>'תקציב מינהל תפעול 2022'!Q77</f>
        <v>0</v>
      </c>
      <c r="R38" s="4">
        <f>'תקציב מינהל תפעול 2022'!R77</f>
        <v>0</v>
      </c>
      <c r="S38" s="4">
        <f>'תקציב מינהל תפעול 2022'!S77</f>
        <v>0</v>
      </c>
      <c r="T38" s="4">
        <f>'תקציב מינהל תפעול 2022'!T77</f>
        <v>0</v>
      </c>
      <c r="U38" s="4">
        <f>'תקציב מינהל תפעול 2022'!U77</f>
        <v>0</v>
      </c>
      <c r="V38" s="4">
        <f>'תקציב מינהל תפעול 2022'!V77</f>
        <v>0</v>
      </c>
      <c r="W38" s="4">
        <f>'תקציב מינהל תפעול 2022'!W77</f>
        <v>0</v>
      </c>
      <c r="X38" s="4">
        <f>'תקציב מינהל תפעול 2022'!X77</f>
        <v>0</v>
      </c>
      <c r="Y38" s="4">
        <f>'תקציב מינהל תפעול 2022'!Y77</f>
        <v>0</v>
      </c>
      <c r="Z38" s="4">
        <f>'תקציב מינהל תפעול 2022'!Z77</f>
        <v>0</v>
      </c>
      <c r="AA38" s="4">
        <f>'תקציב מינהל תפעול 2022'!AA77</f>
        <v>0</v>
      </c>
      <c r="AB38" s="255" t="str">
        <f>'תקציב מינהל תפעול 2022'!AB77</f>
        <v xml:space="preserve">עבודות שדרוג ושיקום לאורך כל רחוב וינגייט. </v>
      </c>
      <c r="AC38" s="3">
        <f>'תקציב מינהל תפעול 2022'!AC77</f>
        <v>746000</v>
      </c>
      <c r="AD38" s="480"/>
      <c r="AE38" s="484" t="s">
        <v>1360</v>
      </c>
      <c r="AF38" s="475" t="s">
        <v>1361</v>
      </c>
      <c r="AG38" s="475" t="s">
        <v>1362</v>
      </c>
      <c r="AH38" s="476"/>
      <c r="AI38" s="482" t="s">
        <v>1363</v>
      </c>
      <c r="AJ38" s="490" t="s">
        <v>1364</v>
      </c>
      <c r="AK38" s="364"/>
      <c r="AL38" s="477" t="s">
        <v>1185</v>
      </c>
      <c r="AM38" s="478">
        <v>1</v>
      </c>
      <c r="AN38" s="364"/>
      <c r="AO38" s="364"/>
      <c r="AP38" s="4"/>
      <c r="AQ38" s="4"/>
      <c r="AR38" s="669"/>
      <c r="AS38" s="669"/>
      <c r="AT38" s="4"/>
    </row>
    <row r="39" spans="1:46" ht="66.599999999999994" customHeight="1">
      <c r="A39" s="3">
        <f t="shared" si="3"/>
        <v>31</v>
      </c>
      <c r="B39" s="3">
        <f>'תקציב מינהל תפעול 2022'!B78</f>
        <v>2166</v>
      </c>
      <c r="C39" s="255" t="str">
        <f>'תקציב מינהל תפעול 2022'!C78</f>
        <v>שדרוג רחוב בן גוריון</v>
      </c>
      <c r="D39" s="4">
        <f>'תקציב מינהל תפעול 2022'!D78</f>
        <v>500000</v>
      </c>
      <c r="E39" s="4">
        <f>'תקציב מינהל תפעול 2022'!E78</f>
        <v>500000</v>
      </c>
      <c r="F39" s="4">
        <f>'תקציב מינהל תפעול 2022'!F78</f>
        <v>0</v>
      </c>
      <c r="G39" s="4">
        <f>'תקציב מינהל תפעול 2022'!G78</f>
        <v>0</v>
      </c>
      <c r="H39" s="4">
        <f>'תקציב מינהל תפעול 2022'!H78</f>
        <v>0</v>
      </c>
      <c r="I39" s="4">
        <f>'תקציב מינהל תפעול 2022'!I78</f>
        <v>0</v>
      </c>
      <c r="J39" s="4">
        <f>'תקציב מינהל תפעול 2022'!J78</f>
        <v>0</v>
      </c>
      <c r="K39" s="4">
        <f>'תקציב מינהל תפעול 2022'!K78</f>
        <v>0</v>
      </c>
      <c r="L39" s="4">
        <f>'תקציב מינהל תפעול 2022'!L78</f>
        <v>0</v>
      </c>
      <c r="M39" s="4">
        <f>'תקציב מינהל תפעול 2022'!M78</f>
        <v>0</v>
      </c>
      <c r="N39" s="4">
        <f>'תקציב מינהל תפעול 2022'!N78</f>
        <v>500000</v>
      </c>
      <c r="O39" s="4">
        <f>'תקציב מינהל תפעול 2022'!O78</f>
        <v>0</v>
      </c>
      <c r="P39" s="4">
        <f>'תקציב מינהל תפעול 2022'!P78</f>
        <v>0</v>
      </c>
      <c r="Q39" s="4">
        <f>'תקציב מינהל תפעול 2022'!Q78</f>
        <v>0</v>
      </c>
      <c r="R39" s="4">
        <f>'תקציב מינהל תפעול 2022'!R78</f>
        <v>0</v>
      </c>
      <c r="S39" s="4">
        <f>'תקציב מינהל תפעול 2022'!S78</f>
        <v>0</v>
      </c>
      <c r="T39" s="4">
        <f>'תקציב מינהל תפעול 2022'!T78</f>
        <v>0</v>
      </c>
      <c r="U39" s="4">
        <f>'תקציב מינהל תפעול 2022'!U78</f>
        <v>500000</v>
      </c>
      <c r="V39" s="4">
        <f>'תקציב מינהל תפעול 2022'!V78</f>
        <v>0</v>
      </c>
      <c r="W39" s="4">
        <f>'תקציב מינהל תפעול 2022'!W78</f>
        <v>500000</v>
      </c>
      <c r="X39" s="4">
        <f>'תקציב מינהל תפעול 2022'!X78</f>
        <v>0</v>
      </c>
      <c r="Y39" s="4">
        <f>'תקציב מינהל תפעול 2022'!Y78</f>
        <v>0</v>
      </c>
      <c r="Z39" s="4">
        <f>'תקציב מינהל תפעול 2022'!Z78</f>
        <v>0</v>
      </c>
      <c r="AA39" s="4">
        <f>'תקציב מינהל תפעול 2022'!AA78</f>
        <v>0</v>
      </c>
      <c r="AB39" s="255" t="str">
        <f>'תקציב מינהל תפעול 2022'!AB78</f>
        <v>עבודות שדרוג ושיקום שטחי הגינון  לצידי הרחוב במקטעים שטרם שודרגו.  (כניסה מרמת השרון).</v>
      </c>
      <c r="AC39" s="3">
        <f>'תקציב מינהל תפעול 2022'!AC78</f>
        <v>746000</v>
      </c>
      <c r="AD39" s="473"/>
      <c r="AE39" s="508" t="s">
        <v>1365</v>
      </c>
      <c r="AF39" s="500"/>
      <c r="AG39" s="500"/>
      <c r="AH39" s="509"/>
      <c r="AI39" s="474"/>
      <c r="AJ39" s="474"/>
      <c r="AK39" s="272"/>
      <c r="AL39" s="477" t="s">
        <v>1153</v>
      </c>
      <c r="AM39" s="478">
        <v>2</v>
      </c>
      <c r="AN39" s="272"/>
      <c r="AO39" s="272"/>
      <c r="AP39" s="4"/>
      <c r="AQ39" s="4"/>
      <c r="AR39" s="638"/>
      <c r="AS39" s="669"/>
      <c r="AT39" s="4"/>
    </row>
    <row r="40" spans="1:46" ht="105">
      <c r="A40" s="3">
        <f t="shared" si="3"/>
        <v>32</v>
      </c>
      <c r="B40" s="3">
        <f>'תקציב מינהל תפעול 2022'!B80</f>
        <v>2168</v>
      </c>
      <c r="C40" s="255" t="str">
        <f>'תקציב מינהל תפעול 2022'!C80</f>
        <v>קידום ושימור הטבע העירוני בעיר</v>
      </c>
      <c r="D40" s="4">
        <f>'תקציב מינהל תפעול 2022'!D80</f>
        <v>100000</v>
      </c>
      <c r="E40" s="4">
        <f>'תקציב מינהל תפעול 2022'!E80</f>
        <v>240000</v>
      </c>
      <c r="F40" s="4">
        <f>'תקציב מינהל תפעול 2022'!F80</f>
        <v>-140000</v>
      </c>
      <c r="G40" s="4">
        <f>'תקציב מינהל תפעול 2022'!G80</f>
        <v>100000</v>
      </c>
      <c r="H40" s="4">
        <f>'תקציב מינהל תפעול 2022'!H80</f>
        <v>0</v>
      </c>
      <c r="I40" s="4">
        <f>'תקציב מינהל תפעול 2022'!I80</f>
        <v>0</v>
      </c>
      <c r="J40" s="4">
        <f>'תקציב מינהל תפעול 2022'!J80</f>
        <v>0</v>
      </c>
      <c r="K40" s="4">
        <f>'תקציב מינהל תפעול 2022'!K80</f>
        <v>0</v>
      </c>
      <c r="L40" s="4">
        <f>'תקציב מינהל תפעול 2022'!L80</f>
        <v>0</v>
      </c>
      <c r="M40" s="4">
        <f>'תקציב מינהל תפעול 2022'!M80</f>
        <v>100000</v>
      </c>
      <c r="N40" s="4">
        <f>'תקציב מינהל תפעול 2022'!N80</f>
        <v>0</v>
      </c>
      <c r="O40" s="4">
        <f>'תקציב מינהל תפעול 2022'!O80</f>
        <v>0</v>
      </c>
      <c r="P40" s="4">
        <f>'תקציב מינהל תפעול 2022'!P80</f>
        <v>100000</v>
      </c>
      <c r="Q40" s="4">
        <f>'תקציב מינהל תפעול 2022'!Q80</f>
        <v>0</v>
      </c>
      <c r="R40" s="4">
        <f>'תקציב מינהל תפעול 2022'!R80</f>
        <v>0</v>
      </c>
      <c r="S40" s="4">
        <f>'תקציב מינהל תפעול 2022'!S80</f>
        <v>0</v>
      </c>
      <c r="T40" s="4">
        <f>'תקציב מינהל תפעול 2022'!T80</f>
        <v>0</v>
      </c>
      <c r="U40" s="4">
        <f>'תקציב מינהל תפעול 2022'!U80</f>
        <v>0</v>
      </c>
      <c r="V40" s="4">
        <f>'תקציב מינהל תפעול 2022'!V80</f>
        <v>0</v>
      </c>
      <c r="W40" s="4">
        <f>'תקציב מינהל תפעול 2022'!W80</f>
        <v>0</v>
      </c>
      <c r="X40" s="4">
        <f>'תקציב מינהל תפעול 2022'!X80</f>
        <v>0</v>
      </c>
      <c r="Y40" s="4">
        <f>'תקציב מינהל תפעול 2022'!Y80</f>
        <v>0</v>
      </c>
      <c r="Z40" s="4">
        <f>'תקציב מינהל תפעול 2022'!Z80</f>
        <v>0</v>
      </c>
      <c r="AA40" s="4">
        <f>'תקציב מינהל תפעול 2022'!AA80</f>
        <v>0</v>
      </c>
      <c r="AB40" s="255" t="str">
        <f>'תקציב מינהל תפעול 2022'!AB80</f>
        <v>פעילות חד פעמית בעקבות ממצאי סקר טבע עירוני. הפעילות כוללת: סילוק מינים פולשים של צמחייה , סגירת אזורים עם בולדרים,שילוט וכתיבת מסמך מדיניות טבע עירונית.</v>
      </c>
      <c r="AC40" s="3">
        <f>'תקציב מינהל תפעול 2022'!AC80</f>
        <v>746000</v>
      </c>
      <c r="AD40" s="480"/>
      <c r="AE40" s="484" t="s">
        <v>1370</v>
      </c>
      <c r="AF40" s="475" t="str">
        <f>AE40</f>
        <v>תבר ללא פעילת משנת 2020. יתרת התקציב תהיה לביצוע 2022. לא נדרש תקציב נוסף ב - 2022. לעדכן.</v>
      </c>
      <c r="AG40" s="475"/>
      <c r="AH40" s="476"/>
      <c r="AI40" s="482" t="s">
        <v>1371</v>
      </c>
      <c r="AJ40" s="482" t="s">
        <v>1371</v>
      </c>
      <c r="AK40" s="364"/>
      <c r="AL40" s="477" t="s">
        <v>1150</v>
      </c>
      <c r="AM40" s="478"/>
      <c r="AN40" s="364"/>
      <c r="AO40" s="364"/>
      <c r="AP40" s="4"/>
      <c r="AQ40" s="4"/>
      <c r="AR40" s="669"/>
      <c r="AS40" s="669"/>
      <c r="AT40" s="4"/>
    </row>
    <row r="41" spans="1:46" s="414" customFormat="1" ht="25.15" customHeight="1">
      <c r="A41" s="7"/>
      <c r="B41" s="7"/>
      <c r="C41" s="16" t="s">
        <v>801</v>
      </c>
      <c r="D41" s="8">
        <f t="shared" ref="D41:AA41" si="4">SUM(D17:D40)</f>
        <v>266595000</v>
      </c>
      <c r="E41" s="8">
        <f t="shared" si="4"/>
        <v>227925000</v>
      </c>
      <c r="F41" s="8">
        <f t="shared" si="4"/>
        <v>38670000</v>
      </c>
      <c r="G41" s="8">
        <f t="shared" si="4"/>
        <v>161118866</v>
      </c>
      <c r="H41" s="8">
        <f t="shared" si="4"/>
        <v>139832548</v>
      </c>
      <c r="I41" s="8">
        <f t="shared" si="4"/>
        <v>0</v>
      </c>
      <c r="J41" s="8">
        <f t="shared" si="4"/>
        <v>16047562</v>
      </c>
      <c r="K41" s="8">
        <f t="shared" si="4"/>
        <v>16047562</v>
      </c>
      <c r="L41" s="8">
        <f t="shared" si="4"/>
        <v>155880110</v>
      </c>
      <c r="M41" s="8">
        <f t="shared" si="4"/>
        <v>7288756</v>
      </c>
      <c r="N41" s="8">
        <f t="shared" si="4"/>
        <v>21620000</v>
      </c>
      <c r="O41" s="8">
        <f t="shared" si="4"/>
        <v>81806134</v>
      </c>
      <c r="P41" s="8">
        <f t="shared" si="4"/>
        <v>5238756</v>
      </c>
      <c r="Q41" s="8">
        <f t="shared" si="4"/>
        <v>50000</v>
      </c>
      <c r="R41" s="8">
        <f t="shared" si="4"/>
        <v>2000000</v>
      </c>
      <c r="S41" s="8">
        <f t="shared" si="4"/>
        <v>2050000</v>
      </c>
      <c r="T41" s="8">
        <f t="shared" si="4"/>
        <v>0</v>
      </c>
      <c r="U41" s="8">
        <f t="shared" si="4"/>
        <v>21620000</v>
      </c>
      <c r="V41" s="8">
        <f t="shared" si="4"/>
        <v>7100000</v>
      </c>
      <c r="W41" s="8">
        <f t="shared" si="4"/>
        <v>14520000</v>
      </c>
      <c r="X41" s="8">
        <f t="shared" si="4"/>
        <v>0</v>
      </c>
      <c r="Y41" s="8">
        <f t="shared" si="4"/>
        <v>0</v>
      </c>
      <c r="Z41" s="8">
        <f t="shared" si="4"/>
        <v>0</v>
      </c>
      <c r="AA41" s="8">
        <f t="shared" si="4"/>
        <v>0</v>
      </c>
      <c r="AB41" s="16"/>
      <c r="AC41" s="7"/>
      <c r="AD41" s="800"/>
      <c r="AE41" s="484"/>
      <c r="AF41" s="801"/>
      <c r="AG41" s="801"/>
      <c r="AH41" s="802"/>
      <c r="AI41" s="801"/>
      <c r="AJ41" s="801"/>
      <c r="AK41" s="805"/>
      <c r="AL41" s="803"/>
      <c r="AM41" s="372"/>
      <c r="AN41" s="805"/>
      <c r="AO41" s="805"/>
      <c r="AP41" s="8"/>
      <c r="AQ41" s="8"/>
      <c r="AR41" s="679"/>
      <c r="AS41" s="679"/>
      <c r="AT41" s="8"/>
    </row>
    <row r="42" spans="1:46" ht="33.6" customHeight="1">
      <c r="A42" s="3">
        <f>A40+1</f>
        <v>33</v>
      </c>
      <c r="B42" s="3">
        <f>'תקציב מינהל תפעול 2022'!B23</f>
        <v>1700</v>
      </c>
      <c r="C42" s="255" t="str">
        <f>'תקציב מינהל תפעול 2022'!C23</f>
        <v xml:space="preserve">רכישת ציוד טיפול זיהום חוף ים </v>
      </c>
      <c r="D42" s="4">
        <f>'תקציב מינהל תפעול 2022'!D23</f>
        <v>56971</v>
      </c>
      <c r="E42" s="4">
        <f>'תקציב מינהל תפעול 2022'!E23</f>
        <v>56971</v>
      </c>
      <c r="F42" s="4">
        <f>'תקציב מינהל תפעול 2022'!F23</f>
        <v>0</v>
      </c>
      <c r="G42" s="4">
        <f>'תקציב מינהל תפעול 2022'!G23</f>
        <v>56971</v>
      </c>
      <c r="H42" s="4">
        <f>'תקציב מינהל תפעול 2022'!H23</f>
        <v>56971</v>
      </c>
      <c r="I42" s="4">
        <f>'תקציב מינהל תפעול 2022'!I23</f>
        <v>0</v>
      </c>
      <c r="J42" s="4">
        <f>'תקציב מינהל תפעול 2022'!J23</f>
        <v>0</v>
      </c>
      <c r="K42" s="4">
        <f>'תקציב מינהל תפעול 2022'!K23</f>
        <v>0</v>
      </c>
      <c r="L42" s="4">
        <f>'תקציב מינהל תפעול 2022'!L23</f>
        <v>56971</v>
      </c>
      <c r="M42" s="4">
        <f>'תקציב מינהל תפעול 2022'!M23</f>
        <v>0</v>
      </c>
      <c r="N42" s="4">
        <f>'תקציב מינהל תפעול 2022'!N23</f>
        <v>0</v>
      </c>
      <c r="O42" s="4">
        <f>'תקציב מינהל תפעול 2022'!O23</f>
        <v>0</v>
      </c>
      <c r="P42" s="4">
        <f>'תקציב מינהל תפעול 2022'!P23</f>
        <v>0</v>
      </c>
      <c r="Q42" s="4">
        <f>'תקציב מינהל תפעול 2022'!Q23</f>
        <v>0</v>
      </c>
      <c r="R42" s="4">
        <f>'תקציב מינהל תפעול 2022'!R23</f>
        <v>0</v>
      </c>
      <c r="S42" s="4">
        <f>'תקציב מינהל תפעול 2022'!S23</f>
        <v>0</v>
      </c>
      <c r="T42" s="4">
        <f>'תקציב מינהל תפעול 2022'!T23</f>
        <v>0</v>
      </c>
      <c r="U42" s="4">
        <f>'תקציב מינהל תפעול 2022'!U23</f>
        <v>0</v>
      </c>
      <c r="V42" s="4">
        <f>'תקציב מינהל תפעול 2022'!V23</f>
        <v>0</v>
      </c>
      <c r="W42" s="4">
        <f>'תקציב מינהל תפעול 2022'!W23</f>
        <v>56971</v>
      </c>
      <c r="X42" s="4">
        <f>'תקציב מינהל תפעול 2022'!X23</f>
        <v>0</v>
      </c>
      <c r="Y42" s="4">
        <f>'תקציב מינהל תפעול 2022'!Y23</f>
        <v>0</v>
      </c>
      <c r="Z42" s="4">
        <f>'תקציב מינהל תפעול 2022'!Z23</f>
        <v>0</v>
      </c>
      <c r="AA42" s="4">
        <f>'תקציב מינהל תפעול 2022'!AA23</f>
        <v>-56971</v>
      </c>
      <c r="AB42" s="255" t="str">
        <f>'תקציב מינהל תפעול 2022'!AB23</f>
        <v>שינוי מימון. מ. להגנת הסביבה. התב"ר לסגירה.</v>
      </c>
      <c r="AC42" s="3">
        <f>'תקציב מינהל תפעול 2022'!AC23</f>
        <v>747000</v>
      </c>
      <c r="AD42" s="480"/>
      <c r="AE42" s="492" t="s">
        <v>1222</v>
      </c>
      <c r="AF42" s="475" t="s">
        <v>1223</v>
      </c>
      <c r="AG42" s="475"/>
      <c r="AH42" s="476"/>
      <c r="AI42" s="482" t="s">
        <v>1224</v>
      </c>
      <c r="AJ42" s="482" t="s">
        <v>1224</v>
      </c>
      <c r="AK42" s="364" t="s">
        <v>1224</v>
      </c>
      <c r="AL42" s="493" t="s">
        <v>165</v>
      </c>
      <c r="AM42" s="478"/>
      <c r="AN42" s="364"/>
      <c r="AO42" s="364"/>
      <c r="AP42" s="4"/>
      <c r="AQ42" s="4"/>
      <c r="AR42" s="669"/>
      <c r="AS42" s="669"/>
      <c r="AT42" s="4"/>
    </row>
    <row r="43" spans="1:46" ht="39" customHeight="1">
      <c r="A43" s="3">
        <f t="shared" ref="A43:A61" si="5">A42+1</f>
        <v>34</v>
      </c>
      <c r="B43" s="3">
        <f>'תקציב מינהל תפעול 2022'!B38</f>
        <v>1923</v>
      </c>
      <c r="C43" s="255" t="str">
        <f>'תקציב מינהל תפעול 2022'!C38</f>
        <v>פיתוח חוף רחצה "חוף הכוכבים"</v>
      </c>
      <c r="D43" s="4">
        <f>'תקציב מינהל תפעול 2022'!D38</f>
        <v>152000</v>
      </c>
      <c r="E43" s="4">
        <f>'תקציב מינהל תפעול 2022'!E38</f>
        <v>152000</v>
      </c>
      <c r="F43" s="4">
        <f>'תקציב מינהל תפעול 2022'!F38</f>
        <v>0</v>
      </c>
      <c r="G43" s="4">
        <f>'תקציב מינהל תפעול 2022'!G38</f>
        <v>152000</v>
      </c>
      <c r="H43" s="4">
        <f>'תקציב מינהל תפעול 2022'!H38</f>
        <v>138856</v>
      </c>
      <c r="I43" s="4">
        <f>'תקציב מינהל תפעול 2022'!I38</f>
        <v>13144</v>
      </c>
      <c r="J43" s="4">
        <f>'תקציב מינהל תפעול 2022'!J38</f>
        <v>0</v>
      </c>
      <c r="K43" s="4">
        <f>'תקציב מינהל תפעול 2022'!K38</f>
        <v>13144</v>
      </c>
      <c r="L43" s="4">
        <f>'תקציב מינהל תפעול 2022'!L38</f>
        <v>152000</v>
      </c>
      <c r="M43" s="4">
        <f>'תקציב מינהל תפעול 2022'!M38</f>
        <v>0</v>
      </c>
      <c r="N43" s="4">
        <f>'תקציב מינהל תפעול 2022'!N38</f>
        <v>0</v>
      </c>
      <c r="O43" s="4">
        <f>'תקציב מינהל תפעול 2022'!O38</f>
        <v>0</v>
      </c>
      <c r="P43" s="4">
        <f>'תקציב מינהל תפעול 2022'!P38</f>
        <v>0</v>
      </c>
      <c r="Q43" s="4">
        <f>'תקציב מינהל תפעול 2022'!Q38</f>
        <v>0</v>
      </c>
      <c r="R43" s="4">
        <f>'תקציב מינהל תפעול 2022'!R38</f>
        <v>0</v>
      </c>
      <c r="S43" s="4">
        <f>'תקציב מינהל תפעול 2022'!S38</f>
        <v>0</v>
      </c>
      <c r="T43" s="4">
        <f>'תקציב מינהל תפעול 2022'!T38</f>
        <v>0</v>
      </c>
      <c r="U43" s="4">
        <f>'תקציב מינהל תפעול 2022'!U38</f>
        <v>0</v>
      </c>
      <c r="V43" s="4">
        <f>'תקציב מינהל תפעול 2022'!V38</f>
        <v>0</v>
      </c>
      <c r="W43" s="4">
        <f>'תקציב מינהל תפעול 2022'!W38</f>
        <v>0</v>
      </c>
      <c r="X43" s="4">
        <f>'תקציב מינהל תפעול 2022'!X38</f>
        <v>0</v>
      </c>
      <c r="Y43" s="4">
        <f>'תקציב מינהל תפעול 2022'!Y38</f>
        <v>0</v>
      </c>
      <c r="Z43" s="4">
        <f>'תקציב מינהל תפעול 2022'!Z38</f>
        <v>0</v>
      </c>
      <c r="AA43" s="4">
        <f>'תקציב מינהל תפעול 2022'!AA38</f>
        <v>0</v>
      </c>
      <c r="AB43" s="255" t="str">
        <f>'תקציב מינהל תפעול 2022'!AB38</f>
        <v>טרם הסתיימה עבודה בתחנת הצלה חוף הכוכבים .</v>
      </c>
      <c r="AC43" s="3">
        <f>'תקציב מינהל תפעול 2022'!AC38</f>
        <v>747000</v>
      </c>
      <c r="AD43" s="480"/>
      <c r="AE43" s="484"/>
      <c r="AF43" s="475"/>
      <c r="AG43" s="475"/>
      <c r="AH43" s="476"/>
      <c r="AI43" s="482"/>
      <c r="AJ43" s="482"/>
      <c r="AK43" s="364"/>
      <c r="AL43" s="493" t="s">
        <v>165</v>
      </c>
      <c r="AM43" s="478"/>
      <c r="AN43" s="364"/>
      <c r="AO43" s="364"/>
      <c r="AP43" s="4"/>
      <c r="AQ43" s="4"/>
      <c r="AR43" s="669"/>
      <c r="AS43" s="669"/>
      <c r="AT43" s="4"/>
    </row>
    <row r="44" spans="1:46" ht="60">
      <c r="A44" s="3">
        <f t="shared" si="5"/>
        <v>35</v>
      </c>
      <c r="B44" s="3">
        <f>'תקציב מינהל תפעול 2022'!B53</f>
        <v>2043</v>
      </c>
      <c r="C44" s="255" t="str">
        <f>'תקציב מינהל תפעול 2022'!C53</f>
        <v>פיתוח חופי רחצה</v>
      </c>
      <c r="D44" s="4">
        <f>'תקציב מינהל תפעול 2022'!D53</f>
        <v>9750000</v>
      </c>
      <c r="E44" s="4">
        <f>'תקציב מינהל תפעול 2022'!E53</f>
        <v>7350000</v>
      </c>
      <c r="F44" s="4">
        <f>'תקציב מינהל תפעול 2022'!F53</f>
        <v>2400000</v>
      </c>
      <c r="G44" s="4">
        <f>'תקציב מינהל תפעול 2022'!G53</f>
        <v>6750000</v>
      </c>
      <c r="H44" s="4">
        <f>'תקציב מינהל תפעול 2022'!H53</f>
        <v>6198991</v>
      </c>
      <c r="I44" s="4">
        <f>'תקציב מינהל תפעול 2022'!I53</f>
        <v>277159</v>
      </c>
      <c r="J44" s="4">
        <f>'תקציב מינהל תפעול 2022'!J53</f>
        <v>214042</v>
      </c>
      <c r="K44" s="4">
        <f>'תקציב מינהל תפעול 2022'!K53</f>
        <v>491201</v>
      </c>
      <c r="L44" s="4">
        <f>'תקציב מינהל תפעול 2022'!L53</f>
        <v>6690192</v>
      </c>
      <c r="M44" s="4">
        <f>'תקציב מינהל תפעול 2022'!M53</f>
        <v>59808</v>
      </c>
      <c r="N44" s="4">
        <f>'תקציב מינהל תפעול 2022'!N53</f>
        <v>3000000</v>
      </c>
      <c r="O44" s="4">
        <f>'תקציב מינהל תפעול 2022'!O53</f>
        <v>0</v>
      </c>
      <c r="P44" s="4">
        <f>'תקציב מינהל תפעול 2022'!P53</f>
        <v>59808</v>
      </c>
      <c r="Q44" s="4">
        <f>'תקציב מינהל תפעול 2022'!Q53</f>
        <v>0</v>
      </c>
      <c r="R44" s="4">
        <f>'תקציב מינהל תפעול 2022'!R53</f>
        <v>0</v>
      </c>
      <c r="S44" s="4">
        <f>'תקציב מינהל תפעול 2022'!S53</f>
        <v>0</v>
      </c>
      <c r="T44" s="4">
        <f>'תקציב מינהל תפעול 2022'!T53</f>
        <v>0</v>
      </c>
      <c r="U44" s="4">
        <f>'תקציב מינהל תפעול 2022'!U53</f>
        <v>3000000</v>
      </c>
      <c r="V44" s="4">
        <f>'תקציב מינהל תפעול 2022'!V53</f>
        <v>0</v>
      </c>
      <c r="W44" s="4">
        <f>'תקציב מינהל תפעול 2022'!W53</f>
        <v>3000000</v>
      </c>
      <c r="X44" s="4">
        <f>'תקציב מינהל תפעול 2022'!X53</f>
        <v>0</v>
      </c>
      <c r="Y44" s="4">
        <f>'תקציב מינהל תפעול 2022'!Y53</f>
        <v>0</v>
      </c>
      <c r="Z44" s="4">
        <f>'תקציב מינהל תפעול 2022'!Z53</f>
        <v>0</v>
      </c>
      <c r="AA44" s="4">
        <f>'תקציב מינהל תפעול 2022'!AA53</f>
        <v>0</v>
      </c>
      <c r="AB44" s="255" t="str">
        <f>'תקציב מינהל תפעול 2022'!AB53</f>
        <v>סל עבודות פיתוח גידור,שדרוג והיערכות לקראת פתיחת עונת הרחצה ובמהלכה. עפ"י תוכנית שתאושר ע"י הנהלת העיר.</v>
      </c>
      <c r="AC44" s="3">
        <f>'תקציב מינהל תפעול 2022'!AC53</f>
        <v>747000</v>
      </c>
      <c r="AD44" s="480"/>
      <c r="AE44" s="484" t="s">
        <v>1009</v>
      </c>
      <c r="AF44" s="475"/>
      <c r="AG44" s="475" t="s">
        <v>1218</v>
      </c>
      <c r="AH44" s="476"/>
      <c r="AI44" s="482" t="s">
        <v>1313</v>
      </c>
      <c r="AJ44" s="482" t="s">
        <v>1313</v>
      </c>
      <c r="AK44" s="364" t="s">
        <v>1313</v>
      </c>
      <c r="AL44" s="493" t="s">
        <v>165</v>
      </c>
      <c r="AM44" s="478">
        <v>1</v>
      </c>
      <c r="AN44" s="364"/>
      <c r="AO44" s="364" t="s">
        <v>1313</v>
      </c>
      <c r="AP44" s="574">
        <v>-100000</v>
      </c>
      <c r="AQ44" s="4"/>
      <c r="AR44" s="669">
        <v>3000000</v>
      </c>
      <c r="AS44" s="669">
        <f>AR44-N44</f>
        <v>0</v>
      </c>
      <c r="AT44" s="4"/>
    </row>
    <row r="45" spans="1:46" ht="30" customHeight="1">
      <c r="A45" s="3">
        <f t="shared" si="5"/>
        <v>36</v>
      </c>
      <c r="B45" s="3">
        <f>'תקציב מינהל תפעול 2022'!B54</f>
        <v>2044</v>
      </c>
      <c r="C45" s="255" t="str">
        <f>'תקציב מינהל תפעול 2022'!C54</f>
        <v>סככות צל חוף הכוכבים 2017</v>
      </c>
      <c r="D45" s="4">
        <f>'תקציב מינהל תפעול 2022'!D54</f>
        <v>105000</v>
      </c>
      <c r="E45" s="4">
        <f>'תקציב מינהל תפעול 2022'!E54</f>
        <v>105000</v>
      </c>
      <c r="F45" s="4">
        <f>'תקציב מינהל תפעול 2022'!F54</f>
        <v>0</v>
      </c>
      <c r="G45" s="4">
        <f>'תקציב מינהל תפעול 2022'!G54</f>
        <v>105000</v>
      </c>
      <c r="H45" s="4">
        <f>'תקציב מינהל תפעול 2022'!H54</f>
        <v>56160</v>
      </c>
      <c r="I45" s="4">
        <f>'תקציב מינהל תפעול 2022'!I54</f>
        <v>0</v>
      </c>
      <c r="J45" s="4">
        <f>'תקציב מינהל תפעול 2022'!J54</f>
        <v>0</v>
      </c>
      <c r="K45" s="4">
        <f>'תקציב מינהל תפעול 2022'!K54</f>
        <v>0</v>
      </c>
      <c r="L45" s="4">
        <f>'תקציב מינהל תפעול 2022'!L54</f>
        <v>56160</v>
      </c>
      <c r="M45" s="4">
        <f>'תקציב מינהל תפעול 2022'!M54</f>
        <v>48840</v>
      </c>
      <c r="N45" s="4">
        <f>'תקציב מינהל תפעול 2022'!N54</f>
        <v>0</v>
      </c>
      <c r="O45" s="4">
        <f>'תקציב מינהל תפעול 2022'!O54</f>
        <v>0</v>
      </c>
      <c r="P45" s="4">
        <f>'תקציב מינהל תפעול 2022'!P54</f>
        <v>48840</v>
      </c>
      <c r="Q45" s="4">
        <f>'תקציב מינהל תפעול 2022'!Q54</f>
        <v>0</v>
      </c>
      <c r="R45" s="4">
        <f>'תקציב מינהל תפעול 2022'!R54</f>
        <v>0</v>
      </c>
      <c r="S45" s="4">
        <f>'תקציב מינהל תפעול 2022'!S54</f>
        <v>0</v>
      </c>
      <c r="T45" s="4">
        <f>'תקציב מינהל תפעול 2022'!T54</f>
        <v>0</v>
      </c>
      <c r="U45" s="4">
        <f>'תקציב מינהל תפעול 2022'!U54</f>
        <v>0</v>
      </c>
      <c r="V45" s="4">
        <f>'תקציב מינהל תפעול 2022'!V54</f>
        <v>0</v>
      </c>
      <c r="W45" s="4">
        <f>'תקציב מינהל תפעול 2022'!W54</f>
        <v>0</v>
      </c>
      <c r="X45" s="4">
        <f>'תקציב מינהל תפעול 2022'!X54</f>
        <v>0</v>
      </c>
      <c r="Y45" s="4">
        <f>'תקציב מינהל תפעול 2022'!Y54</f>
        <v>0</v>
      </c>
      <c r="Z45" s="4">
        <f>'תקציב מינהל תפעול 2022'!Z54</f>
        <v>0</v>
      </c>
      <c r="AA45" s="4">
        <f>'תקציב מינהל תפעול 2022'!AA54</f>
        <v>0</v>
      </c>
      <c r="AB45" s="255" t="str">
        <f>'תקציב מינהל תפעול 2022'!AB54</f>
        <v>מימון מ. הפנים. עבור רכישת 2 סככות נוספות הצללה לחוף הכוכבים.</v>
      </c>
      <c r="AC45" s="3">
        <f>'תקציב מינהל תפעול 2022'!AC54</f>
        <v>747000</v>
      </c>
      <c r="AD45" s="480"/>
      <c r="AE45" s="484"/>
      <c r="AF45" s="475"/>
      <c r="AG45" s="475"/>
      <c r="AH45" s="476"/>
      <c r="AI45" s="482"/>
      <c r="AJ45" s="482"/>
      <c r="AK45" s="364"/>
      <c r="AL45" s="493" t="s">
        <v>165</v>
      </c>
      <c r="AM45" s="478"/>
      <c r="AN45" s="364"/>
      <c r="AO45" s="364"/>
      <c r="AP45" s="4"/>
      <c r="AQ45" s="4"/>
      <c r="AR45" s="669"/>
      <c r="AS45" s="669"/>
      <c r="AT45" s="4"/>
    </row>
    <row r="46" spans="1:46" ht="30" customHeight="1">
      <c r="A46" s="3">
        <f t="shared" si="5"/>
        <v>37</v>
      </c>
      <c r="B46" s="3">
        <f>'תקציב מינהל תפעול 2022'!B55</f>
        <v>2045</v>
      </c>
      <c r="C46" s="255" t="str">
        <f>'תקציב מינהל תפעול 2022'!C55</f>
        <v>הסדרת החוף הנפרד</v>
      </c>
      <c r="D46" s="4">
        <f>'תקציב מינהל תפעול 2022'!D55</f>
        <v>205000</v>
      </c>
      <c r="E46" s="4">
        <f>'תקציב מינהל תפעול 2022'!E55</f>
        <v>205000</v>
      </c>
      <c r="F46" s="4">
        <f>'תקציב מינהל תפעול 2022'!F55</f>
        <v>0</v>
      </c>
      <c r="G46" s="4">
        <f>'תקציב מינהל תפעול 2022'!G55</f>
        <v>205000</v>
      </c>
      <c r="H46" s="4">
        <f>'תקציב מינהל תפעול 2022'!H55</f>
        <v>0</v>
      </c>
      <c r="I46" s="4">
        <f>'תקציב מינהל תפעול 2022'!I55</f>
        <v>184044</v>
      </c>
      <c r="J46" s="4">
        <f>'תקציב מינהל תפעול 2022'!J55</f>
        <v>0</v>
      </c>
      <c r="K46" s="4">
        <f>'תקציב מינהל תפעול 2022'!K55</f>
        <v>184044</v>
      </c>
      <c r="L46" s="4">
        <f>'תקציב מינהל תפעול 2022'!L55</f>
        <v>184044</v>
      </c>
      <c r="M46" s="4">
        <f>'תקציב מינהל תפעול 2022'!M55</f>
        <v>20956</v>
      </c>
      <c r="N46" s="4">
        <f>'תקציב מינהל תפעול 2022'!N55</f>
        <v>0</v>
      </c>
      <c r="O46" s="4">
        <f>'תקציב מינהל תפעול 2022'!O55</f>
        <v>0</v>
      </c>
      <c r="P46" s="4">
        <f>'תקציב מינהל תפעול 2022'!P55</f>
        <v>20956</v>
      </c>
      <c r="Q46" s="4">
        <f>'תקציב מינהל תפעול 2022'!Q55</f>
        <v>0</v>
      </c>
      <c r="R46" s="4">
        <f>'תקציב מינהל תפעול 2022'!R55</f>
        <v>0</v>
      </c>
      <c r="S46" s="4">
        <f>'תקציב מינהל תפעול 2022'!S55</f>
        <v>0</v>
      </c>
      <c r="T46" s="4">
        <f>'תקציב מינהל תפעול 2022'!T55</f>
        <v>0</v>
      </c>
      <c r="U46" s="4">
        <f>'תקציב מינהל תפעול 2022'!U55</f>
        <v>0</v>
      </c>
      <c r="V46" s="4">
        <f>'תקציב מינהל תפעול 2022'!V55</f>
        <v>0</v>
      </c>
      <c r="W46" s="4">
        <f>'תקציב מינהל תפעול 2022'!W55</f>
        <v>0</v>
      </c>
      <c r="X46" s="4">
        <f>'תקציב מינהל תפעול 2022'!X55</f>
        <v>0</v>
      </c>
      <c r="Y46" s="4">
        <f>'תקציב מינהל תפעול 2022'!Y55</f>
        <v>0</v>
      </c>
      <c r="Z46" s="4">
        <f>'תקציב מינהל תפעול 2022'!Z55</f>
        <v>0</v>
      </c>
      <c r="AA46" s="4">
        <f>'תקציב מינהל תפעול 2022'!AA55</f>
        <v>0</v>
      </c>
      <c r="AB46" s="255" t="str">
        <f>'תקציב מינהל תפעול 2022'!AB55</f>
        <v>מימון מ. הפנים. יבוצעו עבודות נוספות בחוף הנפרד.</v>
      </c>
      <c r="AC46" s="3">
        <f>'תקציב מינהל תפעול 2022'!AC55</f>
        <v>747000</v>
      </c>
      <c r="AD46" s="480"/>
      <c r="AE46" s="484"/>
      <c r="AF46" s="475"/>
      <c r="AG46" s="475"/>
      <c r="AH46" s="476"/>
      <c r="AI46" s="482"/>
      <c r="AJ46" s="482"/>
      <c r="AK46" s="364"/>
      <c r="AL46" s="493" t="s">
        <v>165</v>
      </c>
      <c r="AM46" s="478"/>
      <c r="AN46" s="364"/>
      <c r="AO46" s="364"/>
      <c r="AP46" s="4"/>
      <c r="AQ46" s="4"/>
      <c r="AR46" s="669"/>
      <c r="AS46" s="669"/>
      <c r="AT46" s="4"/>
    </row>
    <row r="47" spans="1:46" ht="30" customHeight="1">
      <c r="A47" s="3">
        <f t="shared" si="5"/>
        <v>38</v>
      </c>
      <c r="B47" s="3">
        <f>'תקציב מינהל תפעול 2022'!B56</f>
        <v>2047</v>
      </c>
      <c r="C47" s="255" t="str">
        <f>'תקציב מינהל תפעול 2022'!C56</f>
        <v>תחנת הצלה חוף הכוכבים 2017</v>
      </c>
      <c r="D47" s="4">
        <f>'תקציב מינהל תפעול 2022'!D56</f>
        <v>170000</v>
      </c>
      <c r="E47" s="4">
        <f>'תקציב מינהל תפעול 2022'!E56</f>
        <v>170000</v>
      </c>
      <c r="F47" s="4">
        <f>'תקציב מינהל תפעול 2022'!F56</f>
        <v>0</v>
      </c>
      <c r="G47" s="4">
        <f>'תקציב מינהל תפעול 2022'!G56</f>
        <v>170000</v>
      </c>
      <c r="H47" s="4">
        <f>'תקציב מינהל תפעול 2022'!H56</f>
        <v>117000</v>
      </c>
      <c r="I47" s="4">
        <f>'תקציב מינהל תפעול 2022'!I56</f>
        <v>53000</v>
      </c>
      <c r="J47" s="4">
        <f>'תקציב מינהל תפעול 2022'!J56</f>
        <v>0</v>
      </c>
      <c r="K47" s="4">
        <f>'תקציב מינהל תפעול 2022'!K56</f>
        <v>53000</v>
      </c>
      <c r="L47" s="4">
        <f>'תקציב מינהל תפעול 2022'!L56</f>
        <v>170000</v>
      </c>
      <c r="M47" s="4">
        <f>'תקציב מינהל תפעול 2022'!M56</f>
        <v>0</v>
      </c>
      <c r="N47" s="4">
        <f>'תקציב מינהל תפעול 2022'!N56</f>
        <v>0</v>
      </c>
      <c r="O47" s="4">
        <f>'תקציב מינהל תפעול 2022'!O56</f>
        <v>0</v>
      </c>
      <c r="P47" s="4">
        <f>'תקציב מינהל תפעול 2022'!P56</f>
        <v>0</v>
      </c>
      <c r="Q47" s="4">
        <f>'תקציב מינהל תפעול 2022'!Q56</f>
        <v>0</v>
      </c>
      <c r="R47" s="4">
        <f>'תקציב מינהל תפעול 2022'!R56</f>
        <v>0</v>
      </c>
      <c r="S47" s="4">
        <f>'תקציב מינהל תפעול 2022'!S56</f>
        <v>0</v>
      </c>
      <c r="T47" s="4">
        <f>'תקציב מינהל תפעול 2022'!T56</f>
        <v>0</v>
      </c>
      <c r="U47" s="4">
        <f>'תקציב מינהל תפעול 2022'!U56</f>
        <v>0</v>
      </c>
      <c r="V47" s="4">
        <f>'תקציב מינהל תפעול 2022'!V56</f>
        <v>0</v>
      </c>
      <c r="W47" s="4">
        <f>'תקציב מינהל תפעול 2022'!W56</f>
        <v>0</v>
      </c>
      <c r="X47" s="4">
        <f>'תקציב מינהל תפעול 2022'!X56</f>
        <v>0</v>
      </c>
      <c r="Y47" s="4">
        <f>'תקציב מינהל תפעול 2022'!Y56</f>
        <v>0</v>
      </c>
      <c r="Z47" s="4">
        <f>'תקציב מינהל תפעול 2022'!Z56</f>
        <v>0</v>
      </c>
      <c r="AA47" s="4">
        <f>'תקציב מינהל תפעול 2022'!AA56</f>
        <v>0</v>
      </c>
      <c r="AB47" s="255" t="str">
        <f>'תקציב מינהל תפעול 2022'!AB56</f>
        <v xml:space="preserve">מימון מ. הפנים.בניית התחנה טרם הסתיימה. </v>
      </c>
      <c r="AC47" s="3">
        <f>'תקציב מינהל תפעול 2022'!AC56</f>
        <v>747000</v>
      </c>
      <c r="AD47" s="480"/>
      <c r="AE47" s="484"/>
      <c r="AF47" s="475"/>
      <c r="AG47" s="475"/>
      <c r="AH47" s="476"/>
      <c r="AI47" s="482"/>
      <c r="AJ47" s="482"/>
      <c r="AK47" s="364"/>
      <c r="AL47" s="493" t="s">
        <v>165</v>
      </c>
      <c r="AM47" s="478"/>
      <c r="AN47" s="364"/>
      <c r="AO47" s="364"/>
      <c r="AP47" s="4"/>
      <c r="AQ47" s="4"/>
      <c r="AR47" s="669"/>
      <c r="AS47" s="669"/>
      <c r="AT47" s="4"/>
    </row>
    <row r="48" spans="1:46" ht="30" customHeight="1">
      <c r="A48" s="3">
        <f t="shared" si="5"/>
        <v>39</v>
      </c>
      <c r="B48" s="3">
        <f>'תקציב מינהל תפעול 2022'!B65</f>
        <v>2125</v>
      </c>
      <c r="C48" s="255" t="str">
        <f>'תקציב מינהל תפעול 2022'!C65</f>
        <v>ציוד הצלה ובטיחות 2018</v>
      </c>
      <c r="D48" s="4">
        <f>'תקציב מינהל תפעול 2022'!D65</f>
        <v>146923</v>
      </c>
      <c r="E48" s="4">
        <f>'תקציב מינהל תפעול 2022'!E65</f>
        <v>146923</v>
      </c>
      <c r="F48" s="4">
        <f>'תקציב מינהל תפעול 2022'!F65</f>
        <v>0</v>
      </c>
      <c r="G48" s="4">
        <f>'תקציב מינהל תפעול 2022'!G65</f>
        <v>146923</v>
      </c>
      <c r="H48" s="4">
        <f>'תקציב מינהל תפעול 2022'!H65</f>
        <v>121136</v>
      </c>
      <c r="I48" s="4">
        <f>'תקציב מינהל תפעול 2022'!I65</f>
        <v>0</v>
      </c>
      <c r="J48" s="4">
        <f>'תקציב מינהל תפעול 2022'!J65</f>
        <v>25787</v>
      </c>
      <c r="K48" s="4">
        <f>'תקציב מינהל תפעול 2022'!K65</f>
        <v>25787</v>
      </c>
      <c r="L48" s="4">
        <f>'תקציב מינהל תפעול 2022'!L65</f>
        <v>146923</v>
      </c>
      <c r="M48" s="4">
        <f>'תקציב מינהל תפעול 2022'!M65</f>
        <v>0</v>
      </c>
      <c r="N48" s="4">
        <f>'תקציב מינהל תפעול 2022'!N65</f>
        <v>0</v>
      </c>
      <c r="O48" s="4">
        <f>'תקציב מינהל תפעול 2022'!O65</f>
        <v>0</v>
      </c>
      <c r="P48" s="4">
        <f>'תקציב מינהל תפעול 2022'!P65</f>
        <v>0</v>
      </c>
      <c r="Q48" s="4">
        <f>'תקציב מינהל תפעול 2022'!Q65</f>
        <v>0</v>
      </c>
      <c r="R48" s="4">
        <f>'תקציב מינהל תפעול 2022'!R65</f>
        <v>0</v>
      </c>
      <c r="S48" s="4">
        <f>'תקציב מינהל תפעול 2022'!S65</f>
        <v>0</v>
      </c>
      <c r="T48" s="4">
        <f>'תקציב מינהל תפעול 2022'!T65</f>
        <v>0</v>
      </c>
      <c r="U48" s="4">
        <f>'תקציב מינהל תפעול 2022'!U65</f>
        <v>0</v>
      </c>
      <c r="V48" s="4">
        <f>'תקציב מינהל תפעול 2022'!V65</f>
        <v>0</v>
      </c>
      <c r="W48" s="4">
        <f>'תקציב מינהל תפעול 2022'!W65</f>
        <v>0</v>
      </c>
      <c r="X48" s="4">
        <f>'תקציב מינהל תפעול 2022'!X65</f>
        <v>0</v>
      </c>
      <c r="Y48" s="4">
        <f>'תקציב מינהל תפעול 2022'!Y65</f>
        <v>0</v>
      </c>
      <c r="Z48" s="4">
        <f>'תקציב מינהל תפעול 2022'!Z65</f>
        <v>0</v>
      </c>
      <c r="AA48" s="4">
        <f>'תקציב מינהל תפעול 2022'!AA65</f>
        <v>0</v>
      </c>
      <c r="AB48" s="255" t="str">
        <f>'תקציב מינהל תפעול 2022'!AB65</f>
        <v>החלפה והוספת ציוד הצלה ובטיחות. מימון מ. הפנים.</v>
      </c>
      <c r="AC48" s="3">
        <f>'תקציב מינהל תפעול 2022'!AC65</f>
        <v>747000</v>
      </c>
      <c r="AD48" s="480"/>
      <c r="AE48" s="475"/>
      <c r="AF48" s="475"/>
      <c r="AG48" s="475"/>
      <c r="AH48" s="476"/>
      <c r="AI48" s="482"/>
      <c r="AJ48" s="482"/>
      <c r="AK48" s="364"/>
      <c r="AL48" s="493" t="s">
        <v>165</v>
      </c>
      <c r="AM48" s="478"/>
      <c r="AN48" s="364"/>
      <c r="AO48" s="364"/>
      <c r="AP48" s="4"/>
      <c r="AQ48" s="4"/>
      <c r="AR48" s="669"/>
      <c r="AS48" s="669"/>
      <c r="AT48" s="4"/>
    </row>
    <row r="49" spans="1:46" ht="30" customHeight="1">
      <c r="A49" s="3">
        <f t="shared" si="5"/>
        <v>40</v>
      </c>
      <c r="B49" s="3">
        <f>'תקציב מינהל תפעול 2022'!B68</f>
        <v>2136</v>
      </c>
      <c r="C49" s="255" t="str">
        <f>'תקציב מינהל תפעול 2022'!C68</f>
        <v>שילוט חופים 2019</v>
      </c>
      <c r="D49" s="4">
        <f>'תקציב מינהל תפעול 2022'!D68</f>
        <v>55226</v>
      </c>
      <c r="E49" s="4">
        <f>'תקציב מינהל תפעול 2022'!E68</f>
        <v>55226</v>
      </c>
      <c r="F49" s="4">
        <f>'תקציב מינהל תפעול 2022'!F68</f>
        <v>0</v>
      </c>
      <c r="G49" s="4">
        <f>'תקציב מינהל תפעול 2022'!G68</f>
        <v>55226</v>
      </c>
      <c r="H49" s="4">
        <f>'תקציב מינהל תפעול 2022'!H68</f>
        <v>55226</v>
      </c>
      <c r="I49" s="4">
        <f>'תקציב מינהל תפעול 2022'!I68</f>
        <v>0</v>
      </c>
      <c r="J49" s="4">
        <f>'תקציב מינהל תפעול 2022'!J68</f>
        <v>0</v>
      </c>
      <c r="K49" s="4">
        <f>'תקציב מינהל תפעול 2022'!K68</f>
        <v>0</v>
      </c>
      <c r="L49" s="4">
        <f>'תקציב מינהל תפעול 2022'!L68</f>
        <v>55226</v>
      </c>
      <c r="M49" s="4">
        <f>'תקציב מינהל תפעול 2022'!M68</f>
        <v>0</v>
      </c>
      <c r="N49" s="4">
        <f>'תקציב מינהל תפעול 2022'!N68</f>
        <v>0</v>
      </c>
      <c r="O49" s="4">
        <f>'תקציב מינהל תפעול 2022'!O68</f>
        <v>0</v>
      </c>
      <c r="P49" s="4">
        <f>'תקציב מינהל תפעול 2022'!P68</f>
        <v>0</v>
      </c>
      <c r="Q49" s="4">
        <f>'תקציב מינהל תפעול 2022'!Q68</f>
        <v>0</v>
      </c>
      <c r="R49" s="4">
        <f>'תקציב מינהל תפעול 2022'!R68</f>
        <v>0</v>
      </c>
      <c r="S49" s="4">
        <f>'תקציב מינהל תפעול 2022'!S68</f>
        <v>0</v>
      </c>
      <c r="T49" s="4">
        <f>'תקציב מינהל תפעול 2022'!T68</f>
        <v>0</v>
      </c>
      <c r="U49" s="4">
        <f>'תקציב מינהל תפעול 2022'!U68</f>
        <v>0</v>
      </c>
      <c r="V49" s="4">
        <f>'תקציב מינהל תפעול 2022'!V68</f>
        <v>0</v>
      </c>
      <c r="W49" s="4">
        <f>'תקציב מינהל תפעול 2022'!W68</f>
        <v>0</v>
      </c>
      <c r="X49" s="4">
        <f>'תקציב מינהל תפעול 2022'!X68</f>
        <v>0</v>
      </c>
      <c r="Y49" s="4">
        <f>'תקציב מינהל תפעול 2022'!Y68</f>
        <v>0</v>
      </c>
      <c r="Z49" s="4">
        <f>'תקציב מינהל תפעול 2022'!Z68</f>
        <v>0</v>
      </c>
      <c r="AA49" s="4">
        <f>'תקציב מינהל תפעול 2022'!AA68</f>
        <v>0</v>
      </c>
      <c r="AB49" s="255" t="str">
        <f>'תקציב מינהל תפעול 2022'!AB68</f>
        <v xml:space="preserve">רכישת אופנוע ים כולל זיווד. מימון מ. הפנים. </v>
      </c>
      <c r="AC49" s="3">
        <f>'תקציב מינהל תפעול 2022'!AC68</f>
        <v>747000</v>
      </c>
      <c r="AD49" s="480"/>
      <c r="AE49" s="475"/>
      <c r="AF49" s="475"/>
      <c r="AG49" s="475"/>
      <c r="AH49" s="476"/>
      <c r="AI49" s="482"/>
      <c r="AJ49" s="482"/>
      <c r="AK49" s="364"/>
      <c r="AL49" s="493" t="s">
        <v>165</v>
      </c>
      <c r="AM49" s="478"/>
      <c r="AN49" s="364"/>
      <c r="AO49" s="364"/>
      <c r="AP49" s="4"/>
      <c r="AQ49" s="4"/>
      <c r="AR49" s="669"/>
      <c r="AS49" s="669"/>
      <c r="AT49" s="4"/>
    </row>
    <row r="50" spans="1:46" ht="30" customHeight="1">
      <c r="A50" s="3">
        <f t="shared" si="5"/>
        <v>41</v>
      </c>
      <c r="B50" s="3">
        <f>'תקציב מינהל תפעול 2022'!B69</f>
        <v>2137</v>
      </c>
      <c r="C50" s="255" t="str">
        <f>'תקציב מינהל תפעול 2022'!C69</f>
        <v>ציוד הצלה ובטיחות 2019</v>
      </c>
      <c r="D50" s="4">
        <f>'תקציב מינהל תפעול 2022'!D69</f>
        <v>50000</v>
      </c>
      <c r="E50" s="4">
        <f>'תקציב מינהל תפעול 2022'!E69</f>
        <v>50000</v>
      </c>
      <c r="F50" s="4">
        <f>'תקציב מינהל תפעול 2022'!F69</f>
        <v>0</v>
      </c>
      <c r="G50" s="4">
        <f>'תקציב מינהל תפעול 2022'!G69</f>
        <v>50000</v>
      </c>
      <c r="H50" s="4">
        <f>'תקציב מינהל תפעול 2022'!H69</f>
        <v>5664</v>
      </c>
      <c r="I50" s="4">
        <f>'תקציב מינהל תפעול 2022'!I69</f>
        <v>0</v>
      </c>
      <c r="J50" s="4">
        <f>'תקציב מינהל תפעול 2022'!J69</f>
        <v>34515</v>
      </c>
      <c r="K50" s="4">
        <f>'תקציב מינהל תפעול 2022'!K69</f>
        <v>34515</v>
      </c>
      <c r="L50" s="4">
        <f>'תקציב מינהל תפעול 2022'!L69</f>
        <v>40179</v>
      </c>
      <c r="M50" s="4">
        <f>'תקציב מינהל תפעול 2022'!M69</f>
        <v>9821</v>
      </c>
      <c r="N50" s="4">
        <f>'תקציב מינהל תפעול 2022'!N69</f>
        <v>0</v>
      </c>
      <c r="O50" s="4">
        <f>'תקציב מינהל תפעול 2022'!O69</f>
        <v>0</v>
      </c>
      <c r="P50" s="4">
        <f>'תקציב מינהל תפעול 2022'!P69</f>
        <v>9821</v>
      </c>
      <c r="Q50" s="4">
        <f>'תקציב מינהל תפעול 2022'!Q69</f>
        <v>0</v>
      </c>
      <c r="R50" s="4">
        <f>'תקציב מינהל תפעול 2022'!R69</f>
        <v>0</v>
      </c>
      <c r="S50" s="4">
        <f>'תקציב מינהל תפעול 2022'!S69</f>
        <v>0</v>
      </c>
      <c r="T50" s="4">
        <f>'תקציב מינהל תפעול 2022'!T69</f>
        <v>0</v>
      </c>
      <c r="U50" s="4">
        <f>'תקציב מינהל תפעול 2022'!U69</f>
        <v>0</v>
      </c>
      <c r="V50" s="4">
        <f>'תקציב מינהל תפעול 2022'!V69</f>
        <v>0</v>
      </c>
      <c r="W50" s="4">
        <f>'תקציב מינהל תפעול 2022'!W69</f>
        <v>0</v>
      </c>
      <c r="X50" s="4">
        <f>'תקציב מינהל תפעול 2022'!X69</f>
        <v>0</v>
      </c>
      <c r="Y50" s="4">
        <f>'תקציב מינהל תפעול 2022'!Y69</f>
        <v>0</v>
      </c>
      <c r="Z50" s="4">
        <f>'תקציב מינהל תפעול 2022'!Z69</f>
        <v>0</v>
      </c>
      <c r="AA50" s="4">
        <f>'תקציב מינהל תפעול 2022'!AA69</f>
        <v>0</v>
      </c>
      <c r="AB50" s="255" t="str">
        <f>'תקציב מינהל תפעול 2022'!AB69</f>
        <v xml:space="preserve">החלפה והוספת ציוד הצלה ובטיחות. מימון מ. הפנים. </v>
      </c>
      <c r="AC50" s="3">
        <f>'תקציב מינהל תפעול 2022'!AC69</f>
        <v>747000</v>
      </c>
      <c r="AD50" s="480"/>
      <c r="AE50" s="475"/>
      <c r="AF50" s="475"/>
      <c r="AG50" s="475"/>
      <c r="AH50" s="476"/>
      <c r="AI50" s="482"/>
      <c r="AJ50" s="482"/>
      <c r="AK50" s="364"/>
      <c r="AL50" s="493" t="s">
        <v>165</v>
      </c>
      <c r="AM50" s="478"/>
      <c r="AN50" s="364"/>
      <c r="AO50" s="364"/>
      <c r="AP50" s="4"/>
      <c r="AQ50" s="4"/>
      <c r="AR50" s="669"/>
      <c r="AS50" s="669"/>
      <c r="AT50" s="4"/>
    </row>
    <row r="51" spans="1:46" ht="30" customHeight="1">
      <c r="A51" s="3">
        <f t="shared" si="5"/>
        <v>42</v>
      </c>
      <c r="B51" s="3">
        <f>'תקציב מינהל תפעול 2022'!B70</f>
        <v>2138</v>
      </c>
      <c r="C51" s="255" t="str">
        <f>'תקציב מינהל תפעול 2022'!C70</f>
        <v>אופנוע ים 2019</v>
      </c>
      <c r="D51" s="4">
        <f>'תקציב מינהל תפעול 2022'!D70</f>
        <v>80000</v>
      </c>
      <c r="E51" s="4">
        <f>'תקציב מינהל תפעול 2022'!E70</f>
        <v>80000</v>
      </c>
      <c r="F51" s="4">
        <f>'תקציב מינהל תפעול 2022'!F70</f>
        <v>0</v>
      </c>
      <c r="G51" s="4">
        <f>'תקציב מינהל תפעול 2022'!G70</f>
        <v>80000</v>
      </c>
      <c r="H51" s="4">
        <f>'תקציב מינהל תפעול 2022'!H70</f>
        <v>0</v>
      </c>
      <c r="I51" s="4">
        <f>'תקציב מינהל תפעול 2022'!I70</f>
        <v>0</v>
      </c>
      <c r="J51" s="4">
        <f>'תקציב מינהל תפעול 2022'!J70</f>
        <v>79750</v>
      </c>
      <c r="K51" s="4">
        <f>'תקציב מינהל תפעול 2022'!K70</f>
        <v>79750</v>
      </c>
      <c r="L51" s="4">
        <f>'תקציב מינהל תפעול 2022'!L70</f>
        <v>79750</v>
      </c>
      <c r="M51" s="4">
        <f>'תקציב מינהל תפעול 2022'!M70</f>
        <v>250</v>
      </c>
      <c r="N51" s="4">
        <f>'תקציב מינהל תפעול 2022'!N70</f>
        <v>0</v>
      </c>
      <c r="O51" s="4">
        <f>'תקציב מינהל תפעול 2022'!O70</f>
        <v>0</v>
      </c>
      <c r="P51" s="4">
        <f>'תקציב מינהל תפעול 2022'!P70</f>
        <v>250</v>
      </c>
      <c r="Q51" s="4">
        <f>'תקציב מינהל תפעול 2022'!Q70</f>
        <v>0</v>
      </c>
      <c r="R51" s="4">
        <f>'תקציב מינהל תפעול 2022'!R70</f>
        <v>0</v>
      </c>
      <c r="S51" s="4">
        <f>'תקציב מינהל תפעול 2022'!S70</f>
        <v>0</v>
      </c>
      <c r="T51" s="4">
        <f>'תקציב מינהל תפעול 2022'!T70</f>
        <v>0</v>
      </c>
      <c r="U51" s="4">
        <f>'תקציב מינהל תפעול 2022'!U70</f>
        <v>0</v>
      </c>
      <c r="V51" s="4">
        <f>'תקציב מינהל תפעול 2022'!V70</f>
        <v>0</v>
      </c>
      <c r="W51" s="4">
        <f>'תקציב מינהל תפעול 2022'!W70</f>
        <v>0</v>
      </c>
      <c r="X51" s="4">
        <f>'תקציב מינהל תפעול 2022'!X70</f>
        <v>0</v>
      </c>
      <c r="Y51" s="4">
        <f>'תקציב מינהל תפעול 2022'!Y70</f>
        <v>0</v>
      </c>
      <c r="Z51" s="4">
        <f>'תקציב מינהל תפעול 2022'!Z70</f>
        <v>0</v>
      </c>
      <c r="AA51" s="4">
        <f>'תקציב מינהל תפעול 2022'!AA70</f>
        <v>0</v>
      </c>
      <c r="AB51" s="255" t="str">
        <f>'תקציב מינהל תפעול 2022'!AB70</f>
        <v xml:space="preserve">החלפה והוספת ציוד הצלה ובטיחות. מימון מ. הפנים. </v>
      </c>
      <c r="AC51" s="3">
        <f>'תקציב מינהל תפעול 2022'!AC70</f>
        <v>747000</v>
      </c>
      <c r="AD51" s="480"/>
      <c r="AE51" s="475"/>
      <c r="AF51" s="475"/>
      <c r="AG51" s="475"/>
      <c r="AH51" s="476"/>
      <c r="AI51" s="482"/>
      <c r="AJ51" s="482"/>
      <c r="AK51" s="364"/>
      <c r="AL51" s="493" t="s">
        <v>165</v>
      </c>
      <c r="AM51" s="478"/>
      <c r="AN51" s="364"/>
      <c r="AO51" s="364"/>
      <c r="AP51" s="4"/>
      <c r="AQ51" s="4"/>
      <c r="AR51" s="669"/>
      <c r="AS51" s="669"/>
      <c r="AT51" s="4"/>
    </row>
    <row r="52" spans="1:46" ht="30" customHeight="1">
      <c r="A52" s="3">
        <f t="shared" si="5"/>
        <v>43</v>
      </c>
      <c r="B52" s="3">
        <f>'תקציב מינהל תפעול 2022'!B83</f>
        <v>2181</v>
      </c>
      <c r="C52" s="255" t="str">
        <f>'תקציב מינהל תפעול 2022'!C83</f>
        <v>טיפול במפגעי בטיחות במצוק</v>
      </c>
      <c r="D52" s="4">
        <f>'תקציב מינהל תפעול 2022'!D83</f>
        <v>1259000</v>
      </c>
      <c r="E52" s="4">
        <f>'תקציב מינהל תפעול 2022'!E83</f>
        <v>1259000</v>
      </c>
      <c r="F52" s="4">
        <f>'תקציב מינהל תפעול 2022'!F83</f>
        <v>0</v>
      </c>
      <c r="G52" s="4">
        <f>'תקציב מינהל תפעול 2022'!G83</f>
        <v>1259000</v>
      </c>
      <c r="H52" s="4">
        <f>'תקציב מינהל תפעול 2022'!H83</f>
        <v>1191759</v>
      </c>
      <c r="I52" s="4">
        <f>'תקציב מינהל תפעול 2022'!I83</f>
        <v>0</v>
      </c>
      <c r="J52" s="4">
        <f>'תקציב מינהל תפעול 2022'!J83</f>
        <v>0</v>
      </c>
      <c r="K52" s="4">
        <f>'תקציב מינהל תפעול 2022'!K83</f>
        <v>0</v>
      </c>
      <c r="L52" s="4">
        <f>'תקציב מינהל תפעול 2022'!L83</f>
        <v>1191759</v>
      </c>
      <c r="M52" s="4">
        <f>'תקציב מינהל תפעול 2022'!M83</f>
        <v>67241</v>
      </c>
      <c r="N52" s="4">
        <f>'תקציב מינהל תפעול 2022'!N83</f>
        <v>0</v>
      </c>
      <c r="O52" s="4">
        <f>'תקציב מינהל תפעול 2022'!O83</f>
        <v>0</v>
      </c>
      <c r="P52" s="4">
        <f>'תקציב מינהל תפעול 2022'!P83</f>
        <v>67241</v>
      </c>
      <c r="Q52" s="4">
        <f>'תקציב מינהל תפעול 2022'!Q83</f>
        <v>0</v>
      </c>
      <c r="R52" s="4">
        <f>'תקציב מינהל תפעול 2022'!R83</f>
        <v>0</v>
      </c>
      <c r="S52" s="4">
        <f>'תקציב מינהל תפעול 2022'!S83</f>
        <v>0</v>
      </c>
      <c r="T52" s="4">
        <f>'תקציב מינהל תפעול 2022'!T83</f>
        <v>0</v>
      </c>
      <c r="U52" s="4">
        <f>'תקציב מינהל תפעול 2022'!U83</f>
        <v>0</v>
      </c>
      <c r="V52" s="4">
        <f>'תקציב מינהל תפעול 2022'!V83</f>
        <v>0</v>
      </c>
      <c r="W52" s="4">
        <f>'תקציב מינהל תפעול 2022'!W83</f>
        <v>0</v>
      </c>
      <c r="X52" s="4">
        <f>'תקציב מינהל תפעול 2022'!X83</f>
        <v>0</v>
      </c>
      <c r="Y52" s="4">
        <f>'תקציב מינהל תפעול 2022'!Y83</f>
        <v>0</v>
      </c>
      <c r="Z52" s="4">
        <f>'תקציב מינהל תפעול 2022'!Z83</f>
        <v>0</v>
      </c>
      <c r="AA52" s="4">
        <f>'תקציב מינהל תפעול 2022'!AA83</f>
        <v>0</v>
      </c>
      <c r="AB52" s="255" t="str">
        <f>'תקציב מינהל תפעול 2022'!AB83</f>
        <v>ביצוע עבודות לטיפול במפגעי בטיחות במצוק. מימון מ. הפנים.</v>
      </c>
      <c r="AC52" s="3">
        <f>'תקציב מינהל תפעול 2022'!AC83</f>
        <v>747000</v>
      </c>
      <c r="AD52" s="480"/>
      <c r="AE52" s="484" t="s">
        <v>1376</v>
      </c>
      <c r="AF52" s="475"/>
      <c r="AG52" s="475"/>
      <c r="AH52" s="476"/>
      <c r="AI52" s="482" t="s">
        <v>1377</v>
      </c>
      <c r="AJ52" s="482" t="s">
        <v>1377</v>
      </c>
      <c r="AK52" s="364" t="s">
        <v>1377</v>
      </c>
      <c r="AL52" s="493" t="s">
        <v>1185</v>
      </c>
      <c r="AM52" s="478"/>
      <c r="AN52" s="364"/>
      <c r="AO52" s="364" t="s">
        <v>1377</v>
      </c>
      <c r="AP52" s="4"/>
      <c r="AQ52" s="4"/>
      <c r="AR52" s="669"/>
      <c r="AS52" s="669"/>
      <c r="AT52" s="4"/>
    </row>
    <row r="53" spans="1:46" ht="30" customHeight="1">
      <c r="A53" s="3">
        <f t="shared" si="5"/>
        <v>44</v>
      </c>
      <c r="B53" s="3">
        <f>'תקציב מינהל תפעול 2022'!B91</f>
        <v>2221</v>
      </c>
      <c r="C53" s="255" t="str">
        <f>'תקציב מינהל תפעול 2022'!C91</f>
        <v>ציוד הצלה ובטיחות 2020</v>
      </c>
      <c r="D53" s="4">
        <f>'תקציב מינהל תפעול 2022'!D91</f>
        <v>91304</v>
      </c>
      <c r="E53" s="4">
        <f>'תקציב מינהל תפעול 2022'!E91</f>
        <v>91304</v>
      </c>
      <c r="F53" s="4">
        <f>'תקציב מינהל תפעול 2022'!F91</f>
        <v>0</v>
      </c>
      <c r="G53" s="4">
        <f>'תקציב מינהל תפעול 2022'!G91</f>
        <v>91304</v>
      </c>
      <c r="H53" s="4">
        <f>'תקציב מינהל תפעול 2022'!H91</f>
        <v>0</v>
      </c>
      <c r="I53" s="4">
        <f>'תקציב מינהל תפעול 2022'!I91</f>
        <v>0</v>
      </c>
      <c r="J53" s="4">
        <f>'תקציב מינהל תפעול 2022'!J91</f>
        <v>61850</v>
      </c>
      <c r="K53" s="4">
        <f>'תקציב מינהל תפעול 2022'!K91</f>
        <v>61850</v>
      </c>
      <c r="L53" s="4">
        <f>'תקציב מינהל תפעול 2022'!L91</f>
        <v>61850</v>
      </c>
      <c r="M53" s="4">
        <f>'תקציב מינהל תפעול 2022'!M91</f>
        <v>29454</v>
      </c>
      <c r="N53" s="4">
        <f>'תקציב מינהל תפעול 2022'!N91</f>
        <v>0</v>
      </c>
      <c r="O53" s="4">
        <f>'תקציב מינהל תפעול 2022'!O91</f>
        <v>0</v>
      </c>
      <c r="P53" s="4">
        <f>'תקציב מינהל תפעול 2022'!P91</f>
        <v>29454</v>
      </c>
      <c r="Q53" s="4">
        <f>'תקציב מינהל תפעול 2022'!Q91</f>
        <v>0</v>
      </c>
      <c r="R53" s="4">
        <f>'תקציב מינהל תפעול 2022'!R91</f>
        <v>0</v>
      </c>
      <c r="S53" s="4">
        <f>'תקציב מינהל תפעול 2022'!S91</f>
        <v>0</v>
      </c>
      <c r="T53" s="4">
        <f>'תקציב מינהל תפעול 2022'!T91</f>
        <v>0</v>
      </c>
      <c r="U53" s="4">
        <f>'תקציב מינהל תפעול 2022'!U91</f>
        <v>0</v>
      </c>
      <c r="V53" s="4">
        <f>'תקציב מינהל תפעול 2022'!V91</f>
        <v>0</v>
      </c>
      <c r="W53" s="4">
        <f>'תקציב מינהל תפעול 2022'!W91</f>
        <v>0</v>
      </c>
      <c r="X53" s="4">
        <f>'תקציב מינהל תפעול 2022'!X91</f>
        <v>0</v>
      </c>
      <c r="Y53" s="4">
        <f>'תקציב מינהל תפעול 2022'!Y91</f>
        <v>0</v>
      </c>
      <c r="Z53" s="4">
        <f>'תקציב מינהל תפעול 2022'!Z91</f>
        <v>0</v>
      </c>
      <c r="AA53" s="4">
        <f>'תקציב מינהל תפעול 2022'!AA91</f>
        <v>0</v>
      </c>
      <c r="AB53" s="255" t="str">
        <f>'תקציב מינהל תפעול 2022'!AB91</f>
        <v>מימון מ. הפנים.</v>
      </c>
      <c r="AC53" s="3">
        <f>'תקציב מינהל תפעול 2022'!AC91</f>
        <v>747000</v>
      </c>
      <c r="AD53" s="480"/>
      <c r="AE53" s="475"/>
      <c r="AF53" s="475"/>
      <c r="AG53" s="475"/>
      <c r="AH53" s="476"/>
      <c r="AI53" s="482"/>
      <c r="AJ53" s="482"/>
      <c r="AK53" s="364"/>
      <c r="AL53" s="493" t="s">
        <v>165</v>
      </c>
      <c r="AM53" s="478"/>
      <c r="AN53" s="364"/>
      <c r="AO53" s="364"/>
      <c r="AP53" s="4"/>
      <c r="AQ53" s="4"/>
      <c r="AR53" s="669"/>
      <c r="AS53" s="669"/>
      <c r="AT53" s="4"/>
    </row>
    <row r="54" spans="1:46" ht="30" customHeight="1">
      <c r="A54" s="3">
        <f t="shared" si="5"/>
        <v>45</v>
      </c>
      <c r="B54" s="3">
        <f>'תקציב מינהל תפעול 2022'!B93</f>
        <v>2226</v>
      </c>
      <c r="C54" s="255" t="str">
        <f>'תקציב מינהל תפעול 2022'!C93</f>
        <v>מיול וזיווד חופים 2020 מ.הפנים</v>
      </c>
      <c r="D54" s="4">
        <f>'תקציב מינהל תפעול 2022'!D93</f>
        <v>91304</v>
      </c>
      <c r="E54" s="4">
        <f>'תקציב מינהל תפעול 2022'!E93</f>
        <v>91304</v>
      </c>
      <c r="F54" s="4">
        <f>'תקציב מינהל תפעול 2022'!F93</f>
        <v>0</v>
      </c>
      <c r="G54" s="4">
        <f>'תקציב מינהל תפעול 2022'!G93</f>
        <v>91304</v>
      </c>
      <c r="H54" s="4">
        <f>'תקציב מינהל תפעול 2022'!H93</f>
        <v>0</v>
      </c>
      <c r="I54" s="4">
        <f>'תקציב מינהל תפעול 2022'!I93</f>
        <v>0</v>
      </c>
      <c r="J54" s="4">
        <f>'תקציב מינהל תפעול 2022'!J93</f>
        <v>91304</v>
      </c>
      <c r="K54" s="4">
        <f>'תקציב מינהל תפעול 2022'!K93</f>
        <v>91304</v>
      </c>
      <c r="L54" s="4">
        <f>'תקציב מינהל תפעול 2022'!L93</f>
        <v>91304</v>
      </c>
      <c r="M54" s="4">
        <f>'תקציב מינהל תפעול 2022'!M93</f>
        <v>0</v>
      </c>
      <c r="N54" s="4">
        <f>'תקציב מינהל תפעול 2022'!N93</f>
        <v>0</v>
      </c>
      <c r="O54" s="4">
        <f>'תקציב מינהל תפעול 2022'!O93</f>
        <v>0</v>
      </c>
      <c r="P54" s="4">
        <f>'תקציב מינהל תפעול 2022'!P93</f>
        <v>0</v>
      </c>
      <c r="Q54" s="4">
        <f>'תקציב מינהל תפעול 2022'!Q93</f>
        <v>0</v>
      </c>
      <c r="R54" s="4">
        <f>'תקציב מינהל תפעול 2022'!R93</f>
        <v>0</v>
      </c>
      <c r="S54" s="4">
        <f>'תקציב מינהל תפעול 2022'!S93</f>
        <v>0</v>
      </c>
      <c r="T54" s="4">
        <f>'תקציב מינהל תפעול 2022'!T93</f>
        <v>0</v>
      </c>
      <c r="U54" s="4">
        <f>'תקציב מינהל תפעול 2022'!U93</f>
        <v>0</v>
      </c>
      <c r="V54" s="4">
        <f>'תקציב מינהל תפעול 2022'!V93</f>
        <v>0</v>
      </c>
      <c r="W54" s="4">
        <f>'תקציב מינהל תפעול 2022'!W93</f>
        <v>0</v>
      </c>
      <c r="X54" s="4">
        <f>'תקציב מינהל תפעול 2022'!X93</f>
        <v>0</v>
      </c>
      <c r="Y54" s="4">
        <f>'תקציב מינהל תפעול 2022'!Y93</f>
        <v>0</v>
      </c>
      <c r="Z54" s="4">
        <f>'תקציב מינהל תפעול 2022'!Z93</f>
        <v>0</v>
      </c>
      <c r="AA54" s="4">
        <f>'תקציב מינהל תפעול 2022'!AA93</f>
        <v>0</v>
      </c>
      <c r="AB54" s="255" t="str">
        <f>'תקציב מינהל תפעול 2022'!AB93</f>
        <v>מימון מ. הפנים.</v>
      </c>
      <c r="AC54" s="3">
        <f>'תקציב מינהל תפעול 2022'!AC93</f>
        <v>747000</v>
      </c>
      <c r="AD54" s="480"/>
      <c r="AE54" s="475"/>
      <c r="AF54" s="475"/>
      <c r="AG54" s="475"/>
      <c r="AH54" s="476"/>
      <c r="AI54" s="482"/>
      <c r="AJ54" s="482"/>
      <c r="AK54" s="364"/>
      <c r="AL54" s="493" t="s">
        <v>165</v>
      </c>
      <c r="AM54" s="478"/>
      <c r="AN54" s="364"/>
      <c r="AO54" s="364"/>
      <c r="AP54" s="4"/>
      <c r="AQ54" s="4"/>
      <c r="AR54" s="669"/>
      <c r="AS54" s="669"/>
      <c r="AT54" s="4"/>
    </row>
    <row r="55" spans="1:46" ht="30" customHeight="1">
      <c r="A55" s="3">
        <f t="shared" si="5"/>
        <v>46</v>
      </c>
      <c r="B55" s="3">
        <f>'תקציב מינהל תפעול 2022'!B101</f>
        <v>2238</v>
      </c>
      <c r="C55" s="255" t="str">
        <f>'תקציב מינהל תפעול 2022'!C101</f>
        <v>הגנת מצוקי הים</v>
      </c>
      <c r="D55" s="4">
        <f>'תקציב מינהל תפעול 2022'!D101</f>
        <v>5100000</v>
      </c>
      <c r="E55" s="4">
        <f>'תקציב מינהל תפעול 2022'!E101</f>
        <v>3100000</v>
      </c>
      <c r="F55" s="4">
        <f>'תקציב מינהל תפעול 2022'!F101</f>
        <v>2000000</v>
      </c>
      <c r="G55" s="4">
        <f>'תקציב מינהל תפעול 2022'!G101</f>
        <v>3100000</v>
      </c>
      <c r="H55" s="4">
        <f>'תקציב מינהל תפעול 2022'!H101</f>
        <v>561258</v>
      </c>
      <c r="I55" s="4">
        <f>'תקציב מינהל תפעול 2022'!I101</f>
        <v>0</v>
      </c>
      <c r="J55" s="4">
        <f>'תקציב מינהל תפעול 2022'!J101</f>
        <v>560353</v>
      </c>
      <c r="K55" s="4">
        <f>'תקציב מינהל תפעול 2022'!K101</f>
        <v>560353</v>
      </c>
      <c r="L55" s="4">
        <f>'תקציב מינהל תפעול 2022'!L101</f>
        <v>1121611</v>
      </c>
      <c r="M55" s="4">
        <f>'תקציב מינהל תפעול 2022'!M101</f>
        <v>1978389</v>
      </c>
      <c r="N55" s="4">
        <f>'תקציב מינהל תפעול 2022'!N101</f>
        <v>2000000</v>
      </c>
      <c r="O55" s="4">
        <f>'תקציב מינהל תפעול 2022'!O101</f>
        <v>0</v>
      </c>
      <c r="P55" s="4">
        <f>'תקציב מינהל תפעול 2022'!P101</f>
        <v>1978389</v>
      </c>
      <c r="Q55" s="4">
        <f>'תקציב מינהל תפעול 2022'!Q101</f>
        <v>0</v>
      </c>
      <c r="R55" s="4">
        <f>'תקציב מינהל תפעול 2022'!R101</f>
        <v>0</v>
      </c>
      <c r="S55" s="4">
        <f>'תקציב מינהל תפעול 2022'!S101</f>
        <v>0</v>
      </c>
      <c r="T55" s="4">
        <f>'תקציב מינהל תפעול 2022'!T101</f>
        <v>0</v>
      </c>
      <c r="U55" s="4">
        <f>'תקציב מינהל תפעול 2022'!U101</f>
        <v>2000000</v>
      </c>
      <c r="V55" s="4">
        <f>'תקציב מינהל תפעול 2022'!V101</f>
        <v>2000000</v>
      </c>
      <c r="W55" s="4">
        <f>'תקציב מינהל תפעול 2022'!W101</f>
        <v>0</v>
      </c>
      <c r="X55" s="4">
        <f>'תקציב מינהל תפעול 2022'!X101</f>
        <v>0</v>
      </c>
      <c r="Y55" s="4">
        <f>'תקציב מינהל תפעול 2022'!Y101</f>
        <v>0</v>
      </c>
      <c r="Z55" s="4">
        <f>'תקציב מינהל תפעול 2022'!Z101</f>
        <v>0</v>
      </c>
      <c r="AA55" s="4">
        <f>'תקציב מינהל תפעול 2022'!AA101</f>
        <v>0</v>
      </c>
      <c r="AB55" s="255" t="str">
        <f>'תקציב מינהל תפעול 2022'!AB101</f>
        <v>עבודות עפר,בטיחות וגידור לטיפול במצוקים בחופי הים</v>
      </c>
      <c r="AC55" s="3">
        <f>'תקציב מינהל תפעול 2022'!AC101</f>
        <v>747000</v>
      </c>
      <c r="AD55" s="480"/>
      <c r="AE55" s="482" t="s">
        <v>1415</v>
      </c>
      <c r="AF55" s="475"/>
      <c r="AG55" s="475" t="s">
        <v>1416</v>
      </c>
      <c r="AH55" s="476"/>
      <c r="AI55" s="482" t="s">
        <v>1417</v>
      </c>
      <c r="AJ55" s="482" t="s">
        <v>1417</v>
      </c>
      <c r="AK55" s="364" t="s">
        <v>1417</v>
      </c>
      <c r="AL55" s="477" t="s">
        <v>1160</v>
      </c>
      <c r="AM55" s="478">
        <v>1</v>
      </c>
      <c r="AN55" s="364"/>
      <c r="AO55" s="364" t="s">
        <v>1417</v>
      </c>
      <c r="AP55" s="4"/>
      <c r="AQ55" s="4"/>
      <c r="AR55" s="669"/>
      <c r="AS55" s="669"/>
      <c r="AT55" s="4"/>
    </row>
    <row r="56" spans="1:46" ht="47.45" customHeight="1">
      <c r="A56" s="3">
        <f t="shared" si="5"/>
        <v>47</v>
      </c>
      <c r="B56" s="3">
        <f>'תקציב מינהל תפעול 2022'!B108</f>
        <v>20022</v>
      </c>
      <c r="C56" s="255" t="str">
        <f>'תקציב מינהל תפעול 2022'!C108</f>
        <v>רכישת טרקטור לחוף הים</v>
      </c>
      <c r="D56" s="4">
        <f>'תקציב מינהל תפעול 2022'!D108</f>
        <v>180000</v>
      </c>
      <c r="E56" s="4">
        <f>'תקציב מינהל תפעול 2022'!E108</f>
        <v>0</v>
      </c>
      <c r="F56" s="4">
        <f>'תקציב מינהל תפעול 2022'!F108</f>
        <v>180000</v>
      </c>
      <c r="G56" s="4">
        <f>'תקציב מינהל תפעול 2022'!G108</f>
        <v>0</v>
      </c>
      <c r="H56" s="4">
        <f>'תקציב מינהל תפעול 2022'!H108</f>
        <v>0</v>
      </c>
      <c r="I56" s="4">
        <f>'תקציב מינהל תפעול 2022'!I108</f>
        <v>0</v>
      </c>
      <c r="J56" s="4">
        <f>'תקציב מינהל תפעול 2022'!J108</f>
        <v>0</v>
      </c>
      <c r="K56" s="4">
        <f>'תקציב מינהל תפעול 2022'!K108</f>
        <v>0</v>
      </c>
      <c r="L56" s="4">
        <f>'תקציב מינהל תפעול 2022'!L108</f>
        <v>0</v>
      </c>
      <c r="M56" s="4">
        <f>'תקציב מינהל תפעול 2022'!M108</f>
        <v>0</v>
      </c>
      <c r="N56" s="4">
        <f>'תקציב מינהל תפעול 2022'!N108</f>
        <v>180000</v>
      </c>
      <c r="O56" s="4">
        <f>'תקציב מינהל תפעול 2022'!O108</f>
        <v>0</v>
      </c>
      <c r="P56" s="4">
        <f>'תקציב מינהל תפעול 2022'!P108</f>
        <v>0</v>
      </c>
      <c r="Q56" s="4">
        <f>'תקציב מינהל תפעול 2022'!Q108</f>
        <v>0</v>
      </c>
      <c r="R56" s="4">
        <f>'תקציב מינהל תפעול 2022'!R108</f>
        <v>0</v>
      </c>
      <c r="S56" s="4">
        <f>'תקציב מינהל תפעול 2022'!S108</f>
        <v>0</v>
      </c>
      <c r="T56" s="4">
        <f>'תקציב מינהל תפעול 2022'!T108</f>
        <v>0</v>
      </c>
      <c r="U56" s="4">
        <f>'תקציב מינהל תפעול 2022'!U108</f>
        <v>180000</v>
      </c>
      <c r="V56" s="4">
        <f>'תקציב מינהל תפעול 2022'!V108</f>
        <v>0</v>
      </c>
      <c r="W56" s="4">
        <f>'תקציב מינהל תפעול 2022'!W108</f>
        <v>180000</v>
      </c>
      <c r="X56" s="4">
        <f>'תקציב מינהל תפעול 2022'!X108</f>
        <v>0</v>
      </c>
      <c r="Y56" s="4">
        <f>'תקציב מינהל תפעול 2022'!Y108</f>
        <v>0</v>
      </c>
      <c r="Z56" s="4">
        <f>'תקציב מינהל תפעול 2022'!Z108</f>
        <v>0</v>
      </c>
      <c r="AA56" s="4">
        <f>'תקציב מינהל תפעול 2022'!AA108</f>
        <v>0</v>
      </c>
      <c r="AB56" s="255" t="str">
        <f>'תקציב מינהל תפעול 2022'!AB108</f>
        <v xml:space="preserve">רכישת טרקטור "קטן" מתאים לעבודות בחופים חלופה לטרקטור גדול קיים לא יעיל בשימוש. </v>
      </c>
      <c r="AC56" s="3">
        <f>'תקציב מינהל תפעול 2022'!AC108</f>
        <v>747000</v>
      </c>
      <c r="AD56" s="480"/>
      <c r="AE56" s="3" t="s">
        <v>1439</v>
      </c>
      <c r="AF56" s="511"/>
      <c r="AG56" s="480"/>
      <c r="AH56" s="480"/>
      <c r="AI56" s="3"/>
      <c r="AJ56" s="3"/>
      <c r="AK56" s="30"/>
      <c r="AL56" s="493" t="s">
        <v>165</v>
      </c>
      <c r="AM56" s="478">
        <v>1</v>
      </c>
      <c r="AN56" s="30"/>
      <c r="AO56" s="30"/>
      <c r="AP56" s="4"/>
      <c r="AQ56" s="4"/>
      <c r="AR56" s="638"/>
      <c r="AS56" s="669"/>
      <c r="AT56" s="4"/>
    </row>
    <row r="57" spans="1:46" ht="60">
      <c r="A57" s="3">
        <f t="shared" si="5"/>
        <v>48</v>
      </c>
      <c r="B57" s="3">
        <f>'תקציב מינהל תפעול 2022'!B109</f>
        <v>20023</v>
      </c>
      <c r="C57" s="255" t="str">
        <f>'תקציב מינהל תפעול 2022'!C109</f>
        <v>רכישת נפת חול לחופי הרחצה</v>
      </c>
      <c r="D57" s="4">
        <f>'תקציב מינהל תפעול 2022'!D109</f>
        <v>200000</v>
      </c>
      <c r="E57" s="4">
        <f>'תקציב מינהל תפעול 2022'!E109</f>
        <v>0</v>
      </c>
      <c r="F57" s="4">
        <f>'תקציב מינהל תפעול 2022'!F109</f>
        <v>200000</v>
      </c>
      <c r="G57" s="4">
        <f>'תקציב מינהל תפעול 2022'!G109</f>
        <v>0</v>
      </c>
      <c r="H57" s="4">
        <f>'תקציב מינהל תפעול 2022'!H109</f>
        <v>0</v>
      </c>
      <c r="I57" s="4">
        <f>'תקציב מינהל תפעול 2022'!I109</f>
        <v>0</v>
      </c>
      <c r="J57" s="4">
        <f>'תקציב מינהל תפעול 2022'!J109</f>
        <v>0</v>
      </c>
      <c r="K57" s="4">
        <f>'תקציב מינהל תפעול 2022'!K109</f>
        <v>0</v>
      </c>
      <c r="L57" s="4">
        <f>'תקציב מינהל תפעול 2022'!L109</f>
        <v>0</v>
      </c>
      <c r="M57" s="4">
        <f>'תקציב מינהל תפעול 2022'!M109</f>
        <v>0</v>
      </c>
      <c r="N57" s="4">
        <f>'תקציב מינהל תפעול 2022'!N109</f>
        <v>200000</v>
      </c>
      <c r="O57" s="4">
        <f>'תקציב מינהל תפעול 2022'!O109</f>
        <v>0</v>
      </c>
      <c r="P57" s="4">
        <f>'תקציב מינהל תפעול 2022'!P109</f>
        <v>0</v>
      </c>
      <c r="Q57" s="4">
        <f>'תקציב מינהל תפעול 2022'!Q109</f>
        <v>0</v>
      </c>
      <c r="R57" s="4">
        <f>'תקציב מינהל תפעול 2022'!R109</f>
        <v>0</v>
      </c>
      <c r="S57" s="4">
        <f>'תקציב מינהל תפעול 2022'!S109</f>
        <v>0</v>
      </c>
      <c r="T57" s="4">
        <f>'תקציב מינהל תפעול 2022'!T109</f>
        <v>0</v>
      </c>
      <c r="U57" s="4">
        <f>'תקציב מינהל תפעול 2022'!U109</f>
        <v>200000</v>
      </c>
      <c r="V57" s="4">
        <f>'תקציב מינהל תפעול 2022'!V109</f>
        <v>0</v>
      </c>
      <c r="W57" s="4">
        <f>'תקציב מינהל תפעול 2022'!W109</f>
        <v>0</v>
      </c>
      <c r="X57" s="4">
        <f>'תקציב מינהל תפעול 2022'!X109</f>
        <v>0</v>
      </c>
      <c r="Y57" s="4">
        <f>'תקציב מינהל תפעול 2022'!Y109</f>
        <v>0</v>
      </c>
      <c r="Z57" s="4">
        <f>'תקציב מינהל תפעול 2022'!Z109</f>
        <v>0</v>
      </c>
      <c r="AA57" s="4">
        <f>'תקציב מינהל תפעול 2022'!AA109</f>
        <v>200000</v>
      </c>
      <c r="AB57" s="255" t="str">
        <f>'תקציב מינהל תפעול 2022'!AB109</f>
        <v>רכישת נפת חול לסינון וניקוי החול בחופי הרחצה לתמיכה בטיפול בארוע זיהום הים בזפת. מימון מ. הגנת הסביבה.</v>
      </c>
      <c r="AC57" s="3">
        <f>'תקציב מינהל תפעול 2022'!AC109</f>
        <v>747000</v>
      </c>
      <c r="AD57" s="480"/>
      <c r="AE57" s="3" t="s">
        <v>689</v>
      </c>
      <c r="AF57" s="511"/>
      <c r="AG57" s="480"/>
      <c r="AH57" s="480"/>
      <c r="AI57" s="3"/>
      <c r="AJ57" s="3"/>
      <c r="AK57" s="32"/>
      <c r="AL57" s="493" t="s">
        <v>165</v>
      </c>
      <c r="AM57" s="478">
        <v>1</v>
      </c>
      <c r="AN57" s="32"/>
      <c r="AO57" s="30" t="s">
        <v>2215</v>
      </c>
      <c r="AP57" s="4"/>
      <c r="AQ57" s="4"/>
      <c r="AR57" s="638"/>
      <c r="AS57" s="669"/>
      <c r="AT57" s="4"/>
    </row>
    <row r="58" spans="1:46" ht="75">
      <c r="A58" s="3">
        <f t="shared" si="5"/>
        <v>49</v>
      </c>
      <c r="B58" s="3">
        <f>'תקציב מינהל תפעול 2022'!B110</f>
        <v>20024</v>
      </c>
      <c r="C58" s="255" t="str">
        <f>'תקציב מינהל תפעול 2022'!C110</f>
        <v>הקמת תחנות הצלה חוף אכדיה צפון וחוף סידני עלי</v>
      </c>
      <c r="D58" s="4">
        <f>'תקציב מינהל תפעול 2022'!D110</f>
        <v>800000</v>
      </c>
      <c r="E58" s="4">
        <f>'תקציב מינהל תפעול 2022'!E110</f>
        <v>0</v>
      </c>
      <c r="F58" s="4">
        <f>'תקציב מינהל תפעול 2022'!F110</f>
        <v>800000</v>
      </c>
      <c r="G58" s="4">
        <f>'תקציב מינהל תפעול 2022'!G110</f>
        <v>0</v>
      </c>
      <c r="H58" s="4">
        <f>'תקציב מינהל תפעול 2022'!H110</f>
        <v>0</v>
      </c>
      <c r="I58" s="4">
        <f>'תקציב מינהל תפעול 2022'!I110</f>
        <v>0</v>
      </c>
      <c r="J58" s="4">
        <f>'תקציב מינהל תפעול 2022'!J110</f>
        <v>0</v>
      </c>
      <c r="K58" s="4">
        <f>'תקציב מינהל תפעול 2022'!K110</f>
        <v>0</v>
      </c>
      <c r="L58" s="4">
        <f>'תקציב מינהל תפעול 2022'!L110</f>
        <v>0</v>
      </c>
      <c r="M58" s="4">
        <f>'תקציב מינהל תפעול 2022'!M110</f>
        <v>0</v>
      </c>
      <c r="N58" s="4">
        <f>'תקציב מינהל תפעול 2022'!N110</f>
        <v>400000</v>
      </c>
      <c r="O58" s="4">
        <f>'תקציב מינהל תפעול 2022'!O110</f>
        <v>400000</v>
      </c>
      <c r="P58" s="4">
        <f>'תקציב מינהל תפעול 2022'!P110</f>
        <v>0</v>
      </c>
      <c r="Q58" s="4">
        <f>'תקציב מינהל תפעול 2022'!Q110</f>
        <v>0</v>
      </c>
      <c r="R58" s="4">
        <f>'תקציב מינהל תפעול 2022'!R110</f>
        <v>0</v>
      </c>
      <c r="S58" s="4">
        <f>'תקציב מינהל תפעול 2022'!S110</f>
        <v>0</v>
      </c>
      <c r="T58" s="4">
        <f>'תקציב מינהל תפעול 2022'!T110</f>
        <v>0</v>
      </c>
      <c r="U58" s="4">
        <f>'תקציב מינהל תפעול 2022'!U110</f>
        <v>400000</v>
      </c>
      <c r="V58" s="4">
        <f>'תקציב מינהל תפעול 2022'!V110</f>
        <v>0</v>
      </c>
      <c r="W58" s="4">
        <f>'תקציב מינהל תפעול 2022'!W110</f>
        <v>230000</v>
      </c>
      <c r="X58" s="4">
        <f>'תקציב מינהל תפעול 2022'!X110</f>
        <v>0</v>
      </c>
      <c r="Y58" s="4">
        <f>'תקציב מינהל תפעול 2022'!Y110</f>
        <v>0</v>
      </c>
      <c r="Z58" s="4">
        <f>'תקציב מינהל תפעול 2022'!Z110</f>
        <v>0</v>
      </c>
      <c r="AA58" s="4">
        <f>'תקציב מינהל תפעול 2022'!AA110</f>
        <v>170000</v>
      </c>
      <c r="AB58" s="255" t="str">
        <f>'תקציב מינהל תפעול 2022'!AB110</f>
        <v xml:space="preserve">הקמת תחנות הצלה חדשות בחוף אכדיה צפון ובחוף סדני עלי. בקשה למימון למשרד הפנים תוגש בתחילת שנת 2022. </v>
      </c>
      <c r="AC58" s="3">
        <f>'תקציב מינהל תפעול 2022'!AC110</f>
        <v>747000</v>
      </c>
      <c r="AD58" s="480"/>
      <c r="AE58" s="3" t="s">
        <v>1441</v>
      </c>
      <c r="AF58" s="511"/>
      <c r="AG58" s="480"/>
      <c r="AH58" s="480"/>
      <c r="AI58" s="3" t="s">
        <v>1442</v>
      </c>
      <c r="AJ58" s="3" t="s">
        <v>1442</v>
      </c>
      <c r="AK58" s="30" t="s">
        <v>1443</v>
      </c>
      <c r="AL58" s="493" t="s">
        <v>165</v>
      </c>
      <c r="AM58" s="478"/>
      <c r="AN58" s="30" t="s">
        <v>1444</v>
      </c>
      <c r="AO58" s="643" t="s">
        <v>1445</v>
      </c>
      <c r="AP58" s="4"/>
      <c r="AQ58" s="4"/>
      <c r="AR58" s="671"/>
      <c r="AS58" s="669"/>
      <c r="AT58" s="4"/>
    </row>
    <row r="59" spans="1:46" ht="30" customHeight="1">
      <c r="A59" s="3">
        <f t="shared" si="5"/>
        <v>50</v>
      </c>
      <c r="B59" s="3">
        <f>'תקציב מינהל תפעול 2022'!B111</f>
        <v>20025</v>
      </c>
      <c r="C59" s="255" t="str">
        <f>'תקציב מינהל תפעול 2022'!C111</f>
        <v>שילוט בחופי רחצה 2021</v>
      </c>
      <c r="D59" s="4">
        <f>'תקציב מינהל תפעול 2022'!D111</f>
        <v>50000</v>
      </c>
      <c r="E59" s="4">
        <f>'תקציב מינהל תפעול 2022'!E111</f>
        <v>0</v>
      </c>
      <c r="F59" s="4">
        <f>'תקציב מינהל תפעול 2022'!F111</f>
        <v>50000</v>
      </c>
      <c r="G59" s="4">
        <f>'תקציב מינהל תפעול 2022'!G111</f>
        <v>0</v>
      </c>
      <c r="H59" s="4">
        <f>'תקציב מינהל תפעול 2022'!H111</f>
        <v>0</v>
      </c>
      <c r="I59" s="4">
        <f>'תקציב מינהל תפעול 2022'!I111</f>
        <v>0</v>
      </c>
      <c r="J59" s="4">
        <f>'תקציב מינהל תפעול 2022'!J111</f>
        <v>0</v>
      </c>
      <c r="K59" s="4">
        <f>'תקציב מינהל תפעול 2022'!K111</f>
        <v>0</v>
      </c>
      <c r="L59" s="4">
        <f>'תקציב מינהל תפעול 2022'!L111</f>
        <v>0</v>
      </c>
      <c r="M59" s="4">
        <f>'תקציב מינהל תפעול 2022'!M111</f>
        <v>0</v>
      </c>
      <c r="N59" s="4">
        <f>'תקציב מינהל תפעול 2022'!N111</f>
        <v>50000</v>
      </c>
      <c r="O59" s="4">
        <f>'תקציב מינהל תפעול 2022'!O111</f>
        <v>0</v>
      </c>
      <c r="P59" s="4">
        <f>'תקציב מינהל תפעול 2022'!P111</f>
        <v>0</v>
      </c>
      <c r="Q59" s="4">
        <f>'תקציב מינהל תפעול 2022'!Q111</f>
        <v>0</v>
      </c>
      <c r="R59" s="4">
        <f>'תקציב מינהל תפעול 2022'!R111</f>
        <v>0</v>
      </c>
      <c r="S59" s="4">
        <f>'תקציב מינהל תפעול 2022'!S111</f>
        <v>0</v>
      </c>
      <c r="T59" s="4">
        <f>'תקציב מינהל תפעול 2022'!T111</f>
        <v>0</v>
      </c>
      <c r="U59" s="4">
        <f>'תקציב מינהל תפעול 2022'!U111</f>
        <v>50000</v>
      </c>
      <c r="V59" s="4">
        <f>'תקציב מינהל תפעול 2022'!V111</f>
        <v>0</v>
      </c>
      <c r="W59" s="4">
        <f>'תקציב מינהל תפעול 2022'!W111</f>
        <v>0</v>
      </c>
      <c r="X59" s="4">
        <f>'תקציב מינהל תפעול 2022'!X111</f>
        <v>0</v>
      </c>
      <c r="Y59" s="4">
        <f>'תקציב מינהל תפעול 2022'!Y111</f>
        <v>0</v>
      </c>
      <c r="Z59" s="4">
        <f>'תקציב מינהל תפעול 2022'!Z111</f>
        <v>0</v>
      </c>
      <c r="AA59" s="4">
        <f>'תקציב מינהל תפעול 2022'!AA111</f>
        <v>50000</v>
      </c>
      <c r="AB59" s="255" t="str">
        <f>'תקציב מינהל תפעול 2022'!AB111</f>
        <v>מימון מ. הפנים.</v>
      </c>
      <c r="AC59" s="3">
        <f>'תקציב מינהל תפעול 2022'!AC111</f>
        <v>747000</v>
      </c>
      <c r="AD59" s="480"/>
      <c r="AE59" s="3" t="s">
        <v>689</v>
      </c>
      <c r="AF59" s="511"/>
      <c r="AG59" s="480"/>
      <c r="AH59" s="480"/>
      <c r="AI59" s="3"/>
      <c r="AJ59" s="3"/>
      <c r="AK59" s="30" t="s">
        <v>1447</v>
      </c>
      <c r="AL59" s="493" t="s">
        <v>165</v>
      </c>
      <c r="AM59" s="478">
        <v>1</v>
      </c>
      <c r="AN59" s="30"/>
      <c r="AO59" s="30" t="s">
        <v>1447</v>
      </c>
      <c r="AP59" s="4"/>
      <c r="AQ59" s="4"/>
      <c r="AR59" s="638"/>
      <c r="AS59" s="669"/>
      <c r="AT59" s="4"/>
    </row>
    <row r="60" spans="1:46" ht="30" customHeight="1">
      <c r="A60" s="3">
        <f t="shared" si="5"/>
        <v>51</v>
      </c>
      <c r="B60" s="3">
        <f>'תקציב מינהל תפעול 2022'!B112</f>
        <v>20026</v>
      </c>
      <c r="C60" s="255" t="str">
        <f>'תקציב מינהל תפעול 2022'!C112</f>
        <v>ציוד הצלה ובטיחות 2021</v>
      </c>
      <c r="D60" s="4">
        <f>'תקציב מינהל תפעול 2022'!D112</f>
        <v>50000</v>
      </c>
      <c r="E60" s="4">
        <f>'תקציב מינהל תפעול 2022'!E112</f>
        <v>0</v>
      </c>
      <c r="F60" s="4">
        <f>'תקציב מינהל תפעול 2022'!F112</f>
        <v>50000</v>
      </c>
      <c r="G60" s="4">
        <f>'תקציב מינהל תפעול 2022'!G112</f>
        <v>0</v>
      </c>
      <c r="H60" s="4">
        <f>'תקציב מינהל תפעול 2022'!H112</f>
        <v>0</v>
      </c>
      <c r="I60" s="4">
        <f>'תקציב מינהל תפעול 2022'!I112</f>
        <v>0</v>
      </c>
      <c r="J60" s="4">
        <f>'תקציב מינהל תפעול 2022'!J112</f>
        <v>0</v>
      </c>
      <c r="K60" s="4">
        <f>'תקציב מינהל תפעול 2022'!K112</f>
        <v>0</v>
      </c>
      <c r="L60" s="4">
        <f>'תקציב מינהל תפעול 2022'!L112</f>
        <v>0</v>
      </c>
      <c r="M60" s="4">
        <f>'תקציב מינהל תפעול 2022'!M112</f>
        <v>0</v>
      </c>
      <c r="N60" s="4">
        <f>'תקציב מינהל תפעול 2022'!N112</f>
        <v>50000</v>
      </c>
      <c r="O60" s="4">
        <f>'תקציב מינהל תפעול 2022'!O112</f>
        <v>0</v>
      </c>
      <c r="P60" s="4">
        <f>'תקציב מינהל תפעול 2022'!P112</f>
        <v>0</v>
      </c>
      <c r="Q60" s="4">
        <f>'תקציב מינהל תפעול 2022'!Q112</f>
        <v>0</v>
      </c>
      <c r="R60" s="4">
        <f>'תקציב מינהל תפעול 2022'!R112</f>
        <v>0</v>
      </c>
      <c r="S60" s="4">
        <f>'תקציב מינהל תפעול 2022'!S112</f>
        <v>0</v>
      </c>
      <c r="T60" s="4">
        <f>'תקציב מינהל תפעול 2022'!T112</f>
        <v>0</v>
      </c>
      <c r="U60" s="4">
        <f>'תקציב מינהל תפעול 2022'!U112</f>
        <v>50000</v>
      </c>
      <c r="V60" s="4">
        <f>'תקציב מינהל תפעול 2022'!V112</f>
        <v>0</v>
      </c>
      <c r="W60" s="4">
        <f>'תקציב מינהל תפעול 2022'!W112</f>
        <v>0</v>
      </c>
      <c r="X60" s="4">
        <f>'תקציב מינהל תפעול 2022'!X112</f>
        <v>0</v>
      </c>
      <c r="Y60" s="4">
        <f>'תקציב מינהל תפעול 2022'!Y112</f>
        <v>0</v>
      </c>
      <c r="Z60" s="4">
        <f>'תקציב מינהל תפעול 2022'!Z112</f>
        <v>0</v>
      </c>
      <c r="AA60" s="4">
        <f>'תקציב מינהל תפעול 2022'!AA112</f>
        <v>50000</v>
      </c>
      <c r="AB60" s="255" t="str">
        <f>'תקציב מינהל תפעול 2022'!AB112</f>
        <v>מימון מ. הפנים.</v>
      </c>
      <c r="AC60" s="3">
        <f>'תקציב מינהל תפעול 2022'!AC112</f>
        <v>747000</v>
      </c>
      <c r="AD60" s="480"/>
      <c r="AE60" s="3" t="s">
        <v>689</v>
      </c>
      <c r="AF60" s="511"/>
      <c r="AG60" s="480"/>
      <c r="AH60" s="480"/>
      <c r="AI60" s="3"/>
      <c r="AJ60" s="3"/>
      <c r="AK60" s="30" t="s">
        <v>1447</v>
      </c>
      <c r="AL60" s="493" t="s">
        <v>165</v>
      </c>
      <c r="AM60" s="478">
        <v>1</v>
      </c>
      <c r="AN60" s="30"/>
      <c r="AO60" s="30" t="s">
        <v>1447</v>
      </c>
      <c r="AP60" s="4"/>
      <c r="AQ60" s="4"/>
      <c r="AR60" s="638"/>
      <c r="AS60" s="669"/>
      <c r="AT60" s="4"/>
    </row>
    <row r="61" spans="1:46" ht="30" customHeight="1">
      <c r="A61" s="3">
        <f t="shared" si="5"/>
        <v>52</v>
      </c>
      <c r="B61" s="3">
        <f>'תקציב מינהל תפעול 2022'!B113</f>
        <v>20027</v>
      </c>
      <c r="C61" s="255" t="str">
        <f>'תקציב מינהל תפעול 2022'!C113</f>
        <v>רכישת אופנוע ים 2021</v>
      </c>
      <c r="D61" s="4">
        <f>'תקציב מינהל תפעול 2022'!D113</f>
        <v>82800</v>
      </c>
      <c r="E61" s="4">
        <f>'תקציב מינהל תפעול 2022'!E113</f>
        <v>0</v>
      </c>
      <c r="F61" s="4">
        <f>'תקציב מינהל תפעול 2022'!F113</f>
        <v>82800</v>
      </c>
      <c r="G61" s="4">
        <f>'תקציב מינהל תפעול 2022'!G113</f>
        <v>0</v>
      </c>
      <c r="H61" s="4">
        <f>'תקציב מינהל תפעול 2022'!H113</f>
        <v>0</v>
      </c>
      <c r="I61" s="4">
        <f>'תקציב מינהל תפעול 2022'!I113</f>
        <v>0</v>
      </c>
      <c r="J61" s="4">
        <f>'תקציב מינהל תפעול 2022'!J113</f>
        <v>0</v>
      </c>
      <c r="K61" s="4">
        <f>'תקציב מינהל תפעול 2022'!K113</f>
        <v>0</v>
      </c>
      <c r="L61" s="4">
        <f>'תקציב מינהל תפעול 2022'!L113</f>
        <v>0</v>
      </c>
      <c r="M61" s="4">
        <f>'תקציב מינהל תפעול 2022'!M113</f>
        <v>0</v>
      </c>
      <c r="N61" s="4">
        <f>'תקציב מינהל תפעול 2022'!N113</f>
        <v>82800</v>
      </c>
      <c r="O61" s="4">
        <f>'תקציב מינהל תפעול 2022'!O113</f>
        <v>0</v>
      </c>
      <c r="P61" s="4">
        <f>'תקציב מינהל תפעול 2022'!P113</f>
        <v>0</v>
      </c>
      <c r="Q61" s="4">
        <f>'תקציב מינהל תפעול 2022'!Q113</f>
        <v>0</v>
      </c>
      <c r="R61" s="4">
        <f>'תקציב מינהל תפעול 2022'!R113</f>
        <v>0</v>
      </c>
      <c r="S61" s="4">
        <f>'תקציב מינהל תפעול 2022'!S113</f>
        <v>0</v>
      </c>
      <c r="T61" s="4">
        <f>'תקציב מינהל תפעול 2022'!T113</f>
        <v>0</v>
      </c>
      <c r="U61" s="4">
        <f>'תקציב מינהל תפעול 2022'!U113</f>
        <v>82800</v>
      </c>
      <c r="V61" s="4">
        <f>'תקציב מינהל תפעול 2022'!V113</f>
        <v>0</v>
      </c>
      <c r="W61" s="4">
        <f>'תקציב מינהל תפעול 2022'!W113</f>
        <v>0</v>
      </c>
      <c r="X61" s="4">
        <f>'תקציב מינהל תפעול 2022'!X113</f>
        <v>0</v>
      </c>
      <c r="Y61" s="4">
        <f>'תקציב מינהל תפעול 2022'!Y113</f>
        <v>0</v>
      </c>
      <c r="Z61" s="4">
        <f>'תקציב מינהל תפעול 2022'!Z113</f>
        <v>0</v>
      </c>
      <c r="AA61" s="4">
        <f>'תקציב מינהל תפעול 2022'!AA113</f>
        <v>82800</v>
      </c>
      <c r="AB61" s="255" t="str">
        <f>'תקציב מינהל תפעול 2022'!AB113</f>
        <v>מימון מ. הפנים.</v>
      </c>
      <c r="AC61" s="3">
        <f>'תקציב מינהל תפעול 2022'!AC113</f>
        <v>747000</v>
      </c>
      <c r="AD61" s="480"/>
      <c r="AE61" s="3" t="s">
        <v>689</v>
      </c>
      <c r="AF61" s="511"/>
      <c r="AG61" s="480"/>
      <c r="AH61" s="480"/>
      <c r="AI61" s="3"/>
      <c r="AJ61" s="3"/>
      <c r="AK61" s="30" t="s">
        <v>1447</v>
      </c>
      <c r="AL61" s="493" t="s">
        <v>165</v>
      </c>
      <c r="AM61" s="478">
        <v>1</v>
      </c>
      <c r="AN61" s="30"/>
      <c r="AO61" s="30" t="s">
        <v>1447</v>
      </c>
      <c r="AP61" s="4"/>
      <c r="AQ61" s="4"/>
      <c r="AR61" s="638"/>
      <c r="AS61" s="669"/>
      <c r="AT61" s="4"/>
    </row>
    <row r="62" spans="1:46" s="414" customFormat="1" ht="25.15" customHeight="1">
      <c r="A62" s="7"/>
      <c r="B62" s="7"/>
      <c r="C62" s="16" t="s">
        <v>803</v>
      </c>
      <c r="D62" s="8">
        <f>SUM(D42:D61)</f>
        <v>18675528</v>
      </c>
      <c r="E62" s="8">
        <f t="shared" ref="E62:AA62" si="6">SUM(E42:E61)</f>
        <v>12912728</v>
      </c>
      <c r="F62" s="8">
        <f t="shared" si="6"/>
        <v>5762800</v>
      </c>
      <c r="G62" s="8">
        <f t="shared" si="6"/>
        <v>12312728</v>
      </c>
      <c r="H62" s="8">
        <f t="shared" si="6"/>
        <v>8503021</v>
      </c>
      <c r="I62" s="8">
        <f t="shared" si="6"/>
        <v>527347</v>
      </c>
      <c r="J62" s="8">
        <f t="shared" si="6"/>
        <v>1067601</v>
      </c>
      <c r="K62" s="8">
        <f t="shared" si="6"/>
        <v>1594948</v>
      </c>
      <c r="L62" s="8">
        <f t="shared" si="6"/>
        <v>10097969</v>
      </c>
      <c r="M62" s="8">
        <f t="shared" si="6"/>
        <v>2214759</v>
      </c>
      <c r="N62" s="8">
        <f t="shared" si="6"/>
        <v>5962800</v>
      </c>
      <c r="O62" s="8">
        <f t="shared" si="6"/>
        <v>400000</v>
      </c>
      <c r="P62" s="8">
        <f t="shared" si="6"/>
        <v>2214759</v>
      </c>
      <c r="Q62" s="8">
        <f t="shared" si="6"/>
        <v>0</v>
      </c>
      <c r="R62" s="8">
        <f t="shared" si="6"/>
        <v>0</v>
      </c>
      <c r="S62" s="8">
        <f t="shared" si="6"/>
        <v>0</v>
      </c>
      <c r="T62" s="8">
        <f t="shared" si="6"/>
        <v>0</v>
      </c>
      <c r="U62" s="8">
        <f t="shared" si="6"/>
        <v>5962800</v>
      </c>
      <c r="V62" s="8">
        <f t="shared" si="6"/>
        <v>2000000</v>
      </c>
      <c r="W62" s="8">
        <f t="shared" si="6"/>
        <v>3466971</v>
      </c>
      <c r="X62" s="8">
        <f t="shared" si="6"/>
        <v>0</v>
      </c>
      <c r="Y62" s="8">
        <f t="shared" si="6"/>
        <v>0</v>
      </c>
      <c r="Z62" s="8">
        <f t="shared" si="6"/>
        <v>0</v>
      </c>
      <c r="AA62" s="8">
        <f t="shared" si="6"/>
        <v>495829</v>
      </c>
      <c r="AB62" s="16"/>
      <c r="AC62" s="7"/>
      <c r="AD62" s="800"/>
      <c r="AE62" s="7"/>
      <c r="AF62" s="810"/>
      <c r="AG62" s="800"/>
      <c r="AH62" s="800"/>
      <c r="AI62" s="7"/>
      <c r="AJ62" s="7"/>
      <c r="AK62" s="32"/>
      <c r="AL62" s="811"/>
      <c r="AM62" s="372"/>
      <c r="AN62" s="32"/>
      <c r="AO62" s="32"/>
      <c r="AP62" s="8"/>
      <c r="AQ62" s="8"/>
      <c r="AR62" s="663"/>
      <c r="AS62" s="679"/>
      <c r="AT62" s="8"/>
    </row>
    <row r="63" spans="1:46" ht="42" customHeight="1">
      <c r="A63" s="3">
        <f>A61+1</f>
        <v>53</v>
      </c>
      <c r="B63" s="3">
        <f>'תקציב מינהל תפעול 2022'!B51</f>
        <v>2039</v>
      </c>
      <c r="C63" s="255" t="str">
        <f>'תקציב מינהל תפעול 2022'!C51</f>
        <v>הצבת קולרים ברחבי העיר</v>
      </c>
      <c r="D63" s="4">
        <f>'תקציב מינהל תפעול 2022'!D51</f>
        <v>535000</v>
      </c>
      <c r="E63" s="4">
        <f>'תקציב מינהל תפעול 2022'!E51</f>
        <v>535000</v>
      </c>
      <c r="F63" s="4">
        <f>'תקציב מינהל תפעול 2022'!F51</f>
        <v>0</v>
      </c>
      <c r="G63" s="4">
        <f>'תקציב מינהל תפעול 2022'!G51</f>
        <v>35000</v>
      </c>
      <c r="H63" s="4">
        <f>'תקציב מינהל תפעול 2022'!H51</f>
        <v>34999</v>
      </c>
      <c r="I63" s="4">
        <f>'תקציב מינהל תפעול 2022'!I51</f>
        <v>0</v>
      </c>
      <c r="J63" s="4">
        <f>'תקציב מינהל תפעול 2022'!J51</f>
        <v>0</v>
      </c>
      <c r="K63" s="4">
        <f>'תקציב מינהל תפעול 2022'!K51</f>
        <v>0</v>
      </c>
      <c r="L63" s="4">
        <f>'תקציב מינהל תפעול 2022'!L51</f>
        <v>34999</v>
      </c>
      <c r="M63" s="4">
        <f>'תקציב מינהל תפעול 2022'!M51</f>
        <v>1</v>
      </c>
      <c r="N63" s="4">
        <f>'תקציב מינהל תפעול 2022'!N51</f>
        <v>500000</v>
      </c>
      <c r="O63" s="4">
        <f>'תקציב מינהל תפעול 2022'!O51</f>
        <v>0</v>
      </c>
      <c r="P63" s="4">
        <f>'תקציב מינהל תפעול 2022'!P51</f>
        <v>1</v>
      </c>
      <c r="Q63" s="4">
        <f>'תקציב מינהל תפעול 2022'!Q51</f>
        <v>0</v>
      </c>
      <c r="R63" s="4">
        <f>'תקציב מינהל תפעול 2022'!R51</f>
        <v>0</v>
      </c>
      <c r="S63" s="4">
        <f>'תקציב מינהל תפעול 2022'!S51</f>
        <v>0</v>
      </c>
      <c r="T63" s="4">
        <f>'תקציב מינהל תפעול 2022'!T51</f>
        <v>0</v>
      </c>
      <c r="U63" s="4">
        <f>'תקציב מינהל תפעול 2022'!U51</f>
        <v>500000</v>
      </c>
      <c r="V63" s="4">
        <f>'תקציב מינהל תפעול 2022'!V51</f>
        <v>0</v>
      </c>
      <c r="W63" s="4">
        <f>'תקציב מינהל תפעול 2022'!W51</f>
        <v>500000</v>
      </c>
      <c r="X63" s="4">
        <f>'תקציב מינהל תפעול 2022'!X51</f>
        <v>0</v>
      </c>
      <c r="Y63" s="4">
        <f>'תקציב מינהל תפעול 2022'!Y51</f>
        <v>0</v>
      </c>
      <c r="Z63" s="4">
        <f>'תקציב מינהל תפעול 2022'!Z51</f>
        <v>0</v>
      </c>
      <c r="AA63" s="4">
        <f>'תקציב מינהל תפעול 2022'!AA51</f>
        <v>0</v>
      </c>
      <c r="AB63" s="255" t="str">
        <f>'תקציב מינהל תפעול 2022'!AB51</f>
        <v xml:space="preserve">הצבת מתקני שתייה מקוררים כולל תשתיות ברחבי העיר לרווחת התושבים. </v>
      </c>
      <c r="AC63" s="3">
        <f>'תקציב מינהל תפעול 2022'!AC51</f>
        <v>760000</v>
      </c>
      <c r="AD63" s="480"/>
      <c r="AE63" s="484" t="s">
        <v>1306</v>
      </c>
      <c r="AF63" s="475" t="s">
        <v>1307</v>
      </c>
      <c r="AG63" s="475" t="s">
        <v>1308</v>
      </c>
      <c r="AH63" s="476"/>
      <c r="AI63" s="482" t="s">
        <v>1309</v>
      </c>
      <c r="AJ63" s="482" t="s">
        <v>1309</v>
      </c>
      <c r="AK63" s="364" t="s">
        <v>1309</v>
      </c>
      <c r="AL63" s="477" t="s">
        <v>1153</v>
      </c>
      <c r="AM63" s="478">
        <v>2</v>
      </c>
      <c r="AN63" s="364"/>
      <c r="AO63" s="364" t="s">
        <v>1309</v>
      </c>
      <c r="AP63" s="4">
        <v>-100000</v>
      </c>
      <c r="AQ63" s="4"/>
      <c r="AR63" s="669"/>
      <c r="AS63" s="669"/>
      <c r="AT63" s="4"/>
    </row>
    <row r="64" spans="1:46" s="414" customFormat="1" ht="25.15" customHeight="1">
      <c r="A64" s="7"/>
      <c r="B64" s="7"/>
      <c r="C64" s="16" t="s">
        <v>802</v>
      </c>
      <c r="D64" s="8">
        <f>SUM(D63)</f>
        <v>535000</v>
      </c>
      <c r="E64" s="8">
        <f t="shared" ref="E64:AA64" si="7">SUM(E63)</f>
        <v>535000</v>
      </c>
      <c r="F64" s="8">
        <f t="shared" si="7"/>
        <v>0</v>
      </c>
      <c r="G64" s="8">
        <f t="shared" si="7"/>
        <v>35000</v>
      </c>
      <c r="H64" s="8">
        <f t="shared" si="7"/>
        <v>34999</v>
      </c>
      <c r="I64" s="8">
        <f t="shared" si="7"/>
        <v>0</v>
      </c>
      <c r="J64" s="8">
        <f t="shared" si="7"/>
        <v>0</v>
      </c>
      <c r="K64" s="8">
        <f t="shared" si="7"/>
        <v>0</v>
      </c>
      <c r="L64" s="8">
        <f t="shared" si="7"/>
        <v>34999</v>
      </c>
      <c r="M64" s="8">
        <f t="shared" si="7"/>
        <v>1</v>
      </c>
      <c r="N64" s="8">
        <f t="shared" si="7"/>
        <v>500000</v>
      </c>
      <c r="O64" s="8">
        <f t="shared" si="7"/>
        <v>0</v>
      </c>
      <c r="P64" s="8">
        <f t="shared" si="7"/>
        <v>1</v>
      </c>
      <c r="Q64" s="8">
        <f t="shared" si="7"/>
        <v>0</v>
      </c>
      <c r="R64" s="8">
        <f t="shared" si="7"/>
        <v>0</v>
      </c>
      <c r="S64" s="8">
        <f t="shared" si="7"/>
        <v>0</v>
      </c>
      <c r="T64" s="8">
        <f t="shared" si="7"/>
        <v>0</v>
      </c>
      <c r="U64" s="8">
        <f t="shared" si="7"/>
        <v>500000</v>
      </c>
      <c r="V64" s="8">
        <f t="shared" si="7"/>
        <v>0</v>
      </c>
      <c r="W64" s="8">
        <f t="shared" si="7"/>
        <v>500000</v>
      </c>
      <c r="X64" s="8">
        <f t="shared" si="7"/>
        <v>0</v>
      </c>
      <c r="Y64" s="8">
        <f t="shared" si="7"/>
        <v>0</v>
      </c>
      <c r="Z64" s="8">
        <f t="shared" si="7"/>
        <v>0</v>
      </c>
      <c r="AA64" s="8">
        <f t="shared" si="7"/>
        <v>0</v>
      </c>
      <c r="AB64" s="16"/>
      <c r="AC64" s="7"/>
      <c r="AD64" s="800"/>
      <c r="AE64" s="484"/>
      <c r="AF64" s="801"/>
      <c r="AG64" s="801"/>
      <c r="AH64" s="802"/>
      <c r="AI64" s="801"/>
      <c r="AJ64" s="801"/>
      <c r="AK64" s="805"/>
      <c r="AL64" s="803"/>
      <c r="AM64" s="372"/>
      <c r="AN64" s="805"/>
      <c r="AO64" s="805"/>
      <c r="AP64" s="8"/>
      <c r="AQ64" s="8"/>
      <c r="AR64" s="679"/>
      <c r="AS64" s="679"/>
      <c r="AT64" s="8"/>
    </row>
    <row r="65" spans="1:46" ht="60">
      <c r="A65" s="3">
        <f>A63+1</f>
        <v>54</v>
      </c>
      <c r="B65" s="3">
        <f>'תקציב מינהל תפעול 2022'!B6</f>
        <v>1210</v>
      </c>
      <c r="C65" s="255" t="str">
        <f>'תקציב מינהל תפעול 2022'!C6</f>
        <v>חזיתות בתים שיפוץ</v>
      </c>
      <c r="D65" s="4">
        <f>'תקציב מינהל תפעול 2022'!D6</f>
        <v>113550000</v>
      </c>
      <c r="E65" s="4">
        <f>'תקציב מינהל תפעול 2022'!E6</f>
        <v>113550000</v>
      </c>
      <c r="F65" s="4">
        <f>'תקציב מינהל תפעול 2022'!F6</f>
        <v>0</v>
      </c>
      <c r="G65" s="4">
        <f>'תקציב מינהל תפעול 2022'!G6</f>
        <v>92400000</v>
      </c>
      <c r="H65" s="4">
        <f>'תקציב מינהל תפעול 2022'!H6</f>
        <v>89559774</v>
      </c>
      <c r="I65" s="4">
        <f>'תקציב מינהל תפעול 2022'!I6</f>
        <v>0</v>
      </c>
      <c r="J65" s="4">
        <f>'תקציב מינהל תפעול 2022'!J6</f>
        <v>638005</v>
      </c>
      <c r="K65" s="4">
        <f>'תקציב מינהל תפעול 2022'!K6</f>
        <v>638005</v>
      </c>
      <c r="L65" s="4">
        <f>'תקציב מינהל תפעול 2022'!L6</f>
        <v>90197779</v>
      </c>
      <c r="M65" s="4">
        <f>'תקציב מינהל תפעול 2022'!M6</f>
        <v>2202221</v>
      </c>
      <c r="N65" s="4">
        <f>'תקציב מינהל תפעול 2022'!N6</f>
        <v>10000000</v>
      </c>
      <c r="O65" s="4">
        <f>'תקציב מינהל תפעול 2022'!O6</f>
        <v>11150000</v>
      </c>
      <c r="P65" s="4">
        <f>'תקציב מינהל תפעול 2022'!P6</f>
        <v>2202221</v>
      </c>
      <c r="Q65" s="4">
        <f>'תקציב מינהל תפעול 2022'!Q6</f>
        <v>0</v>
      </c>
      <c r="R65" s="4">
        <f>'תקציב מינהל תפעול 2022'!R6</f>
        <v>0</v>
      </c>
      <c r="S65" s="4">
        <f>'תקציב מינהל תפעול 2022'!S6</f>
        <v>0</v>
      </c>
      <c r="T65" s="4">
        <f>'תקציב מינהל תפעול 2022'!T6</f>
        <v>0</v>
      </c>
      <c r="U65" s="4">
        <f>'תקציב מינהל תפעול 2022'!U6</f>
        <v>10000000</v>
      </c>
      <c r="V65" s="4">
        <f>'תקציב מינהל תפעול 2022'!V6</f>
        <v>0</v>
      </c>
      <c r="W65" s="4">
        <f>'תקציב מינהל תפעול 2022'!W6</f>
        <v>0</v>
      </c>
      <c r="X65" s="4">
        <f>'תקציב מינהל תפעול 2022'!X6</f>
        <v>0</v>
      </c>
      <c r="Y65" s="4">
        <f>'תקציב מינהל תפעול 2022'!Y6</f>
        <v>0</v>
      </c>
      <c r="Z65" s="4">
        <f>'תקציב מינהל תפעול 2022'!Z6</f>
        <v>0</v>
      </c>
      <c r="AA65" s="4">
        <f>'תקציב מינהל תפעול 2022'!AA6</f>
        <v>10000000</v>
      </c>
      <c r="AB65" s="255" t="str">
        <f>'תקציב מינהל תפעול 2022'!AB6</f>
        <v>שיפוץ חזיתות בתים כולל: פיתוח חצרות, חדרי מדרגות, מעלית (רכוש משותף). בשיתוף האגודה לתרבות הדיור.</v>
      </c>
      <c r="AC65" s="3">
        <f>'תקציב מינהל תפעול 2022'!AC6</f>
        <v>764000</v>
      </c>
      <c r="AD65" s="480"/>
      <c r="AE65" s="481" t="s">
        <v>1151</v>
      </c>
      <c r="AF65" s="475"/>
      <c r="AG65" s="475"/>
      <c r="AH65" s="476"/>
      <c r="AI65" s="482"/>
      <c r="AJ65" s="482"/>
      <c r="AK65" s="364" t="s">
        <v>1152</v>
      </c>
      <c r="AL65" s="477" t="s">
        <v>1153</v>
      </c>
      <c r="AM65" s="478">
        <v>1</v>
      </c>
      <c r="AN65" s="160" t="s">
        <v>1154</v>
      </c>
      <c r="AO65" s="364" t="s">
        <v>2214</v>
      </c>
      <c r="AP65" s="4"/>
      <c r="AQ65" s="4"/>
      <c r="AR65" s="669"/>
      <c r="AS65" s="669"/>
      <c r="AT65" s="4"/>
    </row>
    <row r="66" spans="1:46" ht="30">
      <c r="A66" s="3">
        <f>A65+1</f>
        <v>55</v>
      </c>
      <c r="B66" s="3">
        <f>'תקציב מינהל תפעול 2022'!B126</f>
        <v>20040</v>
      </c>
      <c r="C66" s="255" t="str">
        <f>'תקציב מינהל תפעול 2022'!C126</f>
        <v xml:space="preserve">בניית ממ"דים בבתים </v>
      </c>
      <c r="D66" s="4">
        <f>'תקציב מינהל תפעול 2022'!D126</f>
        <v>10000000</v>
      </c>
      <c r="E66" s="4">
        <f>'תקציב מינהל תפעול 2022'!E126</f>
        <v>0</v>
      </c>
      <c r="F66" s="4">
        <f>'תקציב מינהל תפעול 2022'!F126</f>
        <v>10000000</v>
      </c>
      <c r="G66" s="4">
        <f>'תקציב מינהל תפעול 2022'!G126</f>
        <v>0</v>
      </c>
      <c r="H66" s="4">
        <f>'תקציב מינהל תפעול 2022'!H126</f>
        <v>0</v>
      </c>
      <c r="I66" s="4">
        <f>'תקציב מינהל תפעול 2022'!I126</f>
        <v>0</v>
      </c>
      <c r="J66" s="4">
        <f>'תקציב מינהל תפעול 2022'!J126</f>
        <v>0</v>
      </c>
      <c r="K66" s="4">
        <f>'תקציב מינהל תפעול 2022'!K126</f>
        <v>0</v>
      </c>
      <c r="L66" s="4">
        <f>'תקציב מינהל תפעול 2022'!L126</f>
        <v>0</v>
      </c>
      <c r="M66" s="4">
        <f>'תקציב מינהל תפעול 2022'!M126</f>
        <v>0</v>
      </c>
      <c r="N66" s="4">
        <f>'תקציב מינהל תפעול 2022'!N126</f>
        <v>1000000</v>
      </c>
      <c r="O66" s="4">
        <f>'תקציב מינהל תפעול 2022'!O126</f>
        <v>9000000</v>
      </c>
      <c r="P66" s="4">
        <f>'תקציב מינהל תפעול 2022'!P126</f>
        <v>0</v>
      </c>
      <c r="Q66" s="4">
        <f>'תקציב מינהל תפעול 2022'!Q126</f>
        <v>0</v>
      </c>
      <c r="R66" s="4">
        <f>'תקציב מינהל תפעול 2022'!R126</f>
        <v>0</v>
      </c>
      <c r="S66" s="4">
        <f>'תקציב מינהל תפעול 2022'!S126</f>
        <v>0</v>
      </c>
      <c r="T66" s="4">
        <f>'תקציב מינהל תפעול 2022'!T126</f>
        <v>0</v>
      </c>
      <c r="U66" s="4">
        <f>'תקציב מינהל תפעול 2022'!U126</f>
        <v>1000000</v>
      </c>
      <c r="V66" s="4">
        <f>'תקציב מינהל תפעול 2022'!V126</f>
        <v>0</v>
      </c>
      <c r="W66" s="4">
        <f>'תקציב מינהל תפעול 2022'!W126</f>
        <v>0</v>
      </c>
      <c r="X66" s="4">
        <f>'תקציב מינהל תפעול 2022'!X126</f>
        <v>0</v>
      </c>
      <c r="Y66" s="4">
        <f>'תקציב מינהל תפעול 2022'!Y126</f>
        <v>0</v>
      </c>
      <c r="Z66" s="4">
        <f>'תקציב מינהל תפעול 2022'!Z126</f>
        <v>0</v>
      </c>
      <c r="AA66" s="4">
        <f>'תקציב מינהל תפעול 2022'!AA126</f>
        <v>1000000</v>
      </c>
      <c r="AB66" s="255" t="str">
        <f>'תקציב מינהל תפעול 2022'!AB126</f>
        <v xml:space="preserve">בניית ממ"דים בבתים  בשיתוף האגודה לתרבות הדיור. </v>
      </c>
      <c r="AC66" s="3">
        <f>'תקציב מינהל תפעול 2022'!AC126</f>
        <v>764000</v>
      </c>
      <c r="AD66" s="480"/>
      <c r="AE66" s="3"/>
      <c r="AF66" s="511"/>
      <c r="AG66" s="480"/>
      <c r="AH66" s="480"/>
      <c r="AI66" s="3"/>
      <c r="AJ66" s="3"/>
      <c r="AK66" s="30"/>
      <c r="AL66" s="477" t="s">
        <v>1160</v>
      </c>
      <c r="AM66" s="478"/>
      <c r="AN66" s="30" t="s">
        <v>1494</v>
      </c>
      <c r="AO66" s="30"/>
      <c r="AP66" s="4"/>
      <c r="AQ66" s="4"/>
      <c r="AR66" s="638"/>
      <c r="AS66" s="669"/>
      <c r="AT66" s="4"/>
    </row>
    <row r="67" spans="1:46" s="414" customFormat="1" ht="25.15" customHeight="1">
      <c r="A67" s="7"/>
      <c r="B67" s="7"/>
      <c r="C67" s="16" t="s">
        <v>2320</v>
      </c>
      <c r="D67" s="8">
        <f>SUM(D65:D66)</f>
        <v>123550000</v>
      </c>
      <c r="E67" s="8">
        <f t="shared" ref="E67:AA67" si="8">SUM(E65:E66)</f>
        <v>113550000</v>
      </c>
      <c r="F67" s="8">
        <f t="shared" si="8"/>
        <v>10000000</v>
      </c>
      <c r="G67" s="8">
        <f t="shared" si="8"/>
        <v>92400000</v>
      </c>
      <c r="H67" s="8">
        <f t="shared" si="8"/>
        <v>89559774</v>
      </c>
      <c r="I67" s="8">
        <f t="shared" si="8"/>
        <v>0</v>
      </c>
      <c r="J67" s="8">
        <f t="shared" si="8"/>
        <v>638005</v>
      </c>
      <c r="K67" s="8">
        <f t="shared" si="8"/>
        <v>638005</v>
      </c>
      <c r="L67" s="8">
        <f t="shared" si="8"/>
        <v>90197779</v>
      </c>
      <c r="M67" s="8">
        <f t="shared" si="8"/>
        <v>2202221</v>
      </c>
      <c r="N67" s="8">
        <f t="shared" si="8"/>
        <v>11000000</v>
      </c>
      <c r="O67" s="8">
        <f t="shared" si="8"/>
        <v>20150000</v>
      </c>
      <c r="P67" s="8">
        <f t="shared" si="8"/>
        <v>2202221</v>
      </c>
      <c r="Q67" s="8">
        <f t="shared" si="8"/>
        <v>0</v>
      </c>
      <c r="R67" s="8">
        <f t="shared" si="8"/>
        <v>0</v>
      </c>
      <c r="S67" s="8">
        <f t="shared" si="8"/>
        <v>0</v>
      </c>
      <c r="T67" s="8">
        <f t="shared" si="8"/>
        <v>0</v>
      </c>
      <c r="U67" s="8">
        <f t="shared" si="8"/>
        <v>11000000</v>
      </c>
      <c r="V67" s="8">
        <f t="shared" si="8"/>
        <v>0</v>
      </c>
      <c r="W67" s="8">
        <f t="shared" si="8"/>
        <v>0</v>
      </c>
      <c r="X67" s="8">
        <f t="shared" si="8"/>
        <v>0</v>
      </c>
      <c r="Y67" s="8">
        <f t="shared" si="8"/>
        <v>0</v>
      </c>
      <c r="Z67" s="8">
        <f t="shared" si="8"/>
        <v>0</v>
      </c>
      <c r="AA67" s="8">
        <f t="shared" si="8"/>
        <v>11000000</v>
      </c>
      <c r="AB67" s="16"/>
      <c r="AC67" s="7"/>
      <c r="AD67" s="800"/>
      <c r="AE67" s="7"/>
      <c r="AF67" s="810"/>
      <c r="AG67" s="800"/>
      <c r="AH67" s="800"/>
      <c r="AI67" s="7"/>
      <c r="AJ67" s="7"/>
      <c r="AK67" s="32"/>
      <c r="AL67" s="803"/>
      <c r="AM67" s="372"/>
      <c r="AN67" s="32"/>
      <c r="AO67" s="32"/>
      <c r="AP67" s="8"/>
      <c r="AQ67" s="8"/>
      <c r="AR67" s="663"/>
      <c r="AS67" s="679"/>
      <c r="AT67" s="8"/>
    </row>
    <row r="68" spans="1:46" ht="76.5">
      <c r="A68" s="3">
        <f>A66+1</f>
        <v>56</v>
      </c>
      <c r="B68" s="3">
        <f>'תקציב מינהל תפעול 2022'!B16</f>
        <v>1477</v>
      </c>
      <c r="C68" s="255" t="str">
        <f>'תקציב מינהל תפעול 2022'!C16</f>
        <v xml:space="preserve">הצללות בי"ס וגנ"י  ומתנס"ים </v>
      </c>
      <c r="D68" s="4">
        <f>'תקציב מינהל תפעול 2022'!D16</f>
        <v>9350000</v>
      </c>
      <c r="E68" s="4">
        <f>'תקציב מינהל תפעול 2022'!E16</f>
        <v>9350000</v>
      </c>
      <c r="F68" s="4">
        <f>'תקציב מינהל תפעול 2022'!F16</f>
        <v>0</v>
      </c>
      <c r="G68" s="4">
        <f>'תקציב מינהל תפעול 2022'!G16</f>
        <v>5650000</v>
      </c>
      <c r="H68" s="4">
        <f>'תקציב מינהל תפעול 2022'!H16</f>
        <v>3136693</v>
      </c>
      <c r="I68" s="4">
        <f>'תקציב מינהל תפעול 2022'!I16</f>
        <v>554098</v>
      </c>
      <c r="J68" s="4">
        <f>'תקציב מינהל תפעול 2022'!J16</f>
        <v>1795171</v>
      </c>
      <c r="K68" s="4">
        <f>'תקציב מינהל תפעול 2022'!K16</f>
        <v>2349269</v>
      </c>
      <c r="L68" s="4">
        <f>'תקציב מינהל תפעול 2022'!L16</f>
        <v>5485962</v>
      </c>
      <c r="M68" s="4">
        <f>'תקציב מינהל תפעול 2022'!M16</f>
        <v>164038</v>
      </c>
      <c r="N68" s="4">
        <f>'תקציב מינהל תפעול 2022'!N16</f>
        <v>2000000</v>
      </c>
      <c r="O68" s="4">
        <f>'תקציב מינהל תפעול 2022'!O16</f>
        <v>1700000</v>
      </c>
      <c r="P68" s="4">
        <f>'תקציב מינהל תפעול 2022'!P16</f>
        <v>164038</v>
      </c>
      <c r="Q68" s="4">
        <f>'תקציב מינהל תפעול 2022'!Q16</f>
        <v>0</v>
      </c>
      <c r="R68" s="4">
        <f>'תקציב מינהל תפעול 2022'!R16</f>
        <v>0</v>
      </c>
      <c r="S68" s="4">
        <f>'תקציב מינהל תפעול 2022'!S16</f>
        <v>0</v>
      </c>
      <c r="T68" s="4">
        <f>'תקציב מינהל תפעול 2022'!T16</f>
        <v>0</v>
      </c>
      <c r="U68" s="4">
        <f>'תקציב מינהל תפעול 2022'!U16</f>
        <v>2000000</v>
      </c>
      <c r="V68" s="4">
        <f>'תקציב מינהל תפעול 2022'!V16</f>
        <v>0</v>
      </c>
      <c r="W68" s="4">
        <f>'תקציב מינהל תפעול 2022'!W16</f>
        <v>2000000</v>
      </c>
      <c r="X68" s="4">
        <f>'תקציב מינהל תפעול 2022'!X16</f>
        <v>0</v>
      </c>
      <c r="Y68" s="4">
        <f>'תקציב מינהל תפעול 2022'!Y16</f>
        <v>0</v>
      </c>
      <c r="Z68" s="4">
        <f>'תקציב מינהל תפעול 2022'!Z16</f>
        <v>0</v>
      </c>
      <c r="AA68" s="4">
        <f>'תקציב מינהל תפעול 2022'!AA16</f>
        <v>0</v>
      </c>
      <c r="AB68" s="255" t="str">
        <f>'תקציב מינהל תפעול 2022'!AB16</f>
        <v>הצללות קבועות מעל מגרשי ספורט  עפ"י תוכנית רב שנתית. 3 הצללות ב - 2022: 1 בספורטק , 2 במתנסים עפ"י החלטה.</v>
      </c>
      <c r="AC68" s="3">
        <f>'תקציב מינהל תפעול 2022'!AC16</f>
        <v>810000</v>
      </c>
      <c r="AD68" s="487" t="s">
        <v>1187</v>
      </c>
      <c r="AE68" s="475" t="s">
        <v>1188</v>
      </c>
      <c r="AF68" s="475"/>
      <c r="AG68" s="475" t="s">
        <v>1189</v>
      </c>
      <c r="AH68" s="488" t="s">
        <v>1190</v>
      </c>
      <c r="AI68" s="482" t="s">
        <v>1191</v>
      </c>
      <c r="AJ68" s="482" t="s">
        <v>1191</v>
      </c>
      <c r="AK68" s="364" t="s">
        <v>1191</v>
      </c>
      <c r="AL68" s="489" t="s">
        <v>1160</v>
      </c>
      <c r="AM68" s="478">
        <v>2</v>
      </c>
      <c r="AN68" s="364"/>
      <c r="AO68" s="364" t="s">
        <v>1191</v>
      </c>
      <c r="AP68" s="4">
        <v>-500000</v>
      </c>
      <c r="AQ68" s="4">
        <v>-500000</v>
      </c>
      <c r="AR68" s="669"/>
      <c r="AS68" s="669"/>
      <c r="AT68" s="4">
        <v>-500000</v>
      </c>
    </row>
    <row r="69" spans="1:46" ht="55.15" customHeight="1">
      <c r="A69" s="3">
        <f t="shared" ref="A69:A98" si="9">A68+1</f>
        <v>57</v>
      </c>
      <c r="B69" s="3">
        <f>'תקציב מינהל תפעול 2022'!B24</f>
        <v>1770</v>
      </c>
      <c r="C69" s="255" t="str">
        <f>'תקציב מינהל תפעול 2022'!C24</f>
        <v>שיפוצי מוסדות חינוך שונים  (לב טוב ,גורדון)</v>
      </c>
      <c r="D69" s="4">
        <f>'תקציב מינהל תפעול 2022'!D24</f>
        <v>29752105</v>
      </c>
      <c r="E69" s="4">
        <f>'תקציב מינהל תפעול 2022'!E24</f>
        <v>29752105</v>
      </c>
      <c r="F69" s="4">
        <f>'תקציב מינהל תפעול 2022'!F24</f>
        <v>0</v>
      </c>
      <c r="G69" s="4">
        <f>'תקציב מינהל תפעול 2022'!G24</f>
        <v>29752105</v>
      </c>
      <c r="H69" s="4">
        <f>'תקציב מינהל תפעול 2022'!H24</f>
        <v>29733213</v>
      </c>
      <c r="I69" s="4">
        <f>'תקציב מינהל תפעול 2022'!I24</f>
        <v>0</v>
      </c>
      <c r="J69" s="4">
        <f>'תקציב מינהל תפעול 2022'!J24</f>
        <v>11609</v>
      </c>
      <c r="K69" s="4">
        <f>'תקציב מינהל תפעול 2022'!K24</f>
        <v>11609</v>
      </c>
      <c r="L69" s="4">
        <f>'תקציב מינהל תפעול 2022'!L24</f>
        <v>29744822</v>
      </c>
      <c r="M69" s="4">
        <f>'תקציב מינהל תפעול 2022'!M24</f>
        <v>7283</v>
      </c>
      <c r="N69" s="4">
        <f>'תקציב מינהל תפעול 2022'!N24</f>
        <v>0</v>
      </c>
      <c r="O69" s="4">
        <f>'תקציב מינהל תפעול 2022'!O24</f>
        <v>0</v>
      </c>
      <c r="P69" s="4">
        <f>'תקציב מינהל תפעול 2022'!P24</f>
        <v>7283</v>
      </c>
      <c r="Q69" s="4">
        <f>'תקציב מינהל תפעול 2022'!Q24</f>
        <v>0</v>
      </c>
      <c r="R69" s="4">
        <f>'תקציב מינהל תפעול 2022'!R24</f>
        <v>0</v>
      </c>
      <c r="S69" s="4">
        <f>'תקציב מינהל תפעול 2022'!S24</f>
        <v>0</v>
      </c>
      <c r="T69" s="4">
        <f>'תקציב מינהל תפעול 2022'!T24</f>
        <v>0</v>
      </c>
      <c r="U69" s="4">
        <f>'תקציב מינהל תפעול 2022'!U24</f>
        <v>0</v>
      </c>
      <c r="V69" s="4">
        <f>'תקציב מינהל תפעול 2022'!V24</f>
        <v>934574</v>
      </c>
      <c r="W69" s="4">
        <f>'תקציב מינהל תפעול 2022'!W24</f>
        <v>775293</v>
      </c>
      <c r="X69" s="4">
        <f>'תקציב מינהל תפעול 2022'!X24</f>
        <v>0</v>
      </c>
      <c r="Y69" s="4">
        <f>'תקציב מינהל תפעול 2022'!Y24</f>
        <v>0</v>
      </c>
      <c r="Z69" s="4">
        <f>'תקציב מינהל תפעול 2022'!Z24</f>
        <v>0</v>
      </c>
      <c r="AA69" s="4">
        <f>'תקציב מינהל תפעול 2022'!AA24</f>
        <v>-1709867</v>
      </c>
      <c r="AB69" s="255" t="str">
        <f>'תקציב מינהל תפעול 2022'!AB24</f>
        <v>מימון מ. החינוך. שינוי מימון. התב"ר לסגירה.</v>
      </c>
      <c r="AC69" s="3">
        <f>'תקציב מינהל תפעול 2022'!AC24</f>
        <v>810000</v>
      </c>
      <c r="AD69" s="483" t="s">
        <v>1225</v>
      </c>
      <c r="AE69" s="475" t="s">
        <v>1226</v>
      </c>
      <c r="AF69" s="475"/>
      <c r="AG69" s="475"/>
      <c r="AH69" s="476"/>
      <c r="AI69" s="475" t="s">
        <v>1226</v>
      </c>
      <c r="AJ69" s="475" t="s">
        <v>1226</v>
      </c>
      <c r="AK69" s="364" t="s">
        <v>1227</v>
      </c>
      <c r="AL69" s="477" t="s">
        <v>1160</v>
      </c>
      <c r="AM69" s="478"/>
      <c r="AN69" s="364"/>
      <c r="AO69" s="364" t="s">
        <v>1228</v>
      </c>
      <c r="AP69" s="4"/>
      <c r="AQ69" s="4"/>
      <c r="AR69" s="669"/>
      <c r="AS69" s="669"/>
      <c r="AT69" s="4"/>
    </row>
    <row r="70" spans="1:46" ht="45">
      <c r="A70" s="3">
        <f t="shared" si="9"/>
        <v>58</v>
      </c>
      <c r="B70" s="3">
        <f>'תקציב מינהל תפעול 2022'!B26</f>
        <v>1817</v>
      </c>
      <c r="C70" s="255" t="str">
        <f>'תקציב מינהל תפעול 2022'!C26</f>
        <v>הקמת גינות בי"ס קהילתיות</v>
      </c>
      <c r="D70" s="4">
        <f>'תקציב מינהל תפעול 2022'!D26</f>
        <v>872000</v>
      </c>
      <c r="E70" s="4">
        <f>'תקציב מינהל תפעול 2022'!E26</f>
        <v>872000</v>
      </c>
      <c r="F70" s="4">
        <f>'תקציב מינהל תפעול 2022'!F26</f>
        <v>0</v>
      </c>
      <c r="G70" s="4">
        <f>'תקציב מינהל תפעול 2022'!G26</f>
        <v>790000</v>
      </c>
      <c r="H70" s="4">
        <f>'תקציב מינהל תפעול 2022'!H26</f>
        <v>658591</v>
      </c>
      <c r="I70" s="4">
        <f>'תקציב מינהל תפעול 2022'!I26</f>
        <v>0</v>
      </c>
      <c r="J70" s="4">
        <f>'תקציב מינהל תפעול 2022'!J26</f>
        <v>15719</v>
      </c>
      <c r="K70" s="4">
        <f>'תקציב מינהל תפעול 2022'!K26</f>
        <v>15719</v>
      </c>
      <c r="L70" s="4">
        <f>'תקציב מינהל תפעול 2022'!L26</f>
        <v>674310</v>
      </c>
      <c r="M70" s="4">
        <f>'תקציב מינהל תפעול 2022'!M26</f>
        <v>115690</v>
      </c>
      <c r="N70" s="4">
        <f>'תקציב מינהל תפעול 2022'!N26</f>
        <v>82000</v>
      </c>
      <c r="O70" s="4">
        <f>'תקציב מינהל תפעול 2022'!O26</f>
        <v>0</v>
      </c>
      <c r="P70" s="4">
        <f>'תקציב מינהל תפעול 2022'!P26</f>
        <v>115690</v>
      </c>
      <c r="Q70" s="4">
        <f>'תקציב מינהל תפעול 2022'!Q26</f>
        <v>0</v>
      </c>
      <c r="R70" s="4">
        <f>'תקציב מינהל תפעול 2022'!R26</f>
        <v>0</v>
      </c>
      <c r="S70" s="4">
        <f>'תקציב מינהל תפעול 2022'!S26</f>
        <v>0</v>
      </c>
      <c r="T70" s="4">
        <f>'תקציב מינהל תפעול 2022'!T26</f>
        <v>0</v>
      </c>
      <c r="U70" s="4">
        <f>'תקציב מינהל תפעול 2022'!U26</f>
        <v>82000</v>
      </c>
      <c r="V70" s="4">
        <f>'תקציב מינהל תפעול 2022'!V26</f>
        <v>0</v>
      </c>
      <c r="W70" s="4">
        <f>'תקציב מינהל תפעול 2022'!W26</f>
        <v>0</v>
      </c>
      <c r="X70" s="4">
        <f>'תקציב מינהל תפעול 2022'!X26</f>
        <v>0</v>
      </c>
      <c r="Y70" s="4">
        <f>'תקציב מינהל תפעול 2022'!Y26</f>
        <v>0</v>
      </c>
      <c r="Z70" s="4">
        <f>'תקציב מינהל תפעול 2022'!Z26</f>
        <v>0</v>
      </c>
      <c r="AA70" s="4">
        <f>'תקציב מינהל תפעול 2022'!AA26</f>
        <v>82000</v>
      </c>
      <c r="AB70" s="255" t="str">
        <f>'תקציב מינהל תפעול 2022'!AB26</f>
        <v>הקמת גינות קהילתיות בית ספריות. מימון קרן הועדה החקלאית.</v>
      </c>
      <c r="AC70" s="3">
        <f>'תקציב מינהל תפעול 2022'!AC26</f>
        <v>810000</v>
      </c>
      <c r="AD70" s="480"/>
      <c r="AE70" s="482" t="s">
        <v>1231</v>
      </c>
      <c r="AF70" s="495" t="s">
        <v>1232</v>
      </c>
      <c r="AG70" s="475"/>
      <c r="AH70" s="476"/>
      <c r="AI70" s="482"/>
      <c r="AJ70" s="482"/>
      <c r="AK70" s="364" t="s">
        <v>646</v>
      </c>
      <c r="AL70" s="477" t="s">
        <v>1150</v>
      </c>
      <c r="AM70" s="478">
        <v>1</v>
      </c>
      <c r="AN70" s="364"/>
      <c r="AO70" s="364" t="s">
        <v>646</v>
      </c>
      <c r="AP70" s="4"/>
      <c r="AQ70" s="4"/>
      <c r="AR70" s="669"/>
      <c r="AS70" s="669"/>
      <c r="AT70" s="4"/>
    </row>
    <row r="71" spans="1:46" s="498" customFormat="1" ht="45">
      <c r="A71" s="3">
        <f t="shared" si="9"/>
        <v>59</v>
      </c>
      <c r="B71" s="3">
        <f>'תקציב מינהל תפעול 2022'!B30</f>
        <v>1850</v>
      </c>
      <c r="C71" s="255" t="str">
        <f>'תקציב מינהל תפעול 2022'!C30</f>
        <v>תיקון ליקויים סקר כיבוי אש מוס"ח  ועיריה</v>
      </c>
      <c r="D71" s="4">
        <f>'תקציב מינהל תפעול 2022'!D30</f>
        <v>14600000</v>
      </c>
      <c r="E71" s="4">
        <f>'תקציב מינהל תפעול 2022'!E30</f>
        <v>14600000</v>
      </c>
      <c r="F71" s="4">
        <f>'תקציב מינהל תפעול 2022'!F30</f>
        <v>0</v>
      </c>
      <c r="G71" s="4">
        <f>'תקציב מינהל תפעול 2022'!G30</f>
        <v>5250000</v>
      </c>
      <c r="H71" s="4">
        <f>'תקציב מינהל תפעול 2022'!H30</f>
        <v>4906484</v>
      </c>
      <c r="I71" s="4">
        <f>'תקציב מינהל תפעול 2022'!I30</f>
        <v>0</v>
      </c>
      <c r="J71" s="4">
        <f>'תקציב מינהל תפעול 2022'!J30</f>
        <v>342952</v>
      </c>
      <c r="K71" s="4">
        <f>'תקציב מינהל תפעול 2022'!K30</f>
        <v>342952</v>
      </c>
      <c r="L71" s="4">
        <f>'תקציב מינהל תפעול 2022'!L30</f>
        <v>5249436</v>
      </c>
      <c r="M71" s="4">
        <f>'תקציב מינהל תפעול 2022'!M30</f>
        <v>564</v>
      </c>
      <c r="N71" s="4">
        <f>'תקציב מינהל תפעול 2022'!N30</f>
        <v>500000</v>
      </c>
      <c r="O71" s="4">
        <f>'תקציב מינהל תפעול 2022'!O30</f>
        <v>8850000</v>
      </c>
      <c r="P71" s="4">
        <f>'תקציב מינהל תפעול 2022'!P30</f>
        <v>564</v>
      </c>
      <c r="Q71" s="4">
        <f>'תקציב מינהל תפעול 2022'!Q30</f>
        <v>0</v>
      </c>
      <c r="R71" s="4">
        <f>'תקציב מינהל תפעול 2022'!R30</f>
        <v>0</v>
      </c>
      <c r="S71" s="4">
        <f>'תקציב מינהל תפעול 2022'!S30</f>
        <v>0</v>
      </c>
      <c r="T71" s="4">
        <f>'תקציב מינהל תפעול 2022'!T30</f>
        <v>0</v>
      </c>
      <c r="U71" s="4">
        <f>'תקציב מינהל תפעול 2022'!U30</f>
        <v>500000</v>
      </c>
      <c r="V71" s="4">
        <f>'תקציב מינהל תפעול 2022'!V30</f>
        <v>0</v>
      </c>
      <c r="W71" s="4">
        <f>'תקציב מינהל תפעול 2022'!W30</f>
        <v>500000</v>
      </c>
      <c r="X71" s="4">
        <f>'תקציב מינהל תפעול 2022'!X30</f>
        <v>0</v>
      </c>
      <c r="Y71" s="4">
        <f>'תקציב מינהל תפעול 2022'!Y30</f>
        <v>0</v>
      </c>
      <c r="Z71" s="4">
        <f>'תקציב מינהל תפעול 2022'!Z30</f>
        <v>0</v>
      </c>
      <c r="AA71" s="4">
        <f>'תקציב מינהל תפעול 2022'!AA30</f>
        <v>0</v>
      </c>
      <c r="AB71" s="255" t="str">
        <f>'תקציב מינהל תפעול 2022'!AB30</f>
        <v>סל לעבודות הסדרת ליקויים כיבוי אש במוס"ח ובמוסדות עיריה  לפי סקר.</v>
      </c>
      <c r="AC71" s="3">
        <f>'תקציב מינהל תפעול 2022'!AC30</f>
        <v>810000</v>
      </c>
      <c r="AD71" s="480"/>
      <c r="AE71" s="475" t="s">
        <v>1243</v>
      </c>
      <c r="AF71" s="475"/>
      <c r="AG71" s="475"/>
      <c r="AH71" s="476"/>
      <c r="AI71" s="482" t="s">
        <v>968</v>
      </c>
      <c r="AJ71" s="482" t="s">
        <v>968</v>
      </c>
      <c r="AK71" s="364" t="s">
        <v>968</v>
      </c>
      <c r="AL71" s="477" t="s">
        <v>1160</v>
      </c>
      <c r="AM71" s="478">
        <v>1</v>
      </c>
      <c r="AN71" s="364"/>
      <c r="AO71" s="364" t="s">
        <v>968</v>
      </c>
      <c r="AP71" s="4">
        <v>-100000</v>
      </c>
      <c r="AQ71" s="4">
        <v>-100000</v>
      </c>
      <c r="AR71" s="669"/>
      <c r="AS71" s="669"/>
      <c r="AT71" s="4">
        <v>-100000</v>
      </c>
    </row>
    <row r="72" spans="1:46" ht="30">
      <c r="A72" s="3">
        <f t="shared" si="9"/>
        <v>60</v>
      </c>
      <c r="B72" s="3">
        <f>'תקציב מינהל תפעול 2022'!B32</f>
        <v>1883</v>
      </c>
      <c r="C72" s="255" t="str">
        <f>'תקציב מינהל תפעול 2022'!C32</f>
        <v>שיפוץ ותוספת בניה בי"ס בר אילן</v>
      </c>
      <c r="D72" s="4">
        <f>'תקציב מינהל תפעול 2022'!D32</f>
        <v>27245000</v>
      </c>
      <c r="E72" s="4">
        <f>'תקציב מינהל תפעול 2022'!E32</f>
        <v>27245000</v>
      </c>
      <c r="F72" s="4">
        <f>'תקציב מינהל תפעול 2022'!F32</f>
        <v>0</v>
      </c>
      <c r="G72" s="4">
        <f>'תקציב מינהל תפעול 2022'!G32</f>
        <v>26215000</v>
      </c>
      <c r="H72" s="4">
        <f>'תקציב מינהל תפעול 2022'!H32</f>
        <v>26214141</v>
      </c>
      <c r="I72" s="4">
        <f>'תקציב מינהל תפעול 2022'!I32</f>
        <v>0</v>
      </c>
      <c r="J72" s="4">
        <f>'תקציב מינהל תפעול 2022'!J32</f>
        <v>0</v>
      </c>
      <c r="K72" s="4">
        <f>'תקציב מינהל תפעול 2022'!K32</f>
        <v>0</v>
      </c>
      <c r="L72" s="4">
        <f>'תקציב מינהל תפעול 2022'!L32</f>
        <v>26214141</v>
      </c>
      <c r="M72" s="4">
        <f>'תקציב מינהל תפעול 2022'!M32</f>
        <v>859</v>
      </c>
      <c r="N72" s="4">
        <f>'תקציב מינהל תפעול 2022'!N32</f>
        <v>0</v>
      </c>
      <c r="O72" s="4">
        <f>'תקציב מינהל תפעול 2022'!O32</f>
        <v>1030000</v>
      </c>
      <c r="P72" s="4">
        <f>'תקציב מינהל תפעול 2022'!P32</f>
        <v>859</v>
      </c>
      <c r="Q72" s="4">
        <f>'תקציב מינהל תפעול 2022'!Q32</f>
        <v>0</v>
      </c>
      <c r="R72" s="4">
        <f>'תקציב מינהל תפעול 2022'!R32</f>
        <v>0</v>
      </c>
      <c r="S72" s="4">
        <f>'תקציב מינהל תפעול 2022'!S32</f>
        <v>0</v>
      </c>
      <c r="T72" s="4">
        <f>'תקציב מינהל תפעול 2022'!T32</f>
        <v>0</v>
      </c>
      <c r="U72" s="4">
        <f>'תקציב מינהל תפעול 2022'!U32</f>
        <v>0</v>
      </c>
      <c r="V72" s="4">
        <f>'תקציב מינהל תפעול 2022'!V32</f>
        <v>0</v>
      </c>
      <c r="W72" s="4">
        <f>'תקציב מינהל תפעול 2022'!W32</f>
        <v>0</v>
      </c>
      <c r="X72" s="4">
        <f>'תקציב מינהל תפעול 2022'!X32</f>
        <v>0</v>
      </c>
      <c r="Y72" s="4">
        <f>'תקציב מינהל תפעול 2022'!Y32</f>
        <v>0</v>
      </c>
      <c r="Z72" s="4">
        <f>'תקציב מינהל תפעול 2022'!Z32</f>
        <v>0</v>
      </c>
      <c r="AA72" s="4">
        <f>'תקציב מינהל תפעול 2022'!AA32</f>
        <v>0</v>
      </c>
      <c r="AB72" s="255" t="str">
        <f>'תקציב מינהל תפעול 2022'!AB32</f>
        <v>משטחי בטיחות, מתקני חצר,גינון, דשא סינטטי.</v>
      </c>
      <c r="AC72" s="3">
        <f>'תקציב מינהל תפעול 2022'!AC32</f>
        <v>810000</v>
      </c>
      <c r="AD72" s="480"/>
      <c r="AE72" s="475" t="s">
        <v>1246</v>
      </c>
      <c r="AF72" s="475"/>
      <c r="AG72" s="475" t="s">
        <v>1193</v>
      </c>
      <c r="AH72" s="476"/>
      <c r="AI72" s="482"/>
      <c r="AJ72" s="482"/>
      <c r="AK72" s="364"/>
      <c r="AL72" s="477" t="s">
        <v>1160</v>
      </c>
      <c r="AM72" s="478">
        <v>2</v>
      </c>
      <c r="AN72" s="448" t="s">
        <v>1247</v>
      </c>
      <c r="AO72" s="364"/>
      <c r="AP72" s="4"/>
      <c r="AQ72" s="4"/>
      <c r="AR72" s="669"/>
      <c r="AS72" s="669"/>
      <c r="AT72" s="4"/>
    </row>
    <row r="73" spans="1:46" ht="42" customHeight="1">
      <c r="A73" s="3">
        <f t="shared" si="9"/>
        <v>61</v>
      </c>
      <c r="B73" s="3">
        <f>'תקציב מינהל תפעול 2022'!B33</f>
        <v>1887</v>
      </c>
      <c r="C73" s="255" t="str">
        <f>'תקציב מינהל תפעול 2022'!C33</f>
        <v>שיפוץ בי"ס מפתן ארז</v>
      </c>
      <c r="D73" s="4">
        <f>'תקציב מינהל תפעול 2022'!D33</f>
        <v>5200000</v>
      </c>
      <c r="E73" s="4">
        <f>'תקציב מינהל תפעול 2022'!E33</f>
        <v>5200000</v>
      </c>
      <c r="F73" s="4">
        <f>'תקציב מינהל תפעול 2022'!F33</f>
        <v>0</v>
      </c>
      <c r="G73" s="4">
        <f>'תקציב מינהל תפעול 2022'!G33</f>
        <v>1760000</v>
      </c>
      <c r="H73" s="4">
        <f>'תקציב מינהל תפעול 2022'!H33</f>
        <v>1377669</v>
      </c>
      <c r="I73" s="4">
        <f>'תקציב מינהל תפעול 2022'!I33</f>
        <v>332775</v>
      </c>
      <c r="J73" s="4">
        <f>'תקציב מינהל תפעול 2022'!J33</f>
        <v>0</v>
      </c>
      <c r="K73" s="4">
        <f>'תקציב מינהל תפעול 2022'!K33</f>
        <v>332775</v>
      </c>
      <c r="L73" s="4">
        <f>'תקציב מינהל תפעול 2022'!L33</f>
        <v>1710444</v>
      </c>
      <c r="M73" s="4">
        <f>'תקציב מינהל תפעול 2022'!M33</f>
        <v>49556</v>
      </c>
      <c r="N73" s="4">
        <f>'תקציב מינהל תפעול 2022'!N33</f>
        <v>0</v>
      </c>
      <c r="O73" s="4">
        <f>'תקציב מינהל תפעול 2022'!O33</f>
        <v>3440000</v>
      </c>
      <c r="P73" s="4">
        <f>'תקציב מינהל תפעול 2022'!P33</f>
        <v>49556</v>
      </c>
      <c r="Q73" s="4">
        <f>'תקציב מינהל תפעול 2022'!Q33</f>
        <v>0</v>
      </c>
      <c r="R73" s="4">
        <f>'תקציב מינהל תפעול 2022'!R33</f>
        <v>0</v>
      </c>
      <c r="S73" s="4">
        <f>'תקציב מינהל תפעול 2022'!S33</f>
        <v>0</v>
      </c>
      <c r="T73" s="4">
        <f>'תקציב מינהל תפעול 2022'!T33</f>
        <v>0</v>
      </c>
      <c r="U73" s="4">
        <f>'תקציב מינהל תפעול 2022'!U33</f>
        <v>0</v>
      </c>
      <c r="V73" s="4">
        <f>'תקציב מינהל תפעול 2022'!V33</f>
        <v>0</v>
      </c>
      <c r="W73" s="4">
        <f>'תקציב מינהל תפעול 2022'!W33</f>
        <v>0</v>
      </c>
      <c r="X73" s="4">
        <f>'תקציב מינהל תפעול 2022'!X33</f>
        <v>0</v>
      </c>
      <c r="Y73" s="4">
        <f>'תקציב מינהל תפעול 2022'!Y33</f>
        <v>0</v>
      </c>
      <c r="Z73" s="4">
        <f>'תקציב מינהל תפעול 2022'!Z33</f>
        <v>0</v>
      </c>
      <c r="AA73" s="4">
        <f>'תקציב מינהל תפעול 2022'!AA33</f>
        <v>0</v>
      </c>
      <c r="AB73" s="255" t="str">
        <f>'תקציב מינהל תפעול 2022'!AB33</f>
        <v>שלב ב' של עבודות שיפוצים יסודיים הרחבות בקומת הקרקע, מטבח, חזיתות. עיכוב בהיתר.</v>
      </c>
      <c r="AC73" s="3">
        <f>'תקציב מינהל תפעול 2022'!AC33</f>
        <v>810000</v>
      </c>
      <c r="AD73" s="480" t="s">
        <v>1248</v>
      </c>
      <c r="AE73" s="475" t="s">
        <v>1249</v>
      </c>
      <c r="AF73" s="475"/>
      <c r="AG73" s="475" t="s">
        <v>1250</v>
      </c>
      <c r="AH73" s="476"/>
      <c r="AI73" s="490" t="s">
        <v>1251</v>
      </c>
      <c r="AJ73" s="490" t="s">
        <v>1251</v>
      </c>
      <c r="AK73" s="3" t="s">
        <v>1251</v>
      </c>
      <c r="AL73" s="477" t="s">
        <v>1160</v>
      </c>
      <c r="AM73" s="478">
        <v>2</v>
      </c>
      <c r="AN73" s="364"/>
      <c r="AO73" s="364" t="s">
        <v>1251</v>
      </c>
      <c r="AP73" s="4">
        <v>-200000</v>
      </c>
      <c r="AQ73" s="4"/>
      <c r="AR73" s="669"/>
      <c r="AS73" s="669"/>
      <c r="AT73" s="4"/>
    </row>
    <row r="74" spans="1:46" ht="44.45" customHeight="1">
      <c r="A74" s="3">
        <f t="shared" si="9"/>
        <v>62</v>
      </c>
      <c r="B74" s="3">
        <f>'תקציב מינהל תפעול 2022'!B35</f>
        <v>1900</v>
      </c>
      <c r="C74" s="255" t="str">
        <f>'תקציב מינהל תפעול 2022'!C35</f>
        <v>התקנת מעלית בי"ס שז"ר</v>
      </c>
      <c r="D74" s="4">
        <f>'תקציב מינהל תפעול 2022'!D35</f>
        <v>600000</v>
      </c>
      <c r="E74" s="4">
        <f>'תקציב מינהל תפעול 2022'!E35</f>
        <v>600000</v>
      </c>
      <c r="F74" s="4">
        <f>'תקציב מינהל תפעול 2022'!F35</f>
        <v>0</v>
      </c>
      <c r="G74" s="4">
        <f>'תקציב מינהל תפעול 2022'!G35</f>
        <v>600000</v>
      </c>
      <c r="H74" s="4">
        <f>'תקציב מינהל תפעול 2022'!H35</f>
        <v>522411</v>
      </c>
      <c r="I74" s="4">
        <f>'תקציב מינהל תפעול 2022'!I35</f>
        <v>0</v>
      </c>
      <c r="J74" s="4">
        <f>'תקציב מינהל תפעול 2022'!J35</f>
        <v>50504</v>
      </c>
      <c r="K74" s="4">
        <f>'תקציב מינהל תפעול 2022'!K35</f>
        <v>50504</v>
      </c>
      <c r="L74" s="4">
        <f>'תקציב מינהל תפעול 2022'!L35</f>
        <v>572915</v>
      </c>
      <c r="M74" s="4">
        <f>'תקציב מינהל תפעול 2022'!M35</f>
        <v>27085</v>
      </c>
      <c r="N74" s="4">
        <f>'תקציב מינהל תפעול 2022'!N35</f>
        <v>0</v>
      </c>
      <c r="O74" s="4">
        <f>'תקציב מינהל תפעול 2022'!O35</f>
        <v>0</v>
      </c>
      <c r="P74" s="4">
        <f>'תקציב מינהל תפעול 2022'!P35</f>
        <v>27085</v>
      </c>
      <c r="Q74" s="4">
        <f>'תקציב מינהל תפעול 2022'!Q35</f>
        <v>0</v>
      </c>
      <c r="R74" s="4">
        <f>'תקציב מינהל תפעול 2022'!R35</f>
        <v>0</v>
      </c>
      <c r="S74" s="4">
        <f>'תקציב מינהל תפעול 2022'!S35</f>
        <v>0</v>
      </c>
      <c r="T74" s="4">
        <f>'תקציב מינהל תפעול 2022'!T35</f>
        <v>0</v>
      </c>
      <c r="U74" s="4">
        <f>'תקציב מינהל תפעול 2022'!U35</f>
        <v>0</v>
      </c>
      <c r="V74" s="4">
        <f>'תקציב מינהל תפעול 2022'!V35</f>
        <v>0</v>
      </c>
      <c r="W74" s="4">
        <f>'תקציב מינהל תפעול 2022'!W35</f>
        <v>0</v>
      </c>
      <c r="X74" s="4">
        <f>'תקציב מינהל תפעול 2022'!X35</f>
        <v>0</v>
      </c>
      <c r="Y74" s="4">
        <f>'תקציב מינהל תפעול 2022'!Y35</f>
        <v>0</v>
      </c>
      <c r="Z74" s="4">
        <f>'תקציב מינהל תפעול 2022'!Z35</f>
        <v>0</v>
      </c>
      <c r="AA74" s="4">
        <f>'תקציב מינהל תפעול 2022'!AA35</f>
        <v>0</v>
      </c>
      <c r="AB74" s="255" t="str">
        <f>'תקציב מינהל תפעול 2022'!AB35</f>
        <v>התקנת מעלית . מימון חלקי של משרד החינוך.</v>
      </c>
      <c r="AC74" s="3">
        <f>'תקציב מינהל תפעול 2022'!AC35</f>
        <v>810000</v>
      </c>
      <c r="AD74" s="480" t="s">
        <v>1256</v>
      </c>
      <c r="AE74" s="475" t="s">
        <v>1257</v>
      </c>
      <c r="AF74" s="475"/>
      <c r="AG74" s="475" t="s">
        <v>1250</v>
      </c>
      <c r="AH74" s="476"/>
      <c r="AI74" s="482" t="s">
        <v>1258</v>
      </c>
      <c r="AJ74" s="482" t="s">
        <v>1258</v>
      </c>
      <c r="AK74" s="364" t="s">
        <v>1258</v>
      </c>
      <c r="AL74" s="477" t="s">
        <v>1160</v>
      </c>
      <c r="AM74" s="478"/>
      <c r="AN74" s="364"/>
      <c r="AO74" s="364" t="s">
        <v>1258</v>
      </c>
      <c r="AP74" s="4"/>
      <c r="AQ74" s="4"/>
      <c r="AR74" s="669"/>
      <c r="AS74" s="669"/>
      <c r="AT74" s="4"/>
    </row>
    <row r="75" spans="1:46" ht="56.45" customHeight="1">
      <c r="A75" s="3">
        <f t="shared" si="9"/>
        <v>63</v>
      </c>
      <c r="B75" s="3">
        <f>'תקציב מינהל תפעול 2022'!B41</f>
        <v>1967</v>
      </c>
      <c r="C75" s="255" t="str">
        <f>'תקציב מינהל תפעול 2022'!C41</f>
        <v>התאמות נגישות מוסדות חינוך</v>
      </c>
      <c r="D75" s="4">
        <f>'תקציב מינהל תפעול 2022'!D41</f>
        <v>12929000</v>
      </c>
      <c r="E75" s="4">
        <f>'תקציב מינהל תפעול 2022'!E41</f>
        <v>12929000</v>
      </c>
      <c r="F75" s="4">
        <f>'תקציב מינהל תפעול 2022'!F41</f>
        <v>0</v>
      </c>
      <c r="G75" s="4">
        <f>'תקציב מינהל תפעול 2022'!G41</f>
        <v>12629000</v>
      </c>
      <c r="H75" s="4">
        <f>'תקציב מינהל תפעול 2022'!H41</f>
        <v>2502390</v>
      </c>
      <c r="I75" s="4">
        <f>'תקציב מינהל תפעול 2022'!I41</f>
        <v>42003</v>
      </c>
      <c r="J75" s="4">
        <f>'תקציב מינהל תפעול 2022'!J41</f>
        <v>8286242</v>
      </c>
      <c r="K75" s="4">
        <f>'תקציב מינהל תפעול 2022'!K41</f>
        <v>8328245</v>
      </c>
      <c r="L75" s="4">
        <f>'תקציב מינהל תפעול 2022'!L41</f>
        <v>10830635</v>
      </c>
      <c r="M75" s="4">
        <f>'תקציב מינהל תפעול 2022'!M41</f>
        <v>1798365</v>
      </c>
      <c r="N75" s="4">
        <f>'תקציב מינהל תפעול 2022'!N41</f>
        <v>300000</v>
      </c>
      <c r="O75" s="4">
        <f>'תקציב מינהל תפעול 2022'!O41</f>
        <v>0</v>
      </c>
      <c r="P75" s="4">
        <f>'תקציב מינהל תפעול 2022'!P41</f>
        <v>1798365</v>
      </c>
      <c r="Q75" s="4">
        <f>'תקציב מינהל תפעול 2022'!Q41</f>
        <v>0</v>
      </c>
      <c r="R75" s="4">
        <f>'תקציב מינהל תפעול 2022'!R41</f>
        <v>0</v>
      </c>
      <c r="S75" s="4">
        <f>'תקציב מינהל תפעול 2022'!S41</f>
        <v>0</v>
      </c>
      <c r="T75" s="4">
        <f>'תקציב מינהל תפעול 2022'!T41</f>
        <v>0</v>
      </c>
      <c r="U75" s="4">
        <f>'תקציב מינהל תפעול 2022'!U41</f>
        <v>300000</v>
      </c>
      <c r="V75" s="4">
        <f>'תקציב מינהל תפעול 2022'!V41</f>
        <v>0</v>
      </c>
      <c r="W75" s="4">
        <f>'תקציב מינהל תפעול 2022'!W41</f>
        <v>300000</v>
      </c>
      <c r="X75" s="4">
        <f>'תקציב מינהל תפעול 2022'!X41</f>
        <v>0</v>
      </c>
      <c r="Y75" s="4">
        <f>'תקציב מינהל תפעול 2022'!Y41</f>
        <v>0</v>
      </c>
      <c r="Z75" s="4">
        <f>'תקציב מינהל תפעול 2022'!Z41</f>
        <v>0</v>
      </c>
      <c r="AA75" s="4">
        <f>'תקציב מינהל תפעול 2022'!AA41</f>
        <v>0</v>
      </c>
      <c r="AB75" s="255" t="str">
        <f>'תקציב מינהל תפעול 2022'!AB41</f>
        <v xml:space="preserve">התקנת מעליות, שרותים ,רמפות בבי"ס עפ"י תוכנית רב שנתית. מימון מ. החינוך. </v>
      </c>
      <c r="AC75" s="3">
        <f>'תקציב מינהל תפעול 2022'!AC41</f>
        <v>810000</v>
      </c>
      <c r="AD75" s="483" t="s">
        <v>1272</v>
      </c>
      <c r="AE75" s="482" t="s">
        <v>1273</v>
      </c>
      <c r="AF75" s="475"/>
      <c r="AG75" s="475" t="s">
        <v>1250</v>
      </c>
      <c r="AH75" s="476"/>
      <c r="AI75" s="482" t="s">
        <v>1274</v>
      </c>
      <c r="AJ75" s="490" t="s">
        <v>1275</v>
      </c>
      <c r="AK75" s="364" t="s">
        <v>1276</v>
      </c>
      <c r="AL75" s="477" t="s">
        <v>1160</v>
      </c>
      <c r="AM75" s="478">
        <v>1</v>
      </c>
      <c r="AN75" s="364"/>
      <c r="AO75" s="364" t="s">
        <v>1276</v>
      </c>
      <c r="AP75" s="4">
        <v>-50000</v>
      </c>
      <c r="AQ75" s="4">
        <v>-50000</v>
      </c>
      <c r="AR75" s="669"/>
      <c r="AS75" s="669"/>
      <c r="AT75" s="4">
        <v>-50000</v>
      </c>
    </row>
    <row r="76" spans="1:46" ht="75">
      <c r="A76" s="3">
        <f t="shared" si="9"/>
        <v>64</v>
      </c>
      <c r="B76" s="3">
        <f>'תקציב מינהל תפעול 2022'!B43</f>
        <v>1970</v>
      </c>
      <c r="C76" s="255" t="str">
        <f>'תקציב מינהל תפעול 2022'!C43</f>
        <v xml:space="preserve">שיפוצים שונים מוס"ח </v>
      </c>
      <c r="D76" s="4">
        <f>'תקציב מינהל תפעול 2022'!D43</f>
        <v>32500000</v>
      </c>
      <c r="E76" s="4">
        <f>'תקציב מינהל תפעול 2022'!E43</f>
        <v>32500000</v>
      </c>
      <c r="F76" s="4">
        <f>'תקציב מינהל תפעול 2022'!F43</f>
        <v>0</v>
      </c>
      <c r="G76" s="4">
        <f>'תקציב מינהל תפעול 2022'!G43</f>
        <v>32500000</v>
      </c>
      <c r="H76" s="4">
        <f>'תקציב מינהל תפעול 2022'!H43</f>
        <v>31975060</v>
      </c>
      <c r="I76" s="4">
        <f>'תקציב מינהל תפעול 2022'!I43</f>
        <v>182915</v>
      </c>
      <c r="J76" s="4">
        <f>'תקציב מינהל תפעול 2022'!J43</f>
        <v>330025</v>
      </c>
      <c r="K76" s="4">
        <f>'תקציב מינהל תפעול 2022'!K43</f>
        <v>512940</v>
      </c>
      <c r="L76" s="4">
        <f>'תקציב מינהל תפעול 2022'!L43</f>
        <v>32488000</v>
      </c>
      <c r="M76" s="4">
        <f>'תקציב מינהל תפעול 2022'!M43</f>
        <v>12000</v>
      </c>
      <c r="N76" s="4">
        <f>'תקציב מינהל תפעול 2022'!N43</f>
        <v>0</v>
      </c>
      <c r="O76" s="4">
        <f>'תקציב מינהל תפעול 2022'!O43</f>
        <v>0</v>
      </c>
      <c r="P76" s="4">
        <f>'תקציב מינהל תפעול 2022'!P43</f>
        <v>12000</v>
      </c>
      <c r="Q76" s="4">
        <f>'תקציב מינהל תפעול 2022'!Q43</f>
        <v>0</v>
      </c>
      <c r="R76" s="4">
        <f>'תקציב מינהל תפעול 2022'!R43</f>
        <v>0</v>
      </c>
      <c r="S76" s="4">
        <f>'תקציב מינהל תפעול 2022'!S43</f>
        <v>0</v>
      </c>
      <c r="T76" s="4">
        <f>'תקציב מינהל תפעול 2022'!T43</f>
        <v>0</v>
      </c>
      <c r="U76" s="4">
        <f>'תקציב מינהל תפעול 2022'!U43</f>
        <v>0</v>
      </c>
      <c r="V76" s="4">
        <f>'תקציב מינהל תפעול 2022'!V43</f>
        <v>0</v>
      </c>
      <c r="W76" s="4">
        <f>'תקציב מינהל תפעול 2022'!W43</f>
        <v>0</v>
      </c>
      <c r="X76" s="4">
        <f>'תקציב מינהל תפעול 2022'!X43</f>
        <v>0</v>
      </c>
      <c r="Y76" s="4">
        <f>'תקציב מינהל תפעול 2022'!Y43</f>
        <v>0</v>
      </c>
      <c r="Z76" s="4">
        <f>'תקציב מינהל תפעול 2022'!Z43</f>
        <v>0</v>
      </c>
      <c r="AA76" s="4">
        <f>'תקציב מינהל תפעול 2022'!AA43</f>
        <v>0</v>
      </c>
      <c r="AB76" s="255" t="str">
        <f>'תקציב מינהל תפעול 2022'!AB43</f>
        <v>סל עבודות שיפוצים שונות במוס"ח לרבות שיפוצים יסודיים והתאמת מבנים גנ"י.ראה תב"ר 2177. ייסגר עם קבלת תקבול מ. החינוך יביל יד גיורא.</v>
      </c>
      <c r="AC76" s="3">
        <f>'תקציב מינהל תפעול 2022'!AC43</f>
        <v>810000</v>
      </c>
      <c r="AD76" s="480"/>
      <c r="AE76" s="475"/>
      <c r="AF76" s="475"/>
      <c r="AG76" s="475"/>
      <c r="AH76" s="476"/>
      <c r="AI76" s="482"/>
      <c r="AJ76" s="482"/>
      <c r="AK76" s="364"/>
      <c r="AL76" s="477" t="s">
        <v>1160</v>
      </c>
      <c r="AM76" s="478"/>
      <c r="AN76" s="364"/>
      <c r="AO76" s="364"/>
      <c r="AP76" s="4"/>
      <c r="AQ76" s="4"/>
      <c r="AR76" s="669"/>
      <c r="AS76" s="669"/>
      <c r="AT76" s="4"/>
    </row>
    <row r="77" spans="1:46" ht="60">
      <c r="A77" s="3">
        <f t="shared" si="9"/>
        <v>65</v>
      </c>
      <c r="B77" s="3">
        <f>'תקציב מינהל תפעול 2022'!B46</f>
        <v>2001</v>
      </c>
      <c r="C77" s="255" t="str">
        <f>'תקציב מינהל תפעול 2022'!C46</f>
        <v>בניית בי"ס ברחוב משה (ירוק)</v>
      </c>
      <c r="D77" s="4">
        <f>'תקציב מינהל תפעול 2022'!D46</f>
        <v>18500000</v>
      </c>
      <c r="E77" s="4">
        <f>'תקציב מינהל תפעול 2022'!E46</f>
        <v>18500000</v>
      </c>
      <c r="F77" s="4">
        <f>'תקציב מינהל תפעול 2022'!F46</f>
        <v>0</v>
      </c>
      <c r="G77" s="4">
        <f>'תקציב מינהל תפעול 2022'!G46</f>
        <v>8398700</v>
      </c>
      <c r="H77" s="4">
        <f>'תקציב מינהל תפעול 2022'!H46</f>
        <v>592347</v>
      </c>
      <c r="I77" s="4">
        <f>'תקציב מינהל תפעול 2022'!I46</f>
        <v>7007029</v>
      </c>
      <c r="J77" s="4">
        <f>'תקציב מינהל תפעול 2022'!J46</f>
        <v>35009</v>
      </c>
      <c r="K77" s="4">
        <f>'תקציב מינהל תפעול 2022'!K46</f>
        <v>7042038</v>
      </c>
      <c r="L77" s="4">
        <f>'תקציב מינהל תפעול 2022'!L46</f>
        <v>7634385</v>
      </c>
      <c r="M77" s="4">
        <f>'תקציב מינהל תפעול 2022'!M46</f>
        <v>764315</v>
      </c>
      <c r="N77" s="4">
        <f>'תקציב מינהל תפעול 2022'!N46</f>
        <v>0</v>
      </c>
      <c r="O77" s="4">
        <f>'תקציב מינהל תפעול 2022'!O46</f>
        <v>10101300</v>
      </c>
      <c r="P77" s="4">
        <f>'תקציב מינהל תפעול 2022'!P46</f>
        <v>764315</v>
      </c>
      <c r="Q77" s="4">
        <f>'תקציב מינהל תפעול 2022'!Q46</f>
        <v>0</v>
      </c>
      <c r="R77" s="4">
        <f>'תקציב מינהל תפעול 2022'!R46</f>
        <v>0</v>
      </c>
      <c r="S77" s="4">
        <f>'תקציב מינהל תפעול 2022'!S46</f>
        <v>0</v>
      </c>
      <c r="T77" s="4">
        <f>'תקציב מינהל תפעול 2022'!T46</f>
        <v>0</v>
      </c>
      <c r="U77" s="4">
        <f>'תקציב מינהל תפעול 2022'!U46</f>
        <v>0</v>
      </c>
      <c r="V77" s="4">
        <f>'תקציב מינהל תפעול 2022'!V46</f>
        <v>0</v>
      </c>
      <c r="W77" s="4">
        <f>'תקציב מינהל תפעול 2022'!W46</f>
        <v>0</v>
      </c>
      <c r="X77" s="4">
        <f>'תקציב מינהל תפעול 2022'!X46</f>
        <v>0</v>
      </c>
      <c r="Y77" s="4">
        <f>'תקציב מינהל תפעול 2022'!Y46</f>
        <v>0</v>
      </c>
      <c r="Z77" s="4">
        <f>'תקציב מינהל תפעול 2022'!Z46</f>
        <v>0</v>
      </c>
      <c r="AA77" s="4">
        <f>'תקציב מינהל תפעול 2022'!AA46</f>
        <v>0</v>
      </c>
      <c r="AB77" s="255" t="str">
        <f>'תקציב מינהל תפעול 2022'!AB46</f>
        <v xml:space="preserve">בניית בית ספר ברח' משה-12 כתות. מימון מ. החינוך. </v>
      </c>
      <c r="AC77" s="3">
        <f>'תקציב מינהל תפעול 2022'!AC46</f>
        <v>810000</v>
      </c>
      <c r="AD77" s="480" t="s">
        <v>1289</v>
      </c>
      <c r="AE77" s="482" t="s">
        <v>1290</v>
      </c>
      <c r="AF77" s="475"/>
      <c r="AG77" s="475"/>
      <c r="AH77" s="476"/>
      <c r="AI77" s="482" t="s">
        <v>1291</v>
      </c>
      <c r="AJ77" s="482" t="s">
        <v>1291</v>
      </c>
      <c r="AK77" s="364" t="s">
        <v>1291</v>
      </c>
      <c r="AL77" s="477" t="s">
        <v>1160</v>
      </c>
      <c r="AM77" s="478"/>
      <c r="AN77" s="364"/>
      <c r="AO77" s="364" t="s">
        <v>1292</v>
      </c>
      <c r="AP77" s="4"/>
      <c r="AQ77" s="4"/>
      <c r="AR77" s="669"/>
      <c r="AS77" s="669"/>
      <c r="AT77" s="4"/>
    </row>
    <row r="78" spans="1:46" ht="40.9" customHeight="1">
      <c r="A78" s="3">
        <f t="shared" si="9"/>
        <v>66</v>
      </c>
      <c r="B78" s="3">
        <f>'תקציב מינהל תפעול 2022'!B47</f>
        <v>2028</v>
      </c>
      <c r="C78" s="255" t="str">
        <f>'תקציב מינהל תפעול 2022'!C47</f>
        <v>שיפוץ מעבדת רובוטיקה בהנדסאים</v>
      </c>
      <c r="D78" s="4">
        <f>'תקציב מינהל תפעול 2022'!D47</f>
        <v>2435000</v>
      </c>
      <c r="E78" s="4">
        <f>'תקציב מינהל תפעול 2022'!E47</f>
        <v>2435000</v>
      </c>
      <c r="F78" s="4">
        <f>'תקציב מינהל תפעול 2022'!F47</f>
        <v>0</v>
      </c>
      <c r="G78" s="4">
        <f>'תקציב מינהל תפעול 2022'!G47</f>
        <v>2435000</v>
      </c>
      <c r="H78" s="4">
        <f>'תקציב מינהל תפעול 2022'!H47</f>
        <v>2272968</v>
      </c>
      <c r="I78" s="4">
        <f>'תקציב מינהל תפעול 2022'!I47</f>
        <v>161556</v>
      </c>
      <c r="J78" s="4">
        <f>'תקציב מינהל תפעול 2022'!J47</f>
        <v>0</v>
      </c>
      <c r="K78" s="4">
        <f>'תקציב מינהל תפעול 2022'!K47</f>
        <v>161556</v>
      </c>
      <c r="L78" s="4">
        <f>'תקציב מינהל תפעול 2022'!L47</f>
        <v>2434524</v>
      </c>
      <c r="M78" s="4">
        <f>'תקציב מינהל תפעול 2022'!M47</f>
        <v>476</v>
      </c>
      <c r="N78" s="4">
        <f>'תקציב מינהל תפעול 2022'!N47</f>
        <v>0</v>
      </c>
      <c r="O78" s="4">
        <f>'תקציב מינהל תפעול 2022'!O47</f>
        <v>0</v>
      </c>
      <c r="P78" s="4">
        <f>'תקציב מינהל תפעול 2022'!P47</f>
        <v>476</v>
      </c>
      <c r="Q78" s="4">
        <f>'תקציב מינהל תפעול 2022'!Q47</f>
        <v>0</v>
      </c>
      <c r="R78" s="4">
        <f>'תקציב מינהל תפעול 2022'!R47</f>
        <v>0</v>
      </c>
      <c r="S78" s="4">
        <f>'תקציב מינהל תפעול 2022'!S47</f>
        <v>0</v>
      </c>
      <c r="T78" s="4">
        <f>'תקציב מינהל תפעול 2022'!T47</f>
        <v>0</v>
      </c>
      <c r="U78" s="4">
        <f>'תקציב מינהל תפעול 2022'!U47</f>
        <v>0</v>
      </c>
      <c r="V78" s="4">
        <f>'תקציב מינהל תפעול 2022'!V47</f>
        <v>0</v>
      </c>
      <c r="W78" s="4">
        <f>'תקציב מינהל תפעול 2022'!W47</f>
        <v>0</v>
      </c>
      <c r="X78" s="4">
        <f>'תקציב מינהל תפעול 2022'!X47</f>
        <v>0</v>
      </c>
      <c r="Y78" s="4">
        <f>'תקציב מינהל תפעול 2022'!Y47</f>
        <v>0</v>
      </c>
      <c r="Z78" s="4">
        <f>'תקציב מינהל תפעול 2022'!Z47</f>
        <v>0</v>
      </c>
      <c r="AA78" s="4">
        <f>'תקציב מינהל תפעול 2022'!AA47</f>
        <v>0</v>
      </c>
      <c r="AB78" s="255" t="str">
        <f>'תקציב מינהל תפעול 2022'!AB47</f>
        <v>עבודות חיפוי חיצוני עפ"י דרישת מינהל הנדסה.</v>
      </c>
      <c r="AC78" s="3">
        <f>'תקציב מינהל תפעול 2022'!AC47</f>
        <v>810000</v>
      </c>
      <c r="AD78" s="480"/>
      <c r="AE78" s="475"/>
      <c r="AF78" s="475"/>
      <c r="AG78" s="475"/>
      <c r="AH78" s="476"/>
      <c r="AI78" s="482"/>
      <c r="AJ78" s="482"/>
      <c r="AK78" s="364"/>
      <c r="AL78" s="477" t="s">
        <v>1160</v>
      </c>
      <c r="AM78" s="478"/>
      <c r="AN78" s="364"/>
      <c r="AO78" s="364"/>
      <c r="AP78" s="4"/>
      <c r="AQ78" s="4"/>
      <c r="AR78" s="669"/>
      <c r="AS78" s="669"/>
      <c r="AT78" s="4"/>
    </row>
    <row r="79" spans="1:46" ht="60">
      <c r="A79" s="3">
        <f t="shared" si="9"/>
        <v>67</v>
      </c>
      <c r="B79" s="3">
        <f>'תקציב מינהל תפעול 2022'!B48</f>
        <v>2030</v>
      </c>
      <c r="C79" s="255" t="str">
        <f>'תקציב מינהל תפעול 2022'!C48</f>
        <v>תיכון ראשונים</v>
      </c>
      <c r="D79" s="4">
        <f>'תקציב מינהל תפעול 2022'!D48</f>
        <v>31500000</v>
      </c>
      <c r="E79" s="4">
        <f>'תקציב מינהל תפעול 2022'!E48</f>
        <v>31500000</v>
      </c>
      <c r="F79" s="4">
        <f>'תקציב מינהל תפעול 2022'!F48</f>
        <v>0</v>
      </c>
      <c r="G79" s="4">
        <f>'תקציב מינהל תפעול 2022'!G48</f>
        <v>14500000</v>
      </c>
      <c r="H79" s="4">
        <f>'תקציב מינהל תפעול 2022'!H48</f>
        <v>4808398</v>
      </c>
      <c r="I79" s="4">
        <f>'תקציב מינהל תפעול 2022'!I48</f>
        <v>5339146</v>
      </c>
      <c r="J79" s="4">
        <f>'תקציב מינהל תפעול 2022'!J48</f>
        <v>1541335</v>
      </c>
      <c r="K79" s="4">
        <f>'תקציב מינהל תפעול 2022'!K48</f>
        <v>6880481</v>
      </c>
      <c r="L79" s="4">
        <f>'תקציב מינהל תפעול 2022'!L48</f>
        <v>11688879</v>
      </c>
      <c r="M79" s="4">
        <f>'תקציב מינהל תפעול 2022'!M48</f>
        <v>811121</v>
      </c>
      <c r="N79" s="4">
        <f>'תקציב מינהל תפעול 2022'!N48</f>
        <v>3750000</v>
      </c>
      <c r="O79" s="4">
        <f>'תקציב מינהל תפעול 2022'!O48</f>
        <v>15250000</v>
      </c>
      <c r="P79" s="4">
        <f>'תקציב מינהל תפעול 2022'!P48</f>
        <v>2811121</v>
      </c>
      <c r="Q79" s="4">
        <f>'תקציב מינהל תפעול 2022'!Q48</f>
        <v>0</v>
      </c>
      <c r="R79" s="4">
        <f>'תקציב מינהל תפעול 2022'!R48</f>
        <v>-2000000</v>
      </c>
      <c r="S79" s="4">
        <f>'תקציב מינהל תפעול 2022'!S48</f>
        <v>-2000000</v>
      </c>
      <c r="T79" s="4">
        <f>'תקציב מינהל תפעול 2022'!T48</f>
        <v>0</v>
      </c>
      <c r="U79" s="4">
        <f>'תקציב מינהל תפעול 2022'!U48</f>
        <v>3750000</v>
      </c>
      <c r="V79" s="4">
        <f>'תקציב מינהל תפעול 2022'!V48</f>
        <v>1750000</v>
      </c>
      <c r="W79" s="4">
        <f>'תקציב מינהל תפעול 2022'!W48</f>
        <v>0</v>
      </c>
      <c r="X79" s="4">
        <f>'תקציב מינהל תפעול 2022'!X48</f>
        <v>0</v>
      </c>
      <c r="Y79" s="4">
        <f>'תקציב מינהל תפעול 2022'!Y48</f>
        <v>0</v>
      </c>
      <c r="Z79" s="4">
        <f>'תקציב מינהל תפעול 2022'!Z48</f>
        <v>0</v>
      </c>
      <c r="AA79" s="4">
        <f>'תקציב מינהל תפעול 2022'!AA48</f>
        <v>2000000</v>
      </c>
      <c r="AB79" s="255" t="str">
        <f>'תקציב מינהל תפעול 2022'!AB48</f>
        <v>פרויקט  בניית אודיטוריום ,תוספת 6 כתות ו-2 ממ"דים ,שיפוץ כללי. אודיטוריום - מימון מ.הפיס.</v>
      </c>
      <c r="AC79" s="3">
        <f>'תקציב מינהל תפעול 2022'!AC48</f>
        <v>810000</v>
      </c>
      <c r="AD79" s="480"/>
      <c r="AE79" s="482" t="s">
        <v>1293</v>
      </c>
      <c r="AF79" s="475"/>
      <c r="AG79" s="475" t="s">
        <v>1250</v>
      </c>
      <c r="AH79" s="476"/>
      <c r="AI79" s="482" t="s">
        <v>1294</v>
      </c>
      <c r="AJ79" s="490" t="s">
        <v>1295</v>
      </c>
      <c r="AK79" s="364" t="s">
        <v>1296</v>
      </c>
      <c r="AL79" s="477" t="s">
        <v>1160</v>
      </c>
      <c r="AM79" s="478">
        <v>2</v>
      </c>
      <c r="AN79" s="364" t="s">
        <v>1297</v>
      </c>
      <c r="AO79" s="364" t="s">
        <v>2213</v>
      </c>
      <c r="AP79" s="4"/>
      <c r="AQ79" s="4"/>
      <c r="AR79" s="669"/>
      <c r="AS79" s="669"/>
      <c r="AT79" s="4"/>
    </row>
    <row r="80" spans="1:46" ht="105">
      <c r="A80" s="3">
        <f t="shared" si="9"/>
        <v>68</v>
      </c>
      <c r="B80" s="3">
        <f>'תקציב מינהל תפעול 2022'!B50</f>
        <v>2038</v>
      </c>
      <c r="C80" s="255" t="str">
        <f>'תקציב מינהל תפעול 2022'!C50</f>
        <v xml:space="preserve">הסדרת שטחי מוס"ח ברחבי העיר </v>
      </c>
      <c r="D80" s="4">
        <f>'תקציב מינהל תפעול 2022'!D50</f>
        <v>4950000</v>
      </c>
      <c r="E80" s="4">
        <f>'תקציב מינהל תפעול 2022'!E50</f>
        <v>4950000</v>
      </c>
      <c r="F80" s="4">
        <f>'תקציב מינהל תפעול 2022'!F50</f>
        <v>0</v>
      </c>
      <c r="G80" s="4">
        <f>'תקציב מינהל תפעול 2022'!G50</f>
        <v>3450000</v>
      </c>
      <c r="H80" s="4">
        <f>'תקציב מינהל תפעול 2022'!H50</f>
        <v>2650756</v>
      </c>
      <c r="I80" s="4">
        <f>'תקציב מינהל תפעול 2022'!I50</f>
        <v>0</v>
      </c>
      <c r="J80" s="4">
        <f>'תקציב מינהל תפעול 2022'!J50</f>
        <v>683824</v>
      </c>
      <c r="K80" s="4">
        <f>'תקציב מינהל תפעול 2022'!K50</f>
        <v>683824</v>
      </c>
      <c r="L80" s="4">
        <f>'תקציב מינהל תפעול 2022'!L50</f>
        <v>3334580</v>
      </c>
      <c r="M80" s="4">
        <f>'תקציב מינהל תפעול 2022'!M50</f>
        <v>115420</v>
      </c>
      <c r="N80" s="4">
        <f>'תקציב מינהל תפעול 2022'!N50</f>
        <v>1000000</v>
      </c>
      <c r="O80" s="4">
        <f>'תקציב מינהל תפעול 2022'!O50</f>
        <v>500000</v>
      </c>
      <c r="P80" s="4">
        <f>'תקציב מינהל תפעול 2022'!P50</f>
        <v>115420</v>
      </c>
      <c r="Q80" s="4">
        <f>'תקציב מינהל תפעול 2022'!Q50</f>
        <v>0</v>
      </c>
      <c r="R80" s="4">
        <f>'תקציב מינהל תפעול 2022'!R50</f>
        <v>0</v>
      </c>
      <c r="S80" s="4">
        <f>'תקציב מינהל תפעול 2022'!S50</f>
        <v>0</v>
      </c>
      <c r="T80" s="4">
        <f>'תקציב מינהל תפעול 2022'!T50</f>
        <v>0</v>
      </c>
      <c r="U80" s="4">
        <f>'תקציב מינהל תפעול 2022'!U50</f>
        <v>1000000</v>
      </c>
      <c r="V80" s="4">
        <f>'תקציב מינהל תפעול 2022'!V50</f>
        <v>500000</v>
      </c>
      <c r="W80" s="4">
        <f>'תקציב מינהל תפעול 2022'!W50</f>
        <v>500000</v>
      </c>
      <c r="X80" s="4">
        <f>'תקציב מינהל תפעול 2022'!X50</f>
        <v>0</v>
      </c>
      <c r="Y80" s="4">
        <f>'תקציב מינהל תפעול 2022'!Y50</f>
        <v>0</v>
      </c>
      <c r="Z80" s="4">
        <f>'תקציב מינהל תפעול 2022'!Z50</f>
        <v>0</v>
      </c>
      <c r="AA80" s="4">
        <f>'תקציב מינהל תפעול 2022'!AA50</f>
        <v>0</v>
      </c>
      <c r="AB80" s="255" t="str">
        <f>'תקציב מינהל תפעול 2022'!AB50</f>
        <v xml:space="preserve">המשך הסדרת שטחי בי"ס ,תוספת הסדרת שטחי גנ"י כולל: עצי הצללה, דשא סינטטי, מערכות השקייה חסכוניות במים והסדרת שטחים מוזנחים. עפ"י תוכנית עבודה שתאושר ע"י הנהלת עיר. </v>
      </c>
      <c r="AC80" s="3">
        <f>'תקציב מינהל תפעול 2022'!AC50</f>
        <v>810000</v>
      </c>
      <c r="AD80" s="480"/>
      <c r="AE80" s="484" t="s">
        <v>1302</v>
      </c>
      <c r="AF80" s="475" t="s">
        <v>1303</v>
      </c>
      <c r="AG80" s="475" t="s">
        <v>1304</v>
      </c>
      <c r="AH80" s="476"/>
      <c r="AI80" s="482" t="s">
        <v>1305</v>
      </c>
      <c r="AJ80" s="482" t="s">
        <v>1305</v>
      </c>
      <c r="AK80" s="364" t="s">
        <v>1305</v>
      </c>
      <c r="AL80" s="477" t="s">
        <v>1153</v>
      </c>
      <c r="AM80" s="478">
        <v>1</v>
      </c>
      <c r="AN80" s="364"/>
      <c r="AO80" s="364" t="s">
        <v>1305</v>
      </c>
      <c r="AP80" s="574">
        <v>-500000</v>
      </c>
      <c r="AQ80" s="4"/>
      <c r="AR80" s="669">
        <v>1000000</v>
      </c>
      <c r="AS80" s="669">
        <f>AR80-N80</f>
        <v>0</v>
      </c>
      <c r="AT80" s="4"/>
    </row>
    <row r="81" spans="1:46" ht="27.6" customHeight="1">
      <c r="A81" s="3">
        <f t="shared" si="9"/>
        <v>69</v>
      </c>
      <c r="B81" s="3">
        <f>'תקציב מינהל תפעול 2022'!B57</f>
        <v>2063</v>
      </c>
      <c r="C81" s="255" t="str">
        <f>'תקציב מינהל תפעול 2022'!C57</f>
        <v>תוספת כיתות /חדרי ספח ברנדיס</v>
      </c>
      <c r="D81" s="4">
        <f>'תקציב מינהל תפעול 2022'!D57</f>
        <v>2400000</v>
      </c>
      <c r="E81" s="4">
        <f>'תקציב מינהל תפעול 2022'!E57</f>
        <v>2400000</v>
      </c>
      <c r="F81" s="4">
        <f>'תקציב מינהל תפעול 2022'!F57</f>
        <v>0</v>
      </c>
      <c r="G81" s="4">
        <f>'תקציב מינהל תפעול 2022'!G57</f>
        <v>2400000</v>
      </c>
      <c r="H81" s="4">
        <f>'תקציב מינהל תפעול 2022'!H57</f>
        <v>443126</v>
      </c>
      <c r="I81" s="4">
        <f>'תקציב מינהל תפעול 2022'!I57</f>
        <v>1724245</v>
      </c>
      <c r="J81" s="4">
        <f>'תקציב מינהל תפעול 2022'!J57</f>
        <v>13386</v>
      </c>
      <c r="K81" s="4">
        <f>'תקציב מינהל תפעול 2022'!K57</f>
        <v>1737631</v>
      </c>
      <c r="L81" s="4">
        <f>'תקציב מינהל תפעול 2022'!L57</f>
        <v>2180757</v>
      </c>
      <c r="M81" s="4">
        <f>'תקציב מינהל תפעול 2022'!M57</f>
        <v>219243</v>
      </c>
      <c r="N81" s="4">
        <f>'תקציב מינהל תפעול 2022'!N57</f>
        <v>0</v>
      </c>
      <c r="O81" s="4">
        <f>'תקציב מינהל תפעול 2022'!O57</f>
        <v>0</v>
      </c>
      <c r="P81" s="4">
        <f>'תקציב מינהל תפעול 2022'!P57</f>
        <v>219243</v>
      </c>
      <c r="Q81" s="4">
        <f>'תקציב מינהל תפעול 2022'!Q57</f>
        <v>0</v>
      </c>
      <c r="R81" s="4">
        <f>'תקציב מינהל תפעול 2022'!R57</f>
        <v>0</v>
      </c>
      <c r="S81" s="4">
        <f>'תקציב מינהל תפעול 2022'!S57</f>
        <v>0</v>
      </c>
      <c r="T81" s="4">
        <f>'תקציב מינהל תפעול 2022'!T57</f>
        <v>0</v>
      </c>
      <c r="U81" s="4">
        <f>'תקציב מינהל תפעול 2022'!U57</f>
        <v>0</v>
      </c>
      <c r="V81" s="4">
        <f>'תקציב מינהל תפעול 2022'!V57</f>
        <v>0</v>
      </c>
      <c r="W81" s="4">
        <f>'תקציב מינהל תפעול 2022'!W57</f>
        <v>0</v>
      </c>
      <c r="X81" s="4">
        <f>'תקציב מינהל תפעול 2022'!X57</f>
        <v>0</v>
      </c>
      <c r="Y81" s="4">
        <f>'תקציב מינהל תפעול 2022'!Y57</f>
        <v>0</v>
      </c>
      <c r="Z81" s="4">
        <f>'תקציב מינהל תפעול 2022'!Z57</f>
        <v>0</v>
      </c>
      <c r="AA81" s="4">
        <f>'תקציב מינהל תפעול 2022'!AA57</f>
        <v>0</v>
      </c>
      <c r="AB81" s="255" t="str">
        <f>'תקציב מינהל תפעול 2022'!AB57</f>
        <v xml:space="preserve">תוספת כיתות וחדרי ספח בקומת המסד בבי"ס ברנדיס. </v>
      </c>
      <c r="AC81" s="3">
        <f>'תקציב מינהל תפעול 2022'!AC57</f>
        <v>810000</v>
      </c>
      <c r="AD81" s="480"/>
      <c r="AE81" s="482" t="s">
        <v>644</v>
      </c>
      <c r="AF81" s="475"/>
      <c r="AG81" s="475" t="s">
        <v>1314</v>
      </c>
      <c r="AH81" s="476"/>
      <c r="AI81" s="482" t="s">
        <v>644</v>
      </c>
      <c r="AJ81" s="482" t="s">
        <v>644</v>
      </c>
      <c r="AK81" s="364" t="s">
        <v>644</v>
      </c>
      <c r="AL81" s="477" t="s">
        <v>1160</v>
      </c>
      <c r="AM81" s="478"/>
      <c r="AN81" s="364"/>
      <c r="AO81" s="364" t="s">
        <v>644</v>
      </c>
      <c r="AP81" s="4"/>
      <c r="AQ81" s="4"/>
      <c r="AR81" s="669"/>
      <c r="AS81" s="669"/>
      <c r="AT81" s="4"/>
    </row>
    <row r="82" spans="1:46" s="418" customFormat="1" ht="30">
      <c r="A82" s="3">
        <f t="shared" si="9"/>
        <v>70</v>
      </c>
      <c r="B82" s="3">
        <f>'תקציב מינהל תפעול 2022'!B59</f>
        <v>2071</v>
      </c>
      <c r="C82" s="255" t="str">
        <f>'תקציב מינהל תפעול 2022'!C59</f>
        <v>נגישות אקוסטית מ.החינוך 2017</v>
      </c>
      <c r="D82" s="4">
        <f>'תקציב מינהל תפעול 2022'!D59</f>
        <v>300000</v>
      </c>
      <c r="E82" s="4">
        <f>'תקציב מינהל תפעול 2022'!E59</f>
        <v>300000</v>
      </c>
      <c r="F82" s="4">
        <f>'תקציב מינהל תפעול 2022'!F59</f>
        <v>0</v>
      </c>
      <c r="G82" s="4">
        <f>'תקציב מינהל תפעול 2022'!G59</f>
        <v>300000</v>
      </c>
      <c r="H82" s="4">
        <f>'תקציב מינהל תפעול 2022'!H59</f>
        <v>270457</v>
      </c>
      <c r="I82" s="4">
        <f>'תקציב מינהל תפעול 2022'!I59</f>
        <v>0</v>
      </c>
      <c r="J82" s="4">
        <f>'תקציב מינהל תפעול 2022'!J59</f>
        <v>0</v>
      </c>
      <c r="K82" s="4">
        <f>'תקציב מינהל תפעול 2022'!K59</f>
        <v>0</v>
      </c>
      <c r="L82" s="4">
        <f>'תקציב מינהל תפעול 2022'!L59</f>
        <v>270457</v>
      </c>
      <c r="M82" s="4">
        <f>'תקציב מינהל תפעול 2022'!M59</f>
        <v>29543</v>
      </c>
      <c r="N82" s="4">
        <f>'תקציב מינהל תפעול 2022'!N59</f>
        <v>0</v>
      </c>
      <c r="O82" s="4">
        <f>'תקציב מינהל תפעול 2022'!O59</f>
        <v>0</v>
      </c>
      <c r="P82" s="4">
        <f>'תקציב מינהל תפעול 2022'!P59</f>
        <v>29543</v>
      </c>
      <c r="Q82" s="4">
        <f>'תקציב מינהל תפעול 2022'!Q59</f>
        <v>0</v>
      </c>
      <c r="R82" s="4">
        <f>'תקציב מינהל תפעול 2022'!R59</f>
        <v>0</v>
      </c>
      <c r="S82" s="4">
        <f>'תקציב מינהל תפעול 2022'!S59</f>
        <v>0</v>
      </c>
      <c r="T82" s="4">
        <f>'תקציב מינהל תפעול 2022'!T59</f>
        <v>0</v>
      </c>
      <c r="U82" s="4">
        <f>'תקציב מינהל תפעול 2022'!U59</f>
        <v>0</v>
      </c>
      <c r="V82" s="4">
        <f>'תקציב מינהל תפעול 2022'!V59</f>
        <v>0</v>
      </c>
      <c r="W82" s="4">
        <f>'תקציב מינהל תפעול 2022'!W59</f>
        <v>0</v>
      </c>
      <c r="X82" s="4">
        <f>'תקציב מינהל תפעול 2022'!X59</f>
        <v>0</v>
      </c>
      <c r="Y82" s="4">
        <f>'תקציב מינהל תפעול 2022'!Y59</f>
        <v>0</v>
      </c>
      <c r="Z82" s="4">
        <f>'תקציב מינהל תפעול 2022'!Z59</f>
        <v>0</v>
      </c>
      <c r="AA82" s="4">
        <f>'תקציב מינהל תפעול 2022'!AA59</f>
        <v>0</v>
      </c>
      <c r="AB82" s="255" t="str">
        <f>'תקציב מינהל תפעול 2022'!AB59</f>
        <v>מימון מ. החינוך. ממתין לתקבול סופי.</v>
      </c>
      <c r="AC82" s="3">
        <f>'תקציב מינהל תפעול 2022'!AC59</f>
        <v>810000</v>
      </c>
      <c r="AD82" s="480"/>
      <c r="AE82" s="482" t="s">
        <v>1317</v>
      </c>
      <c r="AF82" s="475"/>
      <c r="AG82" s="475" t="s">
        <v>1250</v>
      </c>
      <c r="AH82" s="476"/>
      <c r="AI82" s="482" t="s">
        <v>1318</v>
      </c>
      <c r="AJ82" s="482" t="s">
        <v>1318</v>
      </c>
      <c r="AK82" s="364" t="s">
        <v>1318</v>
      </c>
      <c r="AL82" s="477" t="s">
        <v>1160</v>
      </c>
      <c r="AM82" s="478"/>
      <c r="AN82" s="364"/>
      <c r="AO82" s="364" t="s">
        <v>1318</v>
      </c>
      <c r="AP82" s="4"/>
      <c r="AQ82" s="4"/>
      <c r="AR82" s="669"/>
      <c r="AS82" s="669"/>
      <c r="AT82" s="4"/>
    </row>
    <row r="83" spans="1:46" ht="30">
      <c r="A83" s="3">
        <f t="shared" si="9"/>
        <v>71</v>
      </c>
      <c r="B83" s="3">
        <f>'תקציב מינהל תפעול 2022'!B71</f>
        <v>2140</v>
      </c>
      <c r="C83" s="255" t="str">
        <f>'תקציב מינהל תפעול 2022'!C71</f>
        <v>נגישות אקוסטית 2019 מ. החינוך</v>
      </c>
      <c r="D83" s="4">
        <f>'תקציב מינהל תפעול 2022'!D71</f>
        <v>360000</v>
      </c>
      <c r="E83" s="4">
        <f>'תקציב מינהל תפעול 2022'!E71</f>
        <v>360000</v>
      </c>
      <c r="F83" s="4">
        <f>'תקציב מינהל תפעול 2022'!F71</f>
        <v>0</v>
      </c>
      <c r="G83" s="4">
        <f>'תקציב מינהל תפעול 2022'!G71</f>
        <v>360000</v>
      </c>
      <c r="H83" s="4">
        <f>'תקציב מינהל תפעול 2022'!H71</f>
        <v>283122</v>
      </c>
      <c r="I83" s="4">
        <f>'תקציב מינהל תפעול 2022'!I71</f>
        <v>0</v>
      </c>
      <c r="J83" s="4">
        <f>'תקציב מינהל תפעול 2022'!J71</f>
        <v>0</v>
      </c>
      <c r="K83" s="4">
        <f>'תקציב מינהל תפעול 2022'!K71</f>
        <v>0</v>
      </c>
      <c r="L83" s="4">
        <f>'תקציב מינהל תפעול 2022'!L71</f>
        <v>283122</v>
      </c>
      <c r="M83" s="4">
        <f>'תקציב מינהל תפעול 2022'!M71</f>
        <v>76878</v>
      </c>
      <c r="N83" s="4">
        <f>'תקציב מינהל תפעול 2022'!N71</f>
        <v>0</v>
      </c>
      <c r="O83" s="4">
        <f>'תקציב מינהל תפעול 2022'!O71</f>
        <v>0</v>
      </c>
      <c r="P83" s="4">
        <f>'תקציב מינהל תפעול 2022'!P71</f>
        <v>76878</v>
      </c>
      <c r="Q83" s="4">
        <f>'תקציב מינהל תפעול 2022'!Q71</f>
        <v>0</v>
      </c>
      <c r="R83" s="4">
        <f>'תקציב מינהל תפעול 2022'!R71</f>
        <v>0</v>
      </c>
      <c r="S83" s="4">
        <f>'תקציב מינהל תפעול 2022'!S71</f>
        <v>0</v>
      </c>
      <c r="T83" s="4">
        <f>'תקציב מינהל תפעול 2022'!T71</f>
        <v>0</v>
      </c>
      <c r="U83" s="4">
        <f>'תקציב מינהל תפעול 2022'!U71</f>
        <v>0</v>
      </c>
      <c r="V83" s="4">
        <f>'תקציב מינהל תפעול 2022'!V71</f>
        <v>0</v>
      </c>
      <c r="W83" s="4">
        <f>'תקציב מינהל תפעול 2022'!W71</f>
        <v>0</v>
      </c>
      <c r="X83" s="4">
        <f>'תקציב מינהל תפעול 2022'!X71</f>
        <v>0</v>
      </c>
      <c r="Y83" s="4">
        <f>'תקציב מינהל תפעול 2022'!Y71</f>
        <v>0</v>
      </c>
      <c r="Z83" s="4">
        <f>'תקציב מינהל תפעול 2022'!Z71</f>
        <v>0</v>
      </c>
      <c r="AA83" s="4">
        <f>'תקציב מינהל תפעול 2022'!AA71</f>
        <v>0</v>
      </c>
      <c r="AB83" s="255" t="str">
        <f>'תקציב מינהל תפעול 2022'!AB71</f>
        <v xml:space="preserve">מימון מ. החינוך. </v>
      </c>
      <c r="AC83" s="3">
        <f>'תקציב מינהל תפעול 2022'!AC71</f>
        <v>810000</v>
      </c>
      <c r="AD83" s="480"/>
      <c r="AE83" s="482" t="s">
        <v>1340</v>
      </c>
      <c r="AF83" s="475"/>
      <c r="AG83" s="475" t="s">
        <v>1250</v>
      </c>
      <c r="AH83" s="476"/>
      <c r="AI83" s="482" t="s">
        <v>1318</v>
      </c>
      <c r="AJ83" s="482" t="s">
        <v>1318</v>
      </c>
      <c r="AK83" s="364" t="s">
        <v>1318</v>
      </c>
      <c r="AL83" s="477" t="s">
        <v>1160</v>
      </c>
      <c r="AM83" s="478"/>
      <c r="AN83" s="364"/>
      <c r="AO83" s="364" t="s">
        <v>1318</v>
      </c>
      <c r="AP83" s="4"/>
      <c r="AQ83" s="4"/>
      <c r="AR83" s="669"/>
      <c r="AS83" s="669"/>
      <c r="AT83" s="4"/>
    </row>
    <row r="84" spans="1:46" ht="90">
      <c r="A84" s="3">
        <f t="shared" si="9"/>
        <v>72</v>
      </c>
      <c r="B84" s="3">
        <f>'תקציב מינהל תפעול 2022'!B75</f>
        <v>2157</v>
      </c>
      <c r="C84" s="255" t="str">
        <f>'תקציב מינהל תפעול 2022'!C75</f>
        <v>התקנת חיבורים חיצוניים לגנרטורים מוסח/ציבור</v>
      </c>
      <c r="D84" s="4">
        <f>'תקציב מינהל תפעול 2022'!D75</f>
        <v>5200000</v>
      </c>
      <c r="E84" s="4">
        <f>'תקציב מינהל תפעול 2022'!E75</f>
        <v>5200000</v>
      </c>
      <c r="F84" s="4">
        <f>'תקציב מינהל תפעול 2022'!F75</f>
        <v>0</v>
      </c>
      <c r="G84" s="4">
        <f>'תקציב מינהל תפעול 2022'!G75</f>
        <v>150000</v>
      </c>
      <c r="H84" s="4">
        <f>'תקציב מינהל תפעול 2022'!H75</f>
        <v>0</v>
      </c>
      <c r="I84" s="4">
        <f>'תקציב מינהל תפעול 2022'!I75</f>
        <v>0</v>
      </c>
      <c r="J84" s="4">
        <f>'תקציב מינהל תפעול 2022'!J75</f>
        <v>0</v>
      </c>
      <c r="K84" s="4">
        <f>'תקציב מינהל תפעול 2022'!K75</f>
        <v>0</v>
      </c>
      <c r="L84" s="4">
        <f>'תקציב מינהל תפעול 2022'!L75</f>
        <v>0</v>
      </c>
      <c r="M84" s="4">
        <f>'תקציב מינהל תפעול 2022'!M75</f>
        <v>150000</v>
      </c>
      <c r="N84" s="4">
        <f>'תקציב מינהל תפעול 2022'!N75</f>
        <v>500000</v>
      </c>
      <c r="O84" s="4">
        <f>'תקציב מינהל תפעול 2022'!O75</f>
        <v>4550000</v>
      </c>
      <c r="P84" s="4">
        <f>'תקציב מינהל תפעול 2022'!P75</f>
        <v>150000</v>
      </c>
      <c r="Q84" s="4">
        <f>'תקציב מינהל תפעול 2022'!Q75</f>
        <v>0</v>
      </c>
      <c r="R84" s="4">
        <f>'תקציב מינהל תפעול 2022'!R75</f>
        <v>0</v>
      </c>
      <c r="S84" s="4">
        <f>'תקציב מינהל תפעול 2022'!S75</f>
        <v>0</v>
      </c>
      <c r="T84" s="4">
        <f>'תקציב מינהל תפעול 2022'!T75</f>
        <v>0</v>
      </c>
      <c r="U84" s="4">
        <f>'תקציב מינהל תפעול 2022'!U75</f>
        <v>500000</v>
      </c>
      <c r="V84" s="4">
        <f>'תקציב מינהל תפעול 2022'!V75</f>
        <v>0</v>
      </c>
      <c r="W84" s="4">
        <f>'תקציב מינהל תפעול 2022'!W75</f>
        <v>500000</v>
      </c>
      <c r="X84" s="4">
        <f>'תקציב מינהל תפעול 2022'!X75</f>
        <v>0</v>
      </c>
      <c r="Y84" s="4">
        <f>'תקציב מינהל תפעול 2022'!Y75</f>
        <v>0</v>
      </c>
      <c r="Z84" s="4">
        <f>'תקציב מינהל תפעול 2022'!Z75</f>
        <v>0</v>
      </c>
      <c r="AA84" s="4">
        <f>'תקציב מינהל תפעול 2022'!AA75</f>
        <v>0</v>
      </c>
      <c r="AB84" s="255" t="str">
        <f>'תקציב מינהל תפעול 2022'!AB75</f>
        <v>התקנת חיבורים חיצוניים לגנרטורים  במבני חינוך וציבור לשימוש בעת הצורך.</v>
      </c>
      <c r="AC84" s="3">
        <f>'תקציב מינהל תפעול 2022'!AC75</f>
        <v>810000</v>
      </c>
      <c r="AD84" s="483" t="s">
        <v>1351</v>
      </c>
      <c r="AE84" s="482" t="s">
        <v>1352</v>
      </c>
      <c r="AF84" s="475"/>
      <c r="AG84" s="500" t="s">
        <v>1353</v>
      </c>
      <c r="AH84" s="476"/>
      <c r="AI84" s="474" t="s">
        <v>1354</v>
      </c>
      <c r="AJ84" s="474" t="s">
        <v>1354</v>
      </c>
      <c r="AK84" s="272" t="s">
        <v>1354</v>
      </c>
      <c r="AL84" s="477" t="s">
        <v>1160</v>
      </c>
      <c r="AM84" s="478" t="s">
        <v>1355</v>
      </c>
      <c r="AN84" s="160" t="s">
        <v>1356</v>
      </c>
      <c r="AO84" s="272" t="s">
        <v>1354</v>
      </c>
      <c r="AP84" s="4">
        <v>-100000</v>
      </c>
      <c r="AQ84" s="4">
        <v>-100000</v>
      </c>
      <c r="AR84" s="638"/>
      <c r="AS84" s="669"/>
      <c r="AT84" s="4">
        <v>-100000</v>
      </c>
    </row>
    <row r="85" spans="1:46" s="498" customFormat="1" ht="45">
      <c r="A85" s="3">
        <f t="shared" si="9"/>
        <v>73</v>
      </c>
      <c r="B85" s="3">
        <f>'תקציב מינהל תפעול 2022'!B81</f>
        <v>2177</v>
      </c>
      <c r="C85" s="255" t="str">
        <f>'תקציב מינהל תפעול 2022'!C81</f>
        <v>תוכ. אב רב שנתית שיפוצים מוס"ח 2021  ואילך.</v>
      </c>
      <c r="D85" s="4">
        <f>'תקציב מינהל תפעול 2022'!D81</f>
        <v>12500000</v>
      </c>
      <c r="E85" s="4">
        <f>'תקציב מינהל תפעול 2022'!E81</f>
        <v>12500000</v>
      </c>
      <c r="F85" s="4">
        <f>'תקציב מינהל תפעול 2022'!F81</f>
        <v>0</v>
      </c>
      <c r="G85" s="4">
        <f>'תקציב מינהל תפעול 2022'!G81</f>
        <v>11500000</v>
      </c>
      <c r="H85" s="4">
        <f>'תקציב מינהל תפעול 2022'!H81</f>
        <v>4466072</v>
      </c>
      <c r="I85" s="4">
        <f>'תקציב מינהל תפעול 2022'!I81</f>
        <v>254817</v>
      </c>
      <c r="J85" s="4">
        <f>'תקציב מינהל תפעול 2022'!J81</f>
        <v>6637456</v>
      </c>
      <c r="K85" s="4">
        <f>'תקציב מינהל תפעול 2022'!K81</f>
        <v>6892273</v>
      </c>
      <c r="L85" s="4">
        <f>'תקציב מינהל תפעול 2022'!L81</f>
        <v>11358345</v>
      </c>
      <c r="M85" s="4">
        <f>'תקציב מינהל תפעול 2022'!M81</f>
        <v>1141655</v>
      </c>
      <c r="N85" s="4">
        <f>'תקציב מינהל תפעול 2022'!N81</f>
        <v>0</v>
      </c>
      <c r="O85" s="4">
        <f>'תקציב מינהל תפעול 2022'!O81</f>
        <v>0</v>
      </c>
      <c r="P85" s="4">
        <f>'תקציב מינהל תפעול 2022'!P81</f>
        <v>141655</v>
      </c>
      <c r="Q85" s="4">
        <f>'תקציב מינהל תפעול 2022'!Q81</f>
        <v>0</v>
      </c>
      <c r="R85" s="4">
        <f>'תקציב מינהל תפעול 2022'!R81</f>
        <v>1000000</v>
      </c>
      <c r="S85" s="4">
        <f>'תקציב מינהל תפעול 2022'!S81</f>
        <v>1000000</v>
      </c>
      <c r="T85" s="4">
        <f>'תקציב מינהל תפעול 2022'!T81</f>
        <v>0</v>
      </c>
      <c r="U85" s="4">
        <f>'תקציב מינהל תפעול 2022'!U81</f>
        <v>0</v>
      </c>
      <c r="V85" s="4">
        <f>'תקציב מינהל תפעול 2022'!V81</f>
        <v>0</v>
      </c>
      <c r="W85" s="4">
        <f>'תקציב מינהל תפעול 2022'!W81</f>
        <v>0</v>
      </c>
      <c r="X85" s="4">
        <f>'תקציב מינהל תפעול 2022'!X81</f>
        <v>0</v>
      </c>
      <c r="Y85" s="4">
        <f>'תקציב מינהל תפעול 2022'!Y81</f>
        <v>0</v>
      </c>
      <c r="Z85" s="4">
        <f>'תקציב מינהל תפעול 2022'!Z81</f>
        <v>0</v>
      </c>
      <c r="AA85" s="4">
        <f>'תקציב מינהל תפעול 2022'!AA81</f>
        <v>0</v>
      </c>
      <c r="AB85" s="255" t="str">
        <f>'תקציב מינהל תפעול 2022'!AB81</f>
        <v>סל עבודות במוס"ח לרבות שיפוצים יסודיים , התאמת מבנים ושדרוג גנ"י .</v>
      </c>
      <c r="AC85" s="3">
        <f>'תקציב מינהל תפעול 2022'!AC81</f>
        <v>810000</v>
      </c>
      <c r="AD85" s="480"/>
      <c r="AE85" s="482" t="s">
        <v>1372</v>
      </c>
      <c r="AF85" s="475"/>
      <c r="AG85" s="475"/>
      <c r="AH85" s="476"/>
      <c r="AI85" s="482"/>
      <c r="AJ85" s="482"/>
      <c r="AK85" s="364"/>
      <c r="AL85" s="477" t="s">
        <v>1160</v>
      </c>
      <c r="AM85" s="478"/>
      <c r="AN85" s="364"/>
      <c r="AO85" s="364"/>
      <c r="AP85" s="4"/>
      <c r="AQ85" s="4"/>
      <c r="AR85" s="669"/>
      <c r="AS85" s="669"/>
      <c r="AT85" s="4"/>
    </row>
    <row r="86" spans="1:46" ht="45">
      <c r="A86" s="3">
        <f t="shared" si="9"/>
        <v>74</v>
      </c>
      <c r="B86" s="3">
        <f>'תקציב מינהל תפעול 2022'!B82</f>
        <v>2178</v>
      </c>
      <c r="C86" s="255" t="str">
        <f>'תקציב מינהל תפעול 2022'!C82</f>
        <v>תיכון היובל</v>
      </c>
      <c r="D86" s="4">
        <f>'תקציב מינהל תפעול 2022'!D82</f>
        <v>2100000</v>
      </c>
      <c r="E86" s="4">
        <f>'תקציב מינהל תפעול 2022'!E82</f>
        <v>2100000</v>
      </c>
      <c r="F86" s="4">
        <f>'תקציב מינהל תפעול 2022'!F82</f>
        <v>0</v>
      </c>
      <c r="G86" s="4">
        <f>'תקציב מינהל תפעול 2022'!G82</f>
        <v>3100000</v>
      </c>
      <c r="H86" s="4">
        <f>'תקציב מינהל תפעול 2022'!H82</f>
        <v>1415462</v>
      </c>
      <c r="I86" s="4">
        <f>'תקציב מינהל תפעול 2022'!I82</f>
        <v>159611</v>
      </c>
      <c r="J86" s="4">
        <f>'תקציב מינהל תפעול 2022'!J82</f>
        <v>311123</v>
      </c>
      <c r="K86" s="4">
        <f>'תקציב מינהל תפעול 2022'!K82</f>
        <v>470734</v>
      </c>
      <c r="L86" s="4">
        <f>'תקציב מינהל תפעול 2022'!L82</f>
        <v>1886196</v>
      </c>
      <c r="M86" s="4">
        <f>'תקציב מינהל תפעול 2022'!M82</f>
        <v>213804</v>
      </c>
      <c r="N86" s="4">
        <f>'תקציב מינהל תפעול 2022'!N82</f>
        <v>0</v>
      </c>
      <c r="O86" s="4">
        <f>'תקציב מינהל תפעול 2022'!O82</f>
        <v>0</v>
      </c>
      <c r="P86" s="4">
        <f>'תקציב מינהל תפעול 2022'!P82</f>
        <v>1213804</v>
      </c>
      <c r="Q86" s="4">
        <f>'תקציב מינהל תפעול 2022'!Q82</f>
        <v>0</v>
      </c>
      <c r="R86" s="4">
        <f>'תקציב מינהל תפעול 2022'!R82</f>
        <v>-1000000</v>
      </c>
      <c r="S86" s="4">
        <f>'תקציב מינהל תפעול 2022'!S82</f>
        <v>-1000000</v>
      </c>
      <c r="T86" s="4">
        <f>'תקציב מינהל תפעול 2022'!T82</f>
        <v>0</v>
      </c>
      <c r="U86" s="4">
        <f>'תקציב מינהל תפעול 2022'!U82</f>
        <v>0</v>
      </c>
      <c r="V86" s="4">
        <f>'תקציב מינהל תפעול 2022'!V82</f>
        <v>-210000</v>
      </c>
      <c r="W86" s="4">
        <f>'תקציב מינהל תפעול 2022'!W82</f>
        <v>0</v>
      </c>
      <c r="X86" s="4">
        <f>'תקציב מינהל תפעול 2022'!X82</f>
        <v>0</v>
      </c>
      <c r="Y86" s="4">
        <f>'תקציב מינהל תפעול 2022'!Y82</f>
        <v>0</v>
      </c>
      <c r="Z86" s="4">
        <f>'תקציב מינהל תפעול 2022'!Z82</f>
        <v>0</v>
      </c>
      <c r="AA86" s="4">
        <f>'תקציב מינהל תפעול 2022'!AA82</f>
        <v>210000</v>
      </c>
      <c r="AB86" s="255" t="str">
        <f>'תקציב מינהל תפעול 2022'!AB82</f>
        <v>בניית 3 כיתות (קרוואנים), מעבדות, תכנון תוספת כיתות. מימון מ. החינוך.</v>
      </c>
      <c r="AC86" s="3">
        <f>'תקציב מינהל תפעול 2022'!AC82</f>
        <v>810000</v>
      </c>
      <c r="AD86" s="480"/>
      <c r="AE86" s="482" t="s">
        <v>1373</v>
      </c>
      <c r="AF86" s="475"/>
      <c r="AG86" s="475"/>
      <c r="AH86" s="476"/>
      <c r="AI86" s="482" t="s">
        <v>1374</v>
      </c>
      <c r="AJ86" s="482" t="s">
        <v>1374</v>
      </c>
      <c r="AK86" s="364" t="s">
        <v>1375</v>
      </c>
      <c r="AL86" s="477" t="s">
        <v>1160</v>
      </c>
      <c r="AM86" s="478"/>
      <c r="AN86" s="364"/>
      <c r="AO86" s="364" t="s">
        <v>691</v>
      </c>
      <c r="AP86" s="4"/>
      <c r="AQ86" s="4"/>
      <c r="AR86" s="669"/>
      <c r="AS86" s="669"/>
      <c r="AT86" s="4"/>
    </row>
    <row r="87" spans="1:46" ht="51">
      <c r="A87" s="3">
        <f t="shared" si="9"/>
        <v>75</v>
      </c>
      <c r="B87" s="3">
        <f>'תקציב מינהל תפעול 2022'!B85</f>
        <v>2187</v>
      </c>
      <c r="C87" s="255" t="str">
        <f>'תקציב מינהל תפעול 2022'!C85</f>
        <v>בי"ס חלופי בפארק הרצליה</v>
      </c>
      <c r="D87" s="4">
        <f>'תקציב מינהל תפעול 2022'!D85</f>
        <v>10600000</v>
      </c>
      <c r="E87" s="4">
        <f>'תקציב מינהל תפעול 2022'!E85</f>
        <v>9100000</v>
      </c>
      <c r="F87" s="4">
        <f>'תקציב מינהל תפעול 2022'!F85</f>
        <v>1500000</v>
      </c>
      <c r="G87" s="4">
        <f>'תקציב מינהל תפעול 2022'!G85</f>
        <v>9100000</v>
      </c>
      <c r="H87" s="4">
        <f>'תקציב מינהל תפעול 2022'!H85</f>
        <v>3736923</v>
      </c>
      <c r="I87" s="4">
        <f>'תקציב מינהל תפעול 2022'!I85</f>
        <v>4756370</v>
      </c>
      <c r="J87" s="4">
        <f>'תקציב מינהל תפעול 2022'!J85</f>
        <v>606586</v>
      </c>
      <c r="K87" s="4">
        <f>'תקציב מינהל תפעול 2022'!K85</f>
        <v>5362956</v>
      </c>
      <c r="L87" s="4">
        <f>'תקציב מינהל תפעול 2022'!L85</f>
        <v>9099879</v>
      </c>
      <c r="M87" s="4">
        <f>'תקציב מינהל תפעול 2022'!M85</f>
        <v>121</v>
      </c>
      <c r="N87" s="4">
        <f>'תקציב מינהל תפעול 2022'!N85</f>
        <v>1500000</v>
      </c>
      <c r="O87" s="4">
        <f>'תקציב מינהל תפעול 2022'!O85</f>
        <v>0</v>
      </c>
      <c r="P87" s="4">
        <f>'תקציב מינהל תפעול 2022'!P85</f>
        <v>121</v>
      </c>
      <c r="Q87" s="4">
        <f>'תקציב מינהל תפעול 2022'!Q85</f>
        <v>0</v>
      </c>
      <c r="R87" s="4">
        <f>'תקציב מינהל תפעול 2022'!R85</f>
        <v>0</v>
      </c>
      <c r="S87" s="4">
        <f>'תקציב מינהל תפעול 2022'!S85</f>
        <v>0</v>
      </c>
      <c r="T87" s="4">
        <f>'תקציב מינהל תפעול 2022'!T85</f>
        <v>0</v>
      </c>
      <c r="U87" s="4">
        <f>'תקציב מינהל תפעול 2022'!U85</f>
        <v>1500000</v>
      </c>
      <c r="V87" s="4">
        <f>'תקציב מינהל תפעול 2022'!V85</f>
        <v>1500000</v>
      </c>
      <c r="W87" s="4">
        <f>'תקציב מינהל תפעול 2022'!W85</f>
        <v>0</v>
      </c>
      <c r="X87" s="4">
        <f>'תקציב מינהל תפעול 2022'!X85</f>
        <v>0</v>
      </c>
      <c r="Y87" s="4">
        <f>'תקציב מינהל תפעול 2022'!Y85</f>
        <v>0</v>
      </c>
      <c r="Z87" s="4">
        <f>'תקציב מינהל תפעול 2022'!Z85</f>
        <v>0</v>
      </c>
      <c r="AA87" s="4">
        <f>'תקציב מינהל תפעול 2022'!AA85</f>
        <v>0</v>
      </c>
      <c r="AB87" s="255" t="str">
        <f>'תקציב מינהל תפעול 2022'!AB85</f>
        <v>השלמת תכנון וביצוע הקמת בי"ס חלופי בפארק.</v>
      </c>
      <c r="AC87" s="3">
        <f>'תקציב מינהל תפעול 2022'!AC85</f>
        <v>810000</v>
      </c>
      <c r="AD87" s="480"/>
      <c r="AE87" s="482" t="s">
        <v>1384</v>
      </c>
      <c r="AF87" s="475"/>
      <c r="AG87" s="475" t="s">
        <v>1385</v>
      </c>
      <c r="AH87" s="476"/>
      <c r="AI87" s="482" t="s">
        <v>1386</v>
      </c>
      <c r="AJ87" s="490" t="s">
        <v>1386</v>
      </c>
      <c r="AK87" s="364" t="s">
        <v>1387</v>
      </c>
      <c r="AL87" s="477" t="s">
        <v>1160</v>
      </c>
      <c r="AM87" s="478">
        <v>1</v>
      </c>
      <c r="AN87" s="364"/>
      <c r="AO87" s="644" t="s">
        <v>1387</v>
      </c>
      <c r="AP87" s="4"/>
      <c r="AQ87" s="4"/>
      <c r="AR87" s="671"/>
      <c r="AS87" s="669"/>
      <c r="AT87" s="4"/>
    </row>
    <row r="88" spans="1:46" ht="45">
      <c r="A88" s="3">
        <f t="shared" si="9"/>
        <v>76</v>
      </c>
      <c r="B88" s="3">
        <f>'תקציב מינהל תפעול 2022'!B86</f>
        <v>2211</v>
      </c>
      <c r="C88" s="255" t="str">
        <f>'תקציב מינהל תפעול 2022'!C86</f>
        <v>בי"ס דמוקרטי- התאמת מבנה  בפארק  (*) עדכון שם בחט"ב סמדר</v>
      </c>
      <c r="D88" s="4">
        <f>'תקציב מינהל תפעול 2022'!D86</f>
        <v>800000</v>
      </c>
      <c r="E88" s="4">
        <f>'תקציב מינהל תפעול 2022'!E86</f>
        <v>800000</v>
      </c>
      <c r="F88" s="4">
        <f>'תקציב מינהל תפעול 2022'!F86</f>
        <v>0</v>
      </c>
      <c r="G88" s="4">
        <f>'תקציב מינהל תפעול 2022'!G86</f>
        <v>800000</v>
      </c>
      <c r="H88" s="4">
        <f>'תקציב מינהל תפעול 2022'!H86</f>
        <v>0</v>
      </c>
      <c r="I88" s="4">
        <f>'תקציב מינהל תפעול 2022'!I86</f>
        <v>442254</v>
      </c>
      <c r="J88" s="4">
        <f>'תקציב מינהל תפעול 2022'!J86</f>
        <v>57166</v>
      </c>
      <c r="K88" s="4">
        <f>'תקציב מינהל תפעול 2022'!K86</f>
        <v>499420</v>
      </c>
      <c r="L88" s="4">
        <f>'תקציב מינהל תפעול 2022'!L86</f>
        <v>499420</v>
      </c>
      <c r="M88" s="4">
        <f>'תקציב מינהל תפעול 2022'!M86</f>
        <v>300580</v>
      </c>
      <c r="N88" s="4">
        <f>'תקציב מינהל תפעול 2022'!N86</f>
        <v>0</v>
      </c>
      <c r="O88" s="4">
        <f>'תקציב מינהל תפעול 2022'!O86</f>
        <v>0</v>
      </c>
      <c r="P88" s="4">
        <f>'תקציב מינהל תפעול 2022'!P86</f>
        <v>300580</v>
      </c>
      <c r="Q88" s="4">
        <f>'תקציב מינהל תפעול 2022'!Q86</f>
        <v>0</v>
      </c>
      <c r="R88" s="4">
        <f>'תקציב מינהל תפעול 2022'!R86</f>
        <v>0</v>
      </c>
      <c r="S88" s="4">
        <f>'תקציב מינהל תפעול 2022'!S86</f>
        <v>0</v>
      </c>
      <c r="T88" s="4">
        <f>'תקציב מינהל תפעול 2022'!T86</f>
        <v>0</v>
      </c>
      <c r="U88" s="4">
        <f>'תקציב מינהל תפעול 2022'!U86</f>
        <v>0</v>
      </c>
      <c r="V88" s="4">
        <f>'תקציב מינהל תפעול 2022'!V86</f>
        <v>0</v>
      </c>
      <c r="W88" s="4">
        <f>'תקציב מינהל תפעול 2022'!W86</f>
        <v>0</v>
      </c>
      <c r="X88" s="4">
        <f>'תקציב מינהל תפעול 2022'!X86</f>
        <v>0</v>
      </c>
      <c r="Y88" s="4">
        <f>'תקציב מינהל תפעול 2022'!Y86</f>
        <v>0</v>
      </c>
      <c r="Z88" s="4">
        <f>'תקציב מינהל תפעול 2022'!Z86</f>
        <v>0</v>
      </c>
      <c r="AA88" s="4">
        <f>'תקציב מינהל תפעול 2022'!AA86</f>
        <v>0</v>
      </c>
      <c r="AB88" s="255" t="str">
        <f>'תקציב מינהל תפעול 2022'!AB86</f>
        <v>התאמת מבנים בפארק לבי"ס דמוקרטי.</v>
      </c>
      <c r="AC88" s="3">
        <f>'תקציב מינהל תפעול 2022'!AC86</f>
        <v>810000</v>
      </c>
      <c r="AD88" s="480"/>
      <c r="AE88" s="482" t="s">
        <v>1389</v>
      </c>
      <c r="AF88" s="475"/>
      <c r="AG88" s="475"/>
      <c r="AH88" s="476"/>
      <c r="AI88" s="482" t="s">
        <v>1390</v>
      </c>
      <c r="AJ88" s="490" t="s">
        <v>1390</v>
      </c>
      <c r="AK88" s="272"/>
      <c r="AL88" s="477" t="s">
        <v>1160</v>
      </c>
      <c r="AM88" s="478"/>
      <c r="AN88" s="272"/>
      <c r="AO88" s="272"/>
      <c r="AP88" s="4"/>
      <c r="AQ88" s="4"/>
      <c r="AR88" s="638"/>
      <c r="AS88" s="669"/>
      <c r="AT88" s="4"/>
    </row>
    <row r="89" spans="1:46" ht="60">
      <c r="A89" s="3">
        <f t="shared" si="9"/>
        <v>77</v>
      </c>
      <c r="B89" s="3">
        <f>'תקציב מינהל תפעול 2022'!B87</f>
        <v>2212</v>
      </c>
      <c r="C89" s="255" t="str">
        <f>'תקציב מינהל תפעול 2022'!C87</f>
        <v>שדרוג חט"ב זאב</v>
      </c>
      <c r="D89" s="4">
        <f>'תקציב מינהל תפעול 2022'!D87</f>
        <v>8000000</v>
      </c>
      <c r="E89" s="4">
        <f>'תקציב מינהל תפעול 2022'!E87</f>
        <v>8000000</v>
      </c>
      <c r="F89" s="4">
        <f>'תקציב מינהל תפעול 2022'!F87</f>
        <v>0</v>
      </c>
      <c r="G89" s="4">
        <f>'תקציב מינהל תפעול 2022'!G87</f>
        <v>1000000</v>
      </c>
      <c r="H89" s="4">
        <f>'תקציב מינהל תפעול 2022'!H87</f>
        <v>1586</v>
      </c>
      <c r="I89" s="4">
        <f>'תקציב מינהל תפעול 2022'!I87</f>
        <v>0</v>
      </c>
      <c r="J89" s="4">
        <f>'תקציב מינהל תפעול 2022'!J87</f>
        <v>300000</v>
      </c>
      <c r="K89" s="4">
        <f>'תקציב מינהל תפעול 2022'!K87</f>
        <v>300000</v>
      </c>
      <c r="L89" s="4">
        <f>'תקציב מינהל תפעול 2022'!L87</f>
        <v>301586</v>
      </c>
      <c r="M89" s="4">
        <f>'תקציב מינהל תפעול 2022'!M87</f>
        <v>698414</v>
      </c>
      <c r="N89" s="4">
        <f>'תקציב מינהל תפעול 2022'!N87</f>
        <v>0</v>
      </c>
      <c r="O89" s="4">
        <f>'תקציב מינהל תפעול 2022'!O87</f>
        <v>7000000</v>
      </c>
      <c r="P89" s="4">
        <f>'תקציב מינהל תפעול 2022'!P87</f>
        <v>698414</v>
      </c>
      <c r="Q89" s="4">
        <f>'תקציב מינהל תפעול 2022'!Q87</f>
        <v>0</v>
      </c>
      <c r="R89" s="4">
        <f>'תקציב מינהל תפעול 2022'!R87</f>
        <v>0</v>
      </c>
      <c r="S89" s="4">
        <f>'תקציב מינהל תפעול 2022'!S87</f>
        <v>0</v>
      </c>
      <c r="T89" s="4">
        <f>'תקציב מינהל תפעול 2022'!T87</f>
        <v>0</v>
      </c>
      <c r="U89" s="4">
        <f>'תקציב מינהל תפעול 2022'!U87</f>
        <v>0</v>
      </c>
      <c r="V89" s="4">
        <f>'תקציב מינהל תפעול 2022'!V87</f>
        <v>0</v>
      </c>
      <c r="W89" s="4">
        <f>'תקציב מינהל תפעול 2022'!W87</f>
        <v>0</v>
      </c>
      <c r="X89" s="4">
        <f>'תקציב מינהל תפעול 2022'!X87</f>
        <v>0</v>
      </c>
      <c r="Y89" s="4">
        <f>'תקציב מינהל תפעול 2022'!Y87</f>
        <v>0</v>
      </c>
      <c r="Z89" s="4">
        <f>'תקציב מינהל תפעול 2022'!Z87</f>
        <v>0</v>
      </c>
      <c r="AA89" s="4">
        <f>'תקציב מינהל תפעול 2022'!AA87</f>
        <v>0</v>
      </c>
      <c r="AB89" s="255" t="str">
        <f>'תקציב מינהל תפעול 2022'!AB87</f>
        <v xml:space="preserve">עבודות שיפוצים וחזיתות מבנה ביה"ס בשטח של כ - 2,650 מ"ר, עבודות פיתוח ותשתיות מים וביוב. </v>
      </c>
      <c r="AC89" s="3">
        <f>'תקציב מינהל תפעול 2022'!AC87</f>
        <v>810000</v>
      </c>
      <c r="AD89" s="480"/>
      <c r="AE89" s="482" t="s">
        <v>1392</v>
      </c>
      <c r="AF89" s="475"/>
      <c r="AG89" s="475" t="s">
        <v>1393</v>
      </c>
      <c r="AH89" s="476"/>
      <c r="AI89" s="482" t="s">
        <v>1394</v>
      </c>
      <c r="AJ89" s="482" t="s">
        <v>1394</v>
      </c>
      <c r="AK89" s="364" t="s">
        <v>1394</v>
      </c>
      <c r="AL89" s="477" t="s">
        <v>1160</v>
      </c>
      <c r="AM89" s="478">
        <v>2</v>
      </c>
      <c r="AN89" s="448" t="s">
        <v>1247</v>
      </c>
      <c r="AO89" s="364" t="s">
        <v>1394</v>
      </c>
      <c r="AP89" s="4"/>
      <c r="AQ89" s="4"/>
      <c r="AR89" s="669"/>
      <c r="AS89" s="669"/>
      <c r="AT89" s="4"/>
    </row>
    <row r="90" spans="1:46" ht="30">
      <c r="A90" s="3">
        <f t="shared" si="9"/>
        <v>78</v>
      </c>
      <c r="B90" s="3">
        <f>'תקציב מינהל תפעול 2022'!B89</f>
        <v>2215</v>
      </c>
      <c r="C90" s="255" t="str">
        <f>'תקציב מינהל תפעול 2022'!C89</f>
        <v>נגישות אקוסטית 2020 מ. החינוך</v>
      </c>
      <c r="D90" s="4">
        <f>'תקציב מינהל תפעול 2022'!D89</f>
        <v>420000</v>
      </c>
      <c r="E90" s="4">
        <f>'תקציב מינהל תפעול 2022'!E89</f>
        <v>420000</v>
      </c>
      <c r="F90" s="4">
        <f>'תקציב מינהל תפעול 2022'!F89</f>
        <v>0</v>
      </c>
      <c r="G90" s="4">
        <f>'תקציב מינהל תפעול 2022'!G89</f>
        <v>420000</v>
      </c>
      <c r="H90" s="4">
        <f>'תקציב מינהל תפעול 2022'!H89</f>
        <v>243161</v>
      </c>
      <c r="I90" s="4">
        <f>'תקציב מינהל תפעול 2022'!I89</f>
        <v>0</v>
      </c>
      <c r="J90" s="4">
        <f>'תקציב מינהל תפעול 2022'!J89</f>
        <v>48330</v>
      </c>
      <c r="K90" s="4">
        <f>'תקציב מינהל תפעול 2022'!K89</f>
        <v>48330</v>
      </c>
      <c r="L90" s="4">
        <f>'תקציב מינהל תפעול 2022'!L89</f>
        <v>291491</v>
      </c>
      <c r="M90" s="4">
        <f>'תקציב מינהל תפעול 2022'!M89</f>
        <v>128509</v>
      </c>
      <c r="N90" s="4">
        <f>'תקציב מינהל תפעול 2022'!N89</f>
        <v>0</v>
      </c>
      <c r="O90" s="4">
        <f>'תקציב מינהל תפעול 2022'!O89</f>
        <v>0</v>
      </c>
      <c r="P90" s="4">
        <f>'תקציב מינהל תפעול 2022'!P89</f>
        <v>128509</v>
      </c>
      <c r="Q90" s="4">
        <f>'תקציב מינהל תפעול 2022'!Q89</f>
        <v>0</v>
      </c>
      <c r="R90" s="4">
        <f>'תקציב מינהל תפעול 2022'!R89</f>
        <v>0</v>
      </c>
      <c r="S90" s="4">
        <f>'תקציב מינהל תפעול 2022'!S89</f>
        <v>0</v>
      </c>
      <c r="T90" s="4">
        <f>'תקציב מינהל תפעול 2022'!T89</f>
        <v>0</v>
      </c>
      <c r="U90" s="4">
        <f>'תקציב מינהל תפעול 2022'!U89</f>
        <v>0</v>
      </c>
      <c r="V90" s="4">
        <f>'תקציב מינהל תפעול 2022'!V89</f>
        <v>0</v>
      </c>
      <c r="W90" s="4">
        <f>'תקציב מינהל תפעול 2022'!W89</f>
        <v>0</v>
      </c>
      <c r="X90" s="4">
        <f>'תקציב מינהל תפעול 2022'!X89</f>
        <v>0</v>
      </c>
      <c r="Y90" s="4">
        <f>'תקציב מינהל תפעול 2022'!Y89</f>
        <v>0</v>
      </c>
      <c r="Z90" s="4">
        <f>'תקציב מינהל תפעול 2022'!Z89</f>
        <v>0</v>
      </c>
      <c r="AA90" s="4">
        <f>'תקציב מינהל תפעול 2022'!AA89</f>
        <v>0</v>
      </c>
      <c r="AB90" s="255" t="str">
        <f>'תקציב מינהל תפעול 2022'!AB89</f>
        <v>נגישות אקוסטית גנ"י וכיתות בי"ס . מימון מ.החינוך.</v>
      </c>
      <c r="AC90" s="3">
        <f>'תקציב מינהל תפעול 2022'!AC89</f>
        <v>810000</v>
      </c>
      <c r="AD90" s="480"/>
      <c r="AE90" s="482" t="s">
        <v>1400</v>
      </c>
      <c r="AF90" s="475"/>
      <c r="AG90" s="475" t="s">
        <v>1250</v>
      </c>
      <c r="AH90" s="476"/>
      <c r="AI90" s="482" t="s">
        <v>1318</v>
      </c>
      <c r="AJ90" s="490" t="s">
        <v>1318</v>
      </c>
      <c r="AK90" s="272" t="s">
        <v>1318</v>
      </c>
      <c r="AL90" s="477" t="s">
        <v>1160</v>
      </c>
      <c r="AM90" s="478"/>
      <c r="AN90" s="272"/>
      <c r="AO90" s="272" t="s">
        <v>1318</v>
      </c>
      <c r="AP90" s="4"/>
      <c r="AQ90" s="4"/>
      <c r="AR90" s="638"/>
      <c r="AS90" s="669"/>
      <c r="AT90" s="4"/>
    </row>
    <row r="91" spans="1:46" ht="90">
      <c r="A91" s="3">
        <f t="shared" si="9"/>
        <v>79</v>
      </c>
      <c r="B91" s="3">
        <f>'תקציב מינהל תפעול 2022'!B90</f>
        <v>2216</v>
      </c>
      <c r="C91" s="255" t="str">
        <f>'תקציב מינהל תפעול 2022'!C90</f>
        <v>שיקום מבנה החינוך הימי במרינה</v>
      </c>
      <c r="D91" s="4">
        <f>'תקציב מינהל תפעול 2022'!D90</f>
        <v>2600000</v>
      </c>
      <c r="E91" s="4">
        <f>'תקציב מינהל תפעול 2022'!E90</f>
        <v>2600000</v>
      </c>
      <c r="F91" s="4">
        <f>'תקציב מינהל תפעול 2022'!F90</f>
        <v>0</v>
      </c>
      <c r="G91" s="4">
        <f>'תקציב מינהל תפעול 2022'!G90</f>
        <v>300000</v>
      </c>
      <c r="H91" s="4">
        <f>'תקציב מינהל תפעול 2022'!H90</f>
        <v>7139</v>
      </c>
      <c r="I91" s="4">
        <f>'תקציב מינהל תפעול 2022'!I90</f>
        <v>0</v>
      </c>
      <c r="J91" s="4">
        <f>'תקציב מינהל תפעול 2022'!J90</f>
        <v>0</v>
      </c>
      <c r="K91" s="4">
        <f>'תקציב מינהל תפעול 2022'!K90</f>
        <v>0</v>
      </c>
      <c r="L91" s="4">
        <f>'תקציב מינהל תפעול 2022'!L90</f>
        <v>7139</v>
      </c>
      <c r="M91" s="4">
        <f>'תקציב מינהל תפעול 2022'!M90</f>
        <v>292861</v>
      </c>
      <c r="N91" s="4">
        <f>'תקציב מינהל תפעול 2022'!N90</f>
        <v>300000</v>
      </c>
      <c r="O91" s="4">
        <f>'תקציב מינהל תפעול 2022'!O90</f>
        <v>2000000</v>
      </c>
      <c r="P91" s="4">
        <f>'תקציב מינהל תפעול 2022'!P90</f>
        <v>292861</v>
      </c>
      <c r="Q91" s="4">
        <f>'תקציב מינהל תפעול 2022'!Q90</f>
        <v>0</v>
      </c>
      <c r="R91" s="4">
        <f>'תקציב מינהל תפעול 2022'!R90</f>
        <v>0</v>
      </c>
      <c r="S91" s="4">
        <f>'תקציב מינהל תפעול 2022'!S90</f>
        <v>0</v>
      </c>
      <c r="T91" s="4">
        <f>'תקציב מינהל תפעול 2022'!T90</f>
        <v>0</v>
      </c>
      <c r="U91" s="4">
        <f>'תקציב מינהל תפעול 2022'!U90</f>
        <v>300000</v>
      </c>
      <c r="V91" s="4">
        <f>'תקציב מינהל תפעול 2022'!V90</f>
        <v>300000</v>
      </c>
      <c r="W91" s="4">
        <f>'תקציב מינהל תפעול 2022'!W90</f>
        <v>0</v>
      </c>
      <c r="X91" s="4">
        <f>'תקציב מינהל תפעול 2022'!X90</f>
        <v>0</v>
      </c>
      <c r="Y91" s="4">
        <f>'תקציב מינהל תפעול 2022'!Y90</f>
        <v>0</v>
      </c>
      <c r="Z91" s="4">
        <f>'תקציב מינהל תפעול 2022'!Z90</f>
        <v>0</v>
      </c>
      <c r="AA91" s="4">
        <f>'תקציב מינהל תפעול 2022'!AA90</f>
        <v>0</v>
      </c>
      <c r="AB91" s="255" t="str">
        <f>'תקציב מינהל תפעול 2022'!AB90</f>
        <v>שיקום המבנה גג המבנה, שרותים ועבודות פיתוח.</v>
      </c>
      <c r="AC91" s="3">
        <f>'תקציב מינהל תפעול 2022'!AC90</f>
        <v>810000</v>
      </c>
      <c r="AD91" s="480"/>
      <c r="AE91" s="482" t="s">
        <v>1401</v>
      </c>
      <c r="AF91" s="475"/>
      <c r="AG91" s="475" t="s">
        <v>1402</v>
      </c>
      <c r="AH91" s="476"/>
      <c r="AI91" s="475" t="s">
        <v>1402</v>
      </c>
      <c r="AJ91" s="475" t="s">
        <v>1402</v>
      </c>
      <c r="AK91" s="272" t="s">
        <v>1403</v>
      </c>
      <c r="AL91" s="477" t="s">
        <v>1160</v>
      </c>
      <c r="AM91" s="478">
        <v>2</v>
      </c>
      <c r="AN91" s="272" t="s">
        <v>1404</v>
      </c>
      <c r="AO91" s="272" t="s">
        <v>1403</v>
      </c>
      <c r="AP91" s="4"/>
      <c r="AQ91" s="4"/>
      <c r="AR91" s="638"/>
      <c r="AS91" s="669"/>
      <c r="AT91" s="4"/>
    </row>
    <row r="92" spans="1:46" ht="30">
      <c r="A92" s="3">
        <f t="shared" si="9"/>
        <v>80</v>
      </c>
      <c r="B92" s="3">
        <f>'תקציב מינהל תפעול 2022'!B92</f>
        <v>2225</v>
      </c>
      <c r="C92" s="255" t="str">
        <f>'תקציב מינהל תפעול 2022'!C92</f>
        <v>נגישות אקוסטית 2020 מ. החינוך</v>
      </c>
      <c r="D92" s="4">
        <f>'תקציב מינהל תפעול 2022'!D92</f>
        <v>150000</v>
      </c>
      <c r="E92" s="4">
        <f>'תקציב מינהל תפעול 2022'!E92</f>
        <v>150000</v>
      </c>
      <c r="F92" s="4">
        <f>'תקציב מינהל תפעול 2022'!F92</f>
        <v>0</v>
      </c>
      <c r="G92" s="4">
        <f>'תקציב מינהל תפעול 2022'!G92</f>
        <v>150000</v>
      </c>
      <c r="H92" s="4">
        <f>'תקציב מינהל תפעול 2022'!H92</f>
        <v>68711</v>
      </c>
      <c r="I92" s="4">
        <f>'תקציב מינהל תפעול 2022'!I92</f>
        <v>0</v>
      </c>
      <c r="J92" s="4">
        <f>'תקציב מינהל תפעול 2022'!J92</f>
        <v>0</v>
      </c>
      <c r="K92" s="4">
        <f>'תקציב מינהל תפעול 2022'!K92</f>
        <v>0</v>
      </c>
      <c r="L92" s="4">
        <f>'תקציב מינהל תפעול 2022'!L92</f>
        <v>68711</v>
      </c>
      <c r="M92" s="4">
        <f>'תקציב מינהל תפעול 2022'!M92</f>
        <v>81289</v>
      </c>
      <c r="N92" s="4">
        <f>'תקציב מינהל תפעול 2022'!N92</f>
        <v>0</v>
      </c>
      <c r="O92" s="4">
        <f>'תקציב מינהל תפעול 2022'!O92</f>
        <v>0</v>
      </c>
      <c r="P92" s="4">
        <f>'תקציב מינהל תפעול 2022'!P92</f>
        <v>81289</v>
      </c>
      <c r="Q92" s="4">
        <f>'תקציב מינהל תפעול 2022'!Q92</f>
        <v>0</v>
      </c>
      <c r="R92" s="4">
        <f>'תקציב מינהל תפעול 2022'!R92</f>
        <v>0</v>
      </c>
      <c r="S92" s="4">
        <f>'תקציב מינהל תפעול 2022'!S92</f>
        <v>0</v>
      </c>
      <c r="T92" s="4">
        <f>'תקציב מינהל תפעול 2022'!T92</f>
        <v>0</v>
      </c>
      <c r="U92" s="4">
        <f>'תקציב מינהל תפעול 2022'!U92</f>
        <v>0</v>
      </c>
      <c r="V92" s="4">
        <f>'תקציב מינהל תפעול 2022'!V92</f>
        <v>0</v>
      </c>
      <c r="W92" s="4">
        <f>'תקציב מינהל תפעול 2022'!W92</f>
        <v>0</v>
      </c>
      <c r="X92" s="4">
        <f>'תקציב מינהל תפעול 2022'!X92</f>
        <v>0</v>
      </c>
      <c r="Y92" s="4">
        <f>'תקציב מינהל תפעול 2022'!Y92</f>
        <v>0</v>
      </c>
      <c r="Z92" s="4">
        <f>'תקציב מינהל תפעול 2022'!Z92</f>
        <v>0</v>
      </c>
      <c r="AA92" s="4">
        <f>'תקציב מינהל תפעול 2022'!AA92</f>
        <v>0</v>
      </c>
      <c r="AB92" s="255" t="str">
        <f>'תקציב מינהל תפעול 2022'!AB92</f>
        <v>נגישות אקוסטית כיתות בי"ס . מימון מ.החינוך.</v>
      </c>
      <c r="AC92" s="3">
        <f>'תקציב מינהל תפעול 2022'!AC92</f>
        <v>810000</v>
      </c>
      <c r="AD92" s="480"/>
      <c r="AE92" s="482" t="s">
        <v>1400</v>
      </c>
      <c r="AF92" s="475"/>
      <c r="AG92" s="475" t="s">
        <v>1250</v>
      </c>
      <c r="AH92" s="476"/>
      <c r="AI92" s="482" t="s">
        <v>1318</v>
      </c>
      <c r="AJ92" s="482" t="s">
        <v>1318</v>
      </c>
      <c r="AK92" s="364" t="s">
        <v>1318</v>
      </c>
      <c r="AL92" s="477" t="s">
        <v>1160</v>
      </c>
      <c r="AM92" s="478"/>
      <c r="AN92" s="364"/>
      <c r="AO92" s="364" t="s">
        <v>1318</v>
      </c>
      <c r="AP92" s="4"/>
      <c r="AQ92" s="4"/>
      <c r="AR92" s="669"/>
      <c r="AS92" s="669"/>
      <c r="AT92" s="4"/>
    </row>
    <row r="93" spans="1:46" ht="64.150000000000006" customHeight="1">
      <c r="A93" s="3">
        <f t="shared" si="9"/>
        <v>81</v>
      </c>
      <c r="B93" s="3">
        <f>'תקציב מינהל תפעול 2022'!B97</f>
        <v>2234</v>
      </c>
      <c r="C93" s="255" t="str">
        <f>'תקציב מינהל תפעול 2022'!C97</f>
        <v>נגישות אקוסטית 2021 מ.החינוך</v>
      </c>
      <c r="D93" s="4">
        <f>'תקציב מינהל תפעול 2022'!D97</f>
        <v>270000</v>
      </c>
      <c r="E93" s="4">
        <f>'תקציב מינהל תפעול 2022'!E97</f>
        <v>270000</v>
      </c>
      <c r="F93" s="4">
        <f>'תקציב מינהל תפעול 2022'!F97</f>
        <v>0</v>
      </c>
      <c r="G93" s="4">
        <f>'תקציב מינהל תפעול 2022'!G97</f>
        <v>270000</v>
      </c>
      <c r="H93" s="4">
        <f>'תקציב מינהל תפעול 2022'!H97</f>
        <v>0</v>
      </c>
      <c r="I93" s="4">
        <f>'תקציב מינהל תפעול 2022'!I97</f>
        <v>0</v>
      </c>
      <c r="J93" s="4">
        <f>'תקציב מינהל תפעול 2022'!J97</f>
        <v>18552</v>
      </c>
      <c r="K93" s="4">
        <f>'תקציב מינהל תפעול 2022'!K97</f>
        <v>18552</v>
      </c>
      <c r="L93" s="4">
        <f>'תקציב מינהל תפעול 2022'!L97</f>
        <v>18552</v>
      </c>
      <c r="M93" s="4">
        <f>'תקציב מינהל תפעול 2022'!M97</f>
        <v>251448</v>
      </c>
      <c r="N93" s="4">
        <f>'תקציב מינהל תפעול 2022'!N97</f>
        <v>0</v>
      </c>
      <c r="O93" s="4">
        <f>'תקציב מינהל תפעול 2022'!O97</f>
        <v>0</v>
      </c>
      <c r="P93" s="4">
        <f>'תקציב מינהל תפעול 2022'!P97</f>
        <v>251448</v>
      </c>
      <c r="Q93" s="4">
        <f>'תקציב מינהל תפעול 2022'!Q97</f>
        <v>0</v>
      </c>
      <c r="R93" s="4">
        <f>'תקציב מינהל תפעול 2022'!R97</f>
        <v>0</v>
      </c>
      <c r="S93" s="4">
        <f>'תקציב מינהל תפעול 2022'!S97</f>
        <v>0</v>
      </c>
      <c r="T93" s="4">
        <f>'תקציב מינהל תפעול 2022'!T97</f>
        <v>0</v>
      </c>
      <c r="U93" s="4">
        <f>'תקציב מינהל תפעול 2022'!U97</f>
        <v>0</v>
      </c>
      <c r="V93" s="4">
        <f>'תקציב מינהל תפעול 2022'!V97</f>
        <v>0</v>
      </c>
      <c r="W93" s="4">
        <f>'תקציב מינהל תפעול 2022'!W97</f>
        <v>0</v>
      </c>
      <c r="X93" s="4">
        <f>'תקציב מינהל תפעול 2022'!X97</f>
        <v>0</v>
      </c>
      <c r="Y93" s="4">
        <f>'תקציב מינהל תפעול 2022'!Y97</f>
        <v>0</v>
      </c>
      <c r="Z93" s="4">
        <f>'תקציב מינהל תפעול 2022'!Z97</f>
        <v>0</v>
      </c>
      <c r="AA93" s="4">
        <f>'תקציב מינהל תפעול 2022'!AA97</f>
        <v>0</v>
      </c>
      <c r="AB93" s="255" t="str">
        <f>'תקציב מינהל תפעול 2022'!AB97</f>
        <v>נגישות אקוסטית 9 כיתות. מימון מ. החינוך.</v>
      </c>
      <c r="AC93" s="3">
        <f>'תקציב מינהל תפעול 2022'!AC97</f>
        <v>810000</v>
      </c>
      <c r="AD93" s="480"/>
      <c r="AE93" s="482" t="s">
        <v>1400</v>
      </c>
      <c r="AF93" s="475"/>
      <c r="AG93" s="475" t="s">
        <v>1250</v>
      </c>
      <c r="AH93" s="476"/>
      <c r="AI93" s="482"/>
      <c r="AJ93" s="482"/>
      <c r="AK93" s="364" t="s">
        <v>1408</v>
      </c>
      <c r="AL93" s="477" t="s">
        <v>1160</v>
      </c>
      <c r="AM93" s="478"/>
      <c r="AN93" s="364"/>
      <c r="AO93" s="364" t="s">
        <v>1408</v>
      </c>
      <c r="AP93" s="4"/>
      <c r="AQ93" s="4"/>
      <c r="AR93" s="669"/>
      <c r="AS93" s="669"/>
      <c r="AT93" s="4"/>
    </row>
    <row r="94" spans="1:46" ht="43.15" customHeight="1">
      <c r="A94" s="3">
        <f t="shared" si="9"/>
        <v>82</v>
      </c>
      <c r="B94" s="3">
        <f>'תקציב מינהל תפעול 2022'!B99</f>
        <v>2236</v>
      </c>
      <c r="C94" s="255" t="str">
        <f>'תקציב מינהל תפעול 2022'!C99</f>
        <v>נגישות אקוסטית 2021 מ.החינוך</v>
      </c>
      <c r="D94" s="4">
        <f>'תקציב מינהל תפעול 2022'!D99</f>
        <v>180000</v>
      </c>
      <c r="E94" s="4">
        <f>'תקציב מינהל תפעול 2022'!E99</f>
        <v>150000</v>
      </c>
      <c r="F94" s="4">
        <f>'תקציב מינהל תפעול 2022'!F99</f>
        <v>30000</v>
      </c>
      <c r="G94" s="4">
        <f>'תקציב מינהל תפעול 2022'!G99</f>
        <v>150000</v>
      </c>
      <c r="H94" s="4">
        <f>'תקציב מינהל תפעול 2022'!H99</f>
        <v>0</v>
      </c>
      <c r="I94" s="4">
        <f>'תקציב מינהל תפעול 2022'!I99</f>
        <v>0</v>
      </c>
      <c r="J94" s="4">
        <f>'תקציב מינהל תפעול 2022'!J99</f>
        <v>4638</v>
      </c>
      <c r="K94" s="4">
        <f>'תקציב מינהל תפעול 2022'!K99</f>
        <v>4638</v>
      </c>
      <c r="L94" s="4">
        <f>'תקציב מינהל תפעול 2022'!L99</f>
        <v>4638</v>
      </c>
      <c r="M94" s="4">
        <f>'תקציב מינהל תפעול 2022'!M99</f>
        <v>145362</v>
      </c>
      <c r="N94" s="4">
        <f>'תקציב מינהל תפעול 2022'!N99</f>
        <v>30000</v>
      </c>
      <c r="O94" s="4">
        <f>'תקציב מינהל תפעול 2022'!O99</f>
        <v>0</v>
      </c>
      <c r="P94" s="4">
        <f>'תקציב מינהל תפעול 2022'!P99</f>
        <v>145362</v>
      </c>
      <c r="Q94" s="4">
        <f>'תקציב מינהל תפעול 2022'!Q99</f>
        <v>0</v>
      </c>
      <c r="R94" s="4">
        <f>'תקציב מינהל תפעול 2022'!R99</f>
        <v>0</v>
      </c>
      <c r="S94" s="4">
        <f>'תקציב מינהל תפעול 2022'!S99</f>
        <v>0</v>
      </c>
      <c r="T94" s="4">
        <f>'תקציב מינהל תפעול 2022'!T99</f>
        <v>0</v>
      </c>
      <c r="U94" s="4">
        <f>'תקציב מינהל תפעול 2022'!U99</f>
        <v>30000</v>
      </c>
      <c r="V94" s="4">
        <f>'תקציב מינהל תפעול 2022'!V99</f>
        <v>0</v>
      </c>
      <c r="W94" s="4">
        <f>'תקציב מינהל תפעול 2022'!W99</f>
        <v>0</v>
      </c>
      <c r="X94" s="4">
        <f>'תקציב מינהל תפעול 2022'!X99</f>
        <v>0</v>
      </c>
      <c r="Y94" s="4">
        <f>'תקציב מינהל תפעול 2022'!Y99</f>
        <v>0</v>
      </c>
      <c r="Z94" s="4">
        <f>'תקציב מינהל תפעול 2022'!Z99</f>
        <v>0</v>
      </c>
      <c r="AA94" s="4">
        <f>'תקציב מינהל תפעול 2022'!AA99</f>
        <v>30000</v>
      </c>
      <c r="AB94" s="255" t="str">
        <f>'תקציב מינהל תפעול 2022'!AB99</f>
        <v>נגישות אקוסטית .מימון מ. החינוך. 2022 : תיכון ראשונים.</v>
      </c>
      <c r="AC94" s="3">
        <f>'תקציב מינהל תפעול 2022'!AC99</f>
        <v>810000</v>
      </c>
      <c r="AD94" s="480" t="s">
        <v>1410</v>
      </c>
      <c r="AE94" s="482" t="s">
        <v>1411</v>
      </c>
      <c r="AF94" s="475"/>
      <c r="AG94" s="475" t="s">
        <v>1250</v>
      </c>
      <c r="AH94" s="476"/>
      <c r="AI94" s="482" t="s">
        <v>1412</v>
      </c>
      <c r="AJ94" s="482" t="s">
        <v>1412</v>
      </c>
      <c r="AK94" s="364" t="s">
        <v>1412</v>
      </c>
      <c r="AL94" s="477" t="s">
        <v>1160</v>
      </c>
      <c r="AM94" s="478">
        <v>1</v>
      </c>
      <c r="AN94" s="364"/>
      <c r="AO94" s="364" t="s">
        <v>691</v>
      </c>
      <c r="AP94" s="4"/>
      <c r="AQ94" s="4"/>
      <c r="AR94" s="669"/>
      <c r="AS94" s="669"/>
      <c r="AT94" s="4"/>
    </row>
    <row r="95" spans="1:46" ht="165">
      <c r="A95" s="3">
        <f t="shared" si="9"/>
        <v>83</v>
      </c>
      <c r="B95" s="3">
        <f>'תקציב מינהל תפעול 2022'!B114</f>
        <v>20028</v>
      </c>
      <c r="C95" s="255" t="str">
        <f>'תקציב מינהל תפעול 2022'!C114</f>
        <v>פרוייקט התאמת חורשות וחצרות גנ"י פרויקט EACH</v>
      </c>
      <c r="D95" s="4">
        <f>'תקציב מינהל תפעול 2022'!D114</f>
        <v>620000</v>
      </c>
      <c r="E95" s="4">
        <f>'תקציב מינהל תפעול 2022'!E114</f>
        <v>0</v>
      </c>
      <c r="F95" s="4">
        <f>'תקציב מינהל תפעול 2022'!F114</f>
        <v>620000</v>
      </c>
      <c r="G95" s="4">
        <f>'תקציב מינהל תפעול 2022'!G114</f>
        <v>0</v>
      </c>
      <c r="H95" s="4">
        <f>'תקציב מינהל תפעול 2022'!H114</f>
        <v>0</v>
      </c>
      <c r="I95" s="4">
        <f>'תקציב מינהל תפעול 2022'!I114</f>
        <v>0</v>
      </c>
      <c r="J95" s="4">
        <f>'תקציב מינהל תפעול 2022'!J114</f>
        <v>0</v>
      </c>
      <c r="K95" s="4">
        <f>'תקציב מינהל תפעול 2022'!K114</f>
        <v>0</v>
      </c>
      <c r="L95" s="4">
        <f>'תקציב מינהל תפעול 2022'!L114</f>
        <v>0</v>
      </c>
      <c r="M95" s="4">
        <f>'תקציב מינהל תפעול 2022'!M114</f>
        <v>0</v>
      </c>
      <c r="N95" s="4">
        <f>'תקציב מינהל תפעול 2022'!N114</f>
        <v>620000</v>
      </c>
      <c r="O95" s="4">
        <f>'תקציב מינהל תפעול 2022'!O114</f>
        <v>0</v>
      </c>
      <c r="P95" s="4">
        <f>'תקציב מינהל תפעול 2022'!P114</f>
        <v>0</v>
      </c>
      <c r="Q95" s="4">
        <f>'תקציב מינהל תפעול 2022'!Q114</f>
        <v>0</v>
      </c>
      <c r="R95" s="4">
        <f>'תקציב מינהל תפעול 2022'!R114</f>
        <v>0</v>
      </c>
      <c r="S95" s="4">
        <f>'תקציב מינהל תפעול 2022'!S114</f>
        <v>0</v>
      </c>
      <c r="T95" s="4">
        <f>'תקציב מינהל תפעול 2022'!T114</f>
        <v>0</v>
      </c>
      <c r="U95" s="4">
        <f>'תקציב מינהל תפעול 2022'!U114</f>
        <v>620000</v>
      </c>
      <c r="V95" s="4">
        <f>'תקציב מינהל תפעול 2022'!V114</f>
        <v>0</v>
      </c>
      <c r="W95" s="4">
        <f>'תקציב מינהל תפעול 2022'!W114</f>
        <v>620000</v>
      </c>
      <c r="X95" s="4">
        <f>'תקציב מינהל תפעול 2022'!X114</f>
        <v>0</v>
      </c>
      <c r="Y95" s="4">
        <f>'תקציב מינהל תפעול 2022'!Y114</f>
        <v>0</v>
      </c>
      <c r="Z95" s="4">
        <f>'תקציב מינהל תפעול 2022'!Z114</f>
        <v>0</v>
      </c>
      <c r="AA95" s="4">
        <f>'תקציב מינהל תפעול 2022'!AA114</f>
        <v>0</v>
      </c>
      <c r="AB95" s="255" t="str">
        <f>'תקציב מינהל תפעול 2022'!AB114</f>
        <v>פרוייקט חינוכי של גנ"י שהוסמכו להיות "גנים ירוקים" .שילוב למידה בטבע ובחורשות מס' ימים בשבוע. עבודות התאמת החורשות לשהיית ילדים : ריהוט גן- ספסלים, אשפתונים ושולחנות פיקניק, ברזיות , פחי מיחזור , תשתית השקייה, נטיעת עצים נוספים וצמחייה לימודית. הסבת חצרות גנ"י (חינוך). מסגרת תקציב.</v>
      </c>
      <c r="AC95" s="3">
        <f>'תקציב מינהל תפעול 2022'!AC114</f>
        <v>810000</v>
      </c>
      <c r="AD95" s="480"/>
      <c r="AE95" s="3" t="s">
        <v>1450</v>
      </c>
      <c r="AF95" s="511"/>
      <c r="AG95" s="480"/>
      <c r="AH95" s="480"/>
      <c r="AI95" s="3" t="s">
        <v>1451</v>
      </c>
      <c r="AJ95" s="3"/>
      <c r="AK95" s="30"/>
      <c r="AL95" s="477" t="s">
        <v>1153</v>
      </c>
      <c r="AM95" s="478">
        <v>1</v>
      </c>
      <c r="AN95" s="30"/>
      <c r="AO95" s="30" t="s">
        <v>1818</v>
      </c>
      <c r="AP95" s="4">
        <v>-620000</v>
      </c>
      <c r="AQ95" s="4"/>
      <c r="AR95" s="638"/>
      <c r="AS95" s="669"/>
      <c r="AT95" s="4"/>
    </row>
    <row r="96" spans="1:46" ht="75">
      <c r="A96" s="3">
        <f t="shared" si="9"/>
        <v>84</v>
      </c>
      <c r="B96" s="3">
        <f>'תקציב מינהל תפעול 2022'!B116</f>
        <v>20030</v>
      </c>
      <c r="C96" s="255" t="str">
        <f>'תקציב מינהל תפעול 2022'!C116</f>
        <v>שיפוצי מוס"ח ע"פ סקרים והערכות לפתיחת שנה"ל</v>
      </c>
      <c r="D96" s="4">
        <f>'תקציב מינהל תפעול 2022'!D116</f>
        <v>8700000</v>
      </c>
      <c r="E96" s="4">
        <f>'תקציב מינהל תפעול 2022'!E116</f>
        <v>0</v>
      </c>
      <c r="F96" s="4">
        <f>'תקציב מינהל תפעול 2022'!F116</f>
        <v>8700000</v>
      </c>
      <c r="G96" s="4">
        <f>'תקציב מינהל תפעול 2022'!G116</f>
        <v>0</v>
      </c>
      <c r="H96" s="4">
        <f>'תקציב מינהל תפעול 2022'!H116</f>
        <v>0</v>
      </c>
      <c r="I96" s="4">
        <f>'תקציב מינהל תפעול 2022'!I116</f>
        <v>0</v>
      </c>
      <c r="J96" s="4">
        <f>'תקציב מינהל תפעול 2022'!J116</f>
        <v>0</v>
      </c>
      <c r="K96" s="4">
        <f>'תקציב מינהל תפעול 2022'!K116</f>
        <v>0</v>
      </c>
      <c r="L96" s="4">
        <f>'תקציב מינהל תפעול 2022'!L116</f>
        <v>0</v>
      </c>
      <c r="M96" s="4">
        <f>'תקציב מינהל תפעול 2022'!M116</f>
        <v>0</v>
      </c>
      <c r="N96" s="4">
        <f>'תקציב מינהל תפעול 2022'!N116</f>
        <v>6500000</v>
      </c>
      <c r="O96" s="4">
        <f>'תקציב מינהל תפעול 2022'!O116</f>
        <v>2200000</v>
      </c>
      <c r="P96" s="4">
        <f>'תקציב מינהל תפעול 2022'!P116</f>
        <v>0</v>
      </c>
      <c r="Q96" s="4">
        <f>'תקציב מינהל תפעול 2022'!Q116</f>
        <v>0</v>
      </c>
      <c r="R96" s="4">
        <f>'תקציב מינהל תפעול 2022'!R116</f>
        <v>0</v>
      </c>
      <c r="S96" s="4">
        <f>'תקציב מינהל תפעול 2022'!S116</f>
        <v>0</v>
      </c>
      <c r="T96" s="4">
        <f>'תקציב מינהל תפעול 2022'!T116</f>
        <v>0</v>
      </c>
      <c r="U96" s="4">
        <f>'תקציב מינהל תפעול 2022'!U116</f>
        <v>6500000</v>
      </c>
      <c r="V96" s="4">
        <f>'תקציב מינהל תפעול 2022'!V116</f>
        <v>3000000</v>
      </c>
      <c r="W96" s="4">
        <f>'תקציב מינהל תפעול 2022'!W116</f>
        <v>3500000</v>
      </c>
      <c r="X96" s="4">
        <f>'תקציב מינהל תפעול 2022'!X116</f>
        <v>0</v>
      </c>
      <c r="Y96" s="4">
        <f>'תקציב מינהל תפעול 2022'!Y116</f>
        <v>0</v>
      </c>
      <c r="Z96" s="4">
        <f>'תקציב מינהל תפעול 2022'!Z116</f>
        <v>0</v>
      </c>
      <c r="AA96" s="4">
        <f>'תקציב מינהל תפעול 2022'!AA116</f>
        <v>0</v>
      </c>
      <c r="AB96" s="255" t="str">
        <f>'תקציב מינהל תפעול 2022'!AB116</f>
        <v xml:space="preserve">תקציב מסגרת של עבודות במוס"ח לרבות שיפוצים יסודיים , התאמת מבנים ושדרוג גנ"י על פי רשימה שתאושר ע"י הנהלת העיר. </v>
      </c>
      <c r="AC96" s="3">
        <f>'תקציב מינהל תפעול 2022'!AC116</f>
        <v>810000</v>
      </c>
      <c r="AD96" s="480"/>
      <c r="AE96" s="3" t="s">
        <v>1459</v>
      </c>
      <c r="AF96" s="511"/>
      <c r="AG96" s="480"/>
      <c r="AH96" s="480"/>
      <c r="AI96" s="3" t="s">
        <v>1459</v>
      </c>
      <c r="AJ96" s="3" t="s">
        <v>1459</v>
      </c>
      <c r="AK96" s="30" t="s">
        <v>1460</v>
      </c>
      <c r="AL96" s="477" t="s">
        <v>1160</v>
      </c>
      <c r="AM96" s="478">
        <v>1</v>
      </c>
      <c r="AN96" s="30"/>
      <c r="AO96" s="30" t="s">
        <v>1461</v>
      </c>
      <c r="AP96" s="4">
        <v>-3700000</v>
      </c>
      <c r="AQ96" s="4">
        <v>-3700000</v>
      </c>
      <c r="AR96" s="638"/>
      <c r="AS96" s="669"/>
      <c r="AT96" s="4">
        <v>-2700000</v>
      </c>
    </row>
    <row r="97" spans="1:46" ht="60">
      <c r="A97" s="3">
        <f t="shared" si="9"/>
        <v>85</v>
      </c>
      <c r="B97" s="3">
        <f>'תקציב מינהל תפעול 2022'!B117</f>
        <v>20031</v>
      </c>
      <c r="C97" s="255" t="str">
        <f>'תקציב מינהל תפעול 2022'!C117</f>
        <v>פיתוח מוסדות חינוך בהתאם לתוכנית אב</v>
      </c>
      <c r="D97" s="4">
        <f>'תקציב מינהל תפעול 2022'!D117</f>
        <v>200000</v>
      </c>
      <c r="E97" s="4">
        <f>'תקציב מינהל תפעול 2022'!E117</f>
        <v>0</v>
      </c>
      <c r="F97" s="4">
        <f>'תקציב מינהל תפעול 2022'!F117</f>
        <v>200000</v>
      </c>
      <c r="G97" s="4">
        <f>'תקציב מינהל תפעול 2022'!G117</f>
        <v>0</v>
      </c>
      <c r="H97" s="4">
        <f>'תקציב מינהל תפעול 2022'!H117</f>
        <v>0</v>
      </c>
      <c r="I97" s="4">
        <f>'תקציב מינהל תפעול 2022'!I117</f>
        <v>0</v>
      </c>
      <c r="J97" s="4">
        <f>'תקציב מינהל תפעול 2022'!J117</f>
        <v>0</v>
      </c>
      <c r="K97" s="4">
        <f>'תקציב מינהל תפעול 2022'!K117</f>
        <v>0</v>
      </c>
      <c r="L97" s="4">
        <f>'תקציב מינהל תפעול 2022'!L117</f>
        <v>0</v>
      </c>
      <c r="M97" s="4">
        <f>'תקציב מינהל תפעול 2022'!M117</f>
        <v>0</v>
      </c>
      <c r="N97" s="4">
        <f>'תקציב מינהל תפעול 2022'!N117</f>
        <v>200000</v>
      </c>
      <c r="O97" s="4">
        <f>'תקציב מינהל תפעול 2022'!O117</f>
        <v>0</v>
      </c>
      <c r="P97" s="4">
        <f>'תקציב מינהל תפעול 2022'!P117</f>
        <v>0</v>
      </c>
      <c r="Q97" s="4">
        <f>'תקציב מינהל תפעול 2022'!Q117</f>
        <v>0</v>
      </c>
      <c r="R97" s="4">
        <f>'תקציב מינהל תפעול 2022'!R117</f>
        <v>0</v>
      </c>
      <c r="S97" s="4">
        <f>'תקציב מינהל תפעול 2022'!S117</f>
        <v>0</v>
      </c>
      <c r="T97" s="4">
        <f>'תקציב מינהל תפעול 2022'!T117</f>
        <v>0</v>
      </c>
      <c r="U97" s="4">
        <f>'תקציב מינהל תפעול 2022'!U117</f>
        <v>200000</v>
      </c>
      <c r="V97" s="4">
        <f>'תקציב מינהל תפעול 2022'!V117</f>
        <v>200000</v>
      </c>
      <c r="W97" s="4">
        <f>'תקציב מינהל תפעול 2022'!W117</f>
        <v>0</v>
      </c>
      <c r="X97" s="4">
        <f>'תקציב מינהל תפעול 2022'!X117</f>
        <v>0</v>
      </c>
      <c r="Y97" s="4">
        <f>'תקציב מינהל תפעול 2022'!Y117</f>
        <v>0</v>
      </c>
      <c r="Z97" s="4">
        <f>'תקציב מינהל תפעול 2022'!Z117</f>
        <v>0</v>
      </c>
      <c r="AA97" s="4">
        <f>'תקציב מינהל תפעול 2022'!AA117</f>
        <v>0</v>
      </c>
      <c r="AB97" s="255" t="str">
        <f>'תקציב מינהל תפעול 2022'!AB117</f>
        <v>היערכות לתכנון תוכנית אב רב שנתית התאמת מוסדות חינוך בהתאם לצורך ולגידול האוכלוסיה.</v>
      </c>
      <c r="AC97" s="3">
        <f>'תקציב מינהל תפעול 2022'!AC117</f>
        <v>810000</v>
      </c>
      <c r="AD97" s="480"/>
      <c r="AE97" s="3" t="s">
        <v>1464</v>
      </c>
      <c r="AF97" s="511"/>
      <c r="AG97" s="480"/>
      <c r="AH97" s="480"/>
      <c r="AI97" s="3" t="s">
        <v>1465</v>
      </c>
      <c r="AJ97" s="3" t="s">
        <v>1466</v>
      </c>
      <c r="AK97" s="32"/>
      <c r="AL97" s="477" t="s">
        <v>1160</v>
      </c>
      <c r="AM97" s="478"/>
      <c r="AN97" s="32"/>
      <c r="AO97" s="32"/>
      <c r="AP97" s="4"/>
      <c r="AQ97" s="4"/>
      <c r="AR97" s="638">
        <v>200000</v>
      </c>
      <c r="AS97" s="669">
        <f>AR97-N97</f>
        <v>0</v>
      </c>
      <c r="AT97" s="4"/>
    </row>
    <row r="98" spans="1:46" ht="60">
      <c r="A98" s="3">
        <f t="shared" si="9"/>
        <v>86</v>
      </c>
      <c r="B98" s="3">
        <f>'תקציב מינהל תפעול 2022'!B122</f>
        <v>20036</v>
      </c>
      <c r="C98" s="255" t="str">
        <f>'תקציב מינהל תפעול 2022'!C122</f>
        <v>הסבת מעון יום בנווה ישראל</v>
      </c>
      <c r="D98" s="4">
        <f>'תקציב מינהל תפעול 2022'!D122</f>
        <v>7800000</v>
      </c>
      <c r="E98" s="4">
        <f>'תקציב מינהל תפעול 2022'!E122</f>
        <v>0</v>
      </c>
      <c r="F98" s="4">
        <f>'תקציב מינהל תפעול 2022'!F122</f>
        <v>7800000</v>
      </c>
      <c r="G98" s="4">
        <f>'תקציב מינהל תפעול 2022'!G122</f>
        <v>0</v>
      </c>
      <c r="H98" s="4">
        <f>'תקציב מינהל תפעול 2022'!H122</f>
        <v>0</v>
      </c>
      <c r="I98" s="4">
        <f>'תקציב מינהל תפעול 2022'!I122</f>
        <v>0</v>
      </c>
      <c r="J98" s="4">
        <f>'תקציב מינהל תפעול 2022'!J122</f>
        <v>0</v>
      </c>
      <c r="K98" s="4">
        <f>'תקציב מינהל תפעול 2022'!K122</f>
        <v>0</v>
      </c>
      <c r="L98" s="4">
        <f>'תקציב מינהל תפעול 2022'!L122</f>
        <v>0</v>
      </c>
      <c r="M98" s="4">
        <f>'תקציב מינהל תפעול 2022'!M122</f>
        <v>0</v>
      </c>
      <c r="N98" s="4">
        <f>'תקציב מינהל תפעול 2022'!N122</f>
        <v>200000</v>
      </c>
      <c r="O98" s="4">
        <f>'תקציב מינהל תפעול 2022'!O122</f>
        <v>7600000</v>
      </c>
      <c r="P98" s="4">
        <f>'תקציב מינהל תפעול 2022'!P122</f>
        <v>0</v>
      </c>
      <c r="Q98" s="4">
        <f>'תקציב מינהל תפעול 2022'!Q122</f>
        <v>0</v>
      </c>
      <c r="R98" s="4">
        <f>'תקציב מינהל תפעול 2022'!R122</f>
        <v>0</v>
      </c>
      <c r="S98" s="4">
        <f>'תקציב מינהל תפעול 2022'!S122</f>
        <v>0</v>
      </c>
      <c r="T98" s="4">
        <f>'תקציב מינהל תפעול 2022'!T122</f>
        <v>0</v>
      </c>
      <c r="U98" s="4">
        <f>'תקציב מינהל תפעול 2022'!U122</f>
        <v>200000</v>
      </c>
      <c r="V98" s="4">
        <f>'תקציב מינהל תפעול 2022'!V122</f>
        <v>0</v>
      </c>
      <c r="W98" s="4">
        <f>'תקציב מינהל תפעול 2022'!W122</f>
        <v>200000</v>
      </c>
      <c r="X98" s="4">
        <f>'תקציב מינהל תפעול 2022'!X122</f>
        <v>0</v>
      </c>
      <c r="Y98" s="4">
        <f>'תקציב מינהל תפעול 2022'!Y122</f>
        <v>0</v>
      </c>
      <c r="Z98" s="4">
        <f>'תקציב מינהל תפעול 2022'!Z122</f>
        <v>0</v>
      </c>
      <c r="AA98" s="4">
        <f>'תקציב מינהל תפעול 2022'!AA122</f>
        <v>0</v>
      </c>
      <c r="AB98" s="255" t="str">
        <f>'תקציב מינהל תפעול 2022'!AB122</f>
        <v>הקמת מעון יום במתנ"ס נווה ישראל.תוספת קומה והקמת 4 כיתות מעון , פיתוח והצטיידות. ב - 2022 בדיקת היתכנות ותכנון.</v>
      </c>
      <c r="AC98" s="3">
        <f>'תקציב מינהל תפעול 2022'!AC122</f>
        <v>810000</v>
      </c>
      <c r="AD98" s="483"/>
      <c r="AE98" s="3"/>
      <c r="AF98" s="564"/>
      <c r="AG98" s="483"/>
      <c r="AH98" s="483"/>
      <c r="AI98" s="3"/>
      <c r="AJ98" s="3"/>
      <c r="AK98" s="30"/>
      <c r="AL98" s="477" t="s">
        <v>1160</v>
      </c>
      <c r="AM98" s="478"/>
      <c r="AN98" s="30" t="s">
        <v>1489</v>
      </c>
      <c r="AO98" s="30" t="s">
        <v>1909</v>
      </c>
      <c r="AP98" s="4"/>
      <c r="AQ98" s="4"/>
      <c r="AR98" s="638">
        <v>200000</v>
      </c>
      <c r="AS98" s="669">
        <f>AR98-N98</f>
        <v>0</v>
      </c>
      <c r="AT98" s="4"/>
    </row>
    <row r="99" spans="1:46" s="414" customFormat="1" ht="30" customHeight="1">
      <c r="A99" s="7"/>
      <c r="B99" s="7"/>
      <c r="C99" s="16" t="s">
        <v>804</v>
      </c>
      <c r="D99" s="8">
        <f>SUM(D68:D98)</f>
        <v>253633105</v>
      </c>
      <c r="E99" s="8">
        <f t="shared" ref="E99:AA99" si="10">SUM(E68:E98)</f>
        <v>234783105</v>
      </c>
      <c r="F99" s="8">
        <f t="shared" si="10"/>
        <v>18850000</v>
      </c>
      <c r="G99" s="8">
        <f t="shared" si="10"/>
        <v>173929805</v>
      </c>
      <c r="H99" s="8">
        <f t="shared" si="10"/>
        <v>122286880</v>
      </c>
      <c r="I99" s="8">
        <f t="shared" si="10"/>
        <v>20956819</v>
      </c>
      <c r="J99" s="8">
        <f t="shared" si="10"/>
        <v>21089627</v>
      </c>
      <c r="K99" s="8">
        <f t="shared" si="10"/>
        <v>42046446</v>
      </c>
      <c r="L99" s="8">
        <f t="shared" si="10"/>
        <v>164333326</v>
      </c>
      <c r="M99" s="8">
        <f t="shared" si="10"/>
        <v>7596479</v>
      </c>
      <c r="N99" s="8">
        <f t="shared" si="10"/>
        <v>17482000</v>
      </c>
      <c r="O99" s="8">
        <f t="shared" si="10"/>
        <v>64221300</v>
      </c>
      <c r="P99" s="8">
        <f t="shared" si="10"/>
        <v>9596479</v>
      </c>
      <c r="Q99" s="8">
        <f t="shared" si="10"/>
        <v>0</v>
      </c>
      <c r="R99" s="8">
        <f t="shared" si="10"/>
        <v>-2000000</v>
      </c>
      <c r="S99" s="8">
        <f t="shared" si="10"/>
        <v>-2000000</v>
      </c>
      <c r="T99" s="8">
        <f t="shared" si="10"/>
        <v>0</v>
      </c>
      <c r="U99" s="8">
        <f t="shared" si="10"/>
        <v>17482000</v>
      </c>
      <c r="V99" s="8">
        <f t="shared" si="10"/>
        <v>7974574</v>
      </c>
      <c r="W99" s="8">
        <f t="shared" si="10"/>
        <v>8895293</v>
      </c>
      <c r="X99" s="8">
        <f t="shared" si="10"/>
        <v>0</v>
      </c>
      <c r="Y99" s="8">
        <f t="shared" si="10"/>
        <v>0</v>
      </c>
      <c r="Z99" s="8">
        <f t="shared" si="10"/>
        <v>0</v>
      </c>
      <c r="AA99" s="8">
        <f t="shared" si="10"/>
        <v>612133</v>
      </c>
      <c r="AB99" s="16"/>
      <c r="AC99" s="7"/>
      <c r="AD99" s="800"/>
      <c r="AE99" s="7"/>
      <c r="AF99" s="810"/>
      <c r="AG99" s="800"/>
      <c r="AH99" s="800"/>
      <c r="AI99" s="7"/>
      <c r="AJ99" s="7"/>
      <c r="AK99" s="32"/>
      <c r="AL99" s="803"/>
      <c r="AM99" s="372"/>
      <c r="AN99" s="32"/>
      <c r="AO99" s="32"/>
      <c r="AP99" s="8"/>
      <c r="AQ99" s="8"/>
      <c r="AR99" s="663"/>
      <c r="AS99" s="679"/>
      <c r="AT99" s="8"/>
    </row>
    <row r="100" spans="1:46" ht="90">
      <c r="A100" s="3">
        <f>A98+1</f>
        <v>87</v>
      </c>
      <c r="B100" s="3">
        <f>'תקציב מינהל תפעול 2022'!B123</f>
        <v>20037</v>
      </c>
      <c r="C100" s="255" t="str">
        <f>'תקציב מינהל תפעול 2022'!C123</f>
        <v>שיפוץ הקונסרבטוריון יד התשעה</v>
      </c>
      <c r="D100" s="4">
        <f>'תקציב מינהל תפעול 2022'!D123</f>
        <v>2000000</v>
      </c>
      <c r="E100" s="4">
        <f>'תקציב מינהל תפעול 2022'!E123</f>
        <v>0</v>
      </c>
      <c r="F100" s="4">
        <f>'תקציב מינהל תפעול 2022'!F123</f>
        <v>2000000</v>
      </c>
      <c r="G100" s="4">
        <f>'תקציב מינהל תפעול 2022'!G123</f>
        <v>0</v>
      </c>
      <c r="H100" s="4">
        <f>'תקציב מינהל תפעול 2022'!H123</f>
        <v>0</v>
      </c>
      <c r="I100" s="4">
        <f>'תקציב מינהל תפעול 2022'!I123</f>
        <v>0</v>
      </c>
      <c r="J100" s="4">
        <f>'תקציב מינהל תפעול 2022'!J123</f>
        <v>0</v>
      </c>
      <c r="K100" s="4">
        <f>'תקציב מינהל תפעול 2022'!K123</f>
        <v>0</v>
      </c>
      <c r="L100" s="4">
        <f>'תקציב מינהל תפעול 2022'!L123</f>
        <v>0</v>
      </c>
      <c r="M100" s="4">
        <f>'תקציב מינהל תפעול 2022'!M123</f>
        <v>0</v>
      </c>
      <c r="N100" s="4">
        <f>'תקציב מינהל תפעול 2022'!N123</f>
        <v>1500000</v>
      </c>
      <c r="O100" s="4">
        <f>'תקציב מינהל תפעול 2022'!O123</f>
        <v>500000</v>
      </c>
      <c r="P100" s="4">
        <f>'תקציב מינהל תפעול 2022'!P123</f>
        <v>0</v>
      </c>
      <c r="Q100" s="4">
        <f>'תקציב מינהל תפעול 2022'!Q123</f>
        <v>0</v>
      </c>
      <c r="R100" s="4">
        <f>'תקציב מינהל תפעול 2022'!R123</f>
        <v>0</v>
      </c>
      <c r="S100" s="4">
        <f>'תקציב מינהל תפעול 2022'!S123</f>
        <v>0</v>
      </c>
      <c r="T100" s="4">
        <f>'תקציב מינהל תפעול 2022'!T123</f>
        <v>0</v>
      </c>
      <c r="U100" s="4">
        <f>'תקציב מינהל תפעול 2022'!U123</f>
        <v>1500000</v>
      </c>
      <c r="V100" s="4">
        <f>'תקציב מינהל תפעול 2022'!V123</f>
        <v>0</v>
      </c>
      <c r="W100" s="4">
        <f>'תקציב מינהל תפעול 2022'!W123</f>
        <v>500000</v>
      </c>
      <c r="X100" s="4">
        <f>'תקציב מינהל תפעול 2022'!X123</f>
        <v>0</v>
      </c>
      <c r="Y100" s="4">
        <f>'תקציב מינהל תפעול 2022'!Y123</f>
        <v>0</v>
      </c>
      <c r="Z100" s="4">
        <f>'תקציב מינהל תפעול 2022'!Z123</f>
        <v>0</v>
      </c>
      <c r="AA100" s="4">
        <f>'תקציב מינהל תפעול 2022'!AA123</f>
        <v>1000000</v>
      </c>
      <c r="AB100" s="255" t="str">
        <f>'תקציב מינהל תפעול 2022'!AB123</f>
        <v>עבודות שיפוץ הקונסבטוריון כ - 1,000 מ"ר ב - 2 קומות בשכונת יד התשעה כולל תקרות אקוסטיות, תאורה, ריצוף, שדרוג השרותים , מערכות חשמל, מיזוג אוויר. מ. הפיס.</v>
      </c>
      <c r="AC100" s="3">
        <f>'תקציב מינהל תפעול 2022'!AC123</f>
        <v>826000</v>
      </c>
      <c r="AD100" s="480"/>
      <c r="AE100" s="3"/>
      <c r="AF100" s="511"/>
      <c r="AG100" s="480"/>
      <c r="AH100" s="480"/>
      <c r="AI100" s="3"/>
      <c r="AJ100" s="3"/>
      <c r="AK100" s="30"/>
      <c r="AL100" s="477" t="s">
        <v>1160</v>
      </c>
      <c r="AM100" s="478"/>
      <c r="AN100" s="30" t="s">
        <v>1491</v>
      </c>
      <c r="AO100" s="643" t="s">
        <v>1491</v>
      </c>
      <c r="AP100" s="4">
        <v>-1000000</v>
      </c>
      <c r="AQ100" s="4">
        <v>-500000</v>
      </c>
      <c r="AR100" s="671"/>
      <c r="AS100" s="669"/>
      <c r="AT100" s="4">
        <v>-1000000</v>
      </c>
    </row>
    <row r="101" spans="1:46" ht="75">
      <c r="A101" s="3">
        <f t="shared" ref="A101:A107" si="11">A100+1</f>
        <v>88</v>
      </c>
      <c r="B101" s="3">
        <f>'תקציב מינהל תפעול 2022'!B120</f>
        <v>20034</v>
      </c>
      <c r="C101" s="255" t="str">
        <f>'תקציב מינהל תפעול 2022'!C120</f>
        <v>בית ליצירה אומנותית - מועדון הנוער</v>
      </c>
      <c r="D101" s="4">
        <f>'תקציב מינהל תפעול 2022'!D120</f>
        <v>2000000</v>
      </c>
      <c r="E101" s="4">
        <f>'תקציב מינהל תפעול 2022'!E120</f>
        <v>0</v>
      </c>
      <c r="F101" s="4">
        <f>'תקציב מינהל תפעול 2022'!F120</f>
        <v>2000000</v>
      </c>
      <c r="G101" s="4">
        <f>'תקציב מינהל תפעול 2022'!G120</f>
        <v>0</v>
      </c>
      <c r="H101" s="4">
        <f>'תקציב מינהל תפעול 2022'!H120</f>
        <v>0</v>
      </c>
      <c r="I101" s="4">
        <f>'תקציב מינהל תפעול 2022'!I120</f>
        <v>0</v>
      </c>
      <c r="J101" s="4">
        <f>'תקציב מינהל תפעול 2022'!J120</f>
        <v>0</v>
      </c>
      <c r="K101" s="4">
        <f>'תקציב מינהל תפעול 2022'!K120</f>
        <v>0</v>
      </c>
      <c r="L101" s="4">
        <f>'תקציב מינהל תפעול 2022'!L120</f>
        <v>0</v>
      </c>
      <c r="M101" s="4">
        <f>'תקציב מינהל תפעול 2022'!M120</f>
        <v>0</v>
      </c>
      <c r="N101" s="4">
        <f>'תקציב מינהל תפעול 2022'!N120</f>
        <v>2000000</v>
      </c>
      <c r="O101" s="4">
        <f>'תקציב מינהל תפעול 2022'!O120</f>
        <v>0</v>
      </c>
      <c r="P101" s="4">
        <f>'תקציב מינהל תפעול 2022'!P120</f>
        <v>0</v>
      </c>
      <c r="Q101" s="4">
        <f>'תקציב מינהל תפעול 2022'!Q120</f>
        <v>0</v>
      </c>
      <c r="R101" s="4">
        <f>'תקציב מינהל תפעול 2022'!R120</f>
        <v>0</v>
      </c>
      <c r="S101" s="4">
        <f>'תקציב מינהל תפעול 2022'!S120</f>
        <v>0</v>
      </c>
      <c r="T101" s="4">
        <f>'תקציב מינהל תפעול 2022'!T120</f>
        <v>0</v>
      </c>
      <c r="U101" s="4">
        <f>'תקציב מינהל תפעול 2022'!U120</f>
        <v>2000000</v>
      </c>
      <c r="V101" s="4">
        <f>'תקציב מינהל תפעול 2022'!V120</f>
        <v>0</v>
      </c>
      <c r="W101" s="4">
        <f>'תקציב מינהל תפעול 2022'!W120</f>
        <v>1000000</v>
      </c>
      <c r="X101" s="4">
        <f>'תקציב מינהל תפעול 2022'!X120</f>
        <v>0</v>
      </c>
      <c r="Y101" s="4">
        <f>'תקציב מינהל תפעול 2022'!Y120</f>
        <v>0</v>
      </c>
      <c r="Z101" s="4">
        <f>'תקציב מינהל תפעול 2022'!Z120</f>
        <v>0</v>
      </c>
      <c r="AA101" s="4">
        <f>'תקציב מינהל תפעול 2022'!AA120</f>
        <v>1000000</v>
      </c>
      <c r="AB101" s="255" t="str">
        <f>'תקציב מינהל תפעול 2022'!AB120</f>
        <v>עבודות שיפוץ במועדון הנוער יוסף נבו 18 הכוללות : תקרות, רצפות, שרותים, שיפוץ בית הקפה, מערכות סאונד, הצטיידויות. מ. הפיס.</v>
      </c>
      <c r="AC101" s="3">
        <f>'תקציב מינהל תפעול 2022'!AC120</f>
        <v>828000</v>
      </c>
      <c r="AD101" s="480"/>
      <c r="AE101" s="3"/>
      <c r="AF101" s="511"/>
      <c r="AG101" s="480"/>
      <c r="AH101" s="480"/>
      <c r="AI101" s="3"/>
      <c r="AJ101" s="3" t="s">
        <v>1483</v>
      </c>
      <c r="AK101" s="30"/>
      <c r="AL101" s="477" t="s">
        <v>1160</v>
      </c>
      <c r="AM101" s="478"/>
      <c r="AN101" s="30"/>
      <c r="AO101" s="30"/>
      <c r="AP101" s="4">
        <v>-1000000</v>
      </c>
      <c r="AQ101" s="4"/>
      <c r="AR101" s="638"/>
      <c r="AS101" s="669"/>
      <c r="AT101" s="4">
        <v>-1000000</v>
      </c>
    </row>
    <row r="102" spans="1:46" ht="45">
      <c r="A102" s="3">
        <f t="shared" si="11"/>
        <v>89</v>
      </c>
      <c r="B102" s="3">
        <f>'תקציב מינהל תפעול 2022'!B121</f>
        <v>20035</v>
      </c>
      <c r="C102" s="255" t="str">
        <f>'תקציב מינהל תפעול 2022'!C121</f>
        <v>הקמת שלוחת הצופים ליד אולפנת צביה</v>
      </c>
      <c r="D102" s="4">
        <f>'תקציב מינהל תפעול 2022'!D121</f>
        <v>3000000</v>
      </c>
      <c r="E102" s="4">
        <f>'תקציב מינהל תפעול 2022'!E121</f>
        <v>0</v>
      </c>
      <c r="F102" s="4">
        <f>'תקציב מינהל תפעול 2022'!F121</f>
        <v>3000000</v>
      </c>
      <c r="G102" s="4">
        <f>'תקציב מינהל תפעול 2022'!G121</f>
        <v>0</v>
      </c>
      <c r="H102" s="4">
        <f>'תקציב מינהל תפעול 2022'!H121</f>
        <v>0</v>
      </c>
      <c r="I102" s="4">
        <f>'תקציב מינהל תפעול 2022'!I121</f>
        <v>0</v>
      </c>
      <c r="J102" s="4">
        <f>'תקציב מינהל תפעול 2022'!J121</f>
        <v>0</v>
      </c>
      <c r="K102" s="4">
        <f>'תקציב מינהל תפעול 2022'!K121</f>
        <v>0</v>
      </c>
      <c r="L102" s="4">
        <f>'תקציב מינהל תפעול 2022'!L121</f>
        <v>0</v>
      </c>
      <c r="M102" s="4">
        <f>'תקציב מינהל תפעול 2022'!M121</f>
        <v>0</v>
      </c>
      <c r="N102" s="4">
        <f>'תקציב מינהל תפעול 2022'!N121</f>
        <v>1000000</v>
      </c>
      <c r="O102" s="4">
        <f>'תקציב מינהל תפעול 2022'!O121</f>
        <v>2000000</v>
      </c>
      <c r="P102" s="4">
        <f>'תקציב מינהל תפעול 2022'!P121</f>
        <v>0</v>
      </c>
      <c r="Q102" s="4">
        <f>'תקציב מינהל תפעול 2022'!Q121</f>
        <v>0</v>
      </c>
      <c r="R102" s="4">
        <f>'תקציב מינהל תפעול 2022'!R121</f>
        <v>0</v>
      </c>
      <c r="S102" s="4">
        <f>'תקציב מינהל תפעול 2022'!S121</f>
        <v>0</v>
      </c>
      <c r="T102" s="4">
        <f>'תקציב מינהל תפעול 2022'!T121</f>
        <v>0</v>
      </c>
      <c r="U102" s="4">
        <f>'תקציב מינהל תפעול 2022'!U121</f>
        <v>1000000</v>
      </c>
      <c r="V102" s="4">
        <f>'תקציב מינהל תפעול 2022'!V121</f>
        <v>0</v>
      </c>
      <c r="W102" s="4">
        <f>'תקציב מינהל תפעול 2022'!W121</f>
        <v>1000000</v>
      </c>
      <c r="X102" s="4">
        <f>'תקציב מינהל תפעול 2022'!X121</f>
        <v>0</v>
      </c>
      <c r="Y102" s="4">
        <f>'תקציב מינהל תפעול 2022'!Y121</f>
        <v>0</v>
      </c>
      <c r="Z102" s="4">
        <f>'תקציב מינהל תפעול 2022'!Z121</f>
        <v>0</v>
      </c>
      <c r="AA102" s="4">
        <f>'תקציב מינהל תפעול 2022'!AA121</f>
        <v>0</v>
      </c>
      <c r="AB102" s="255" t="str">
        <f>'תקציב מינהל תפעול 2022'!AB121</f>
        <v>הצבת מבנים יבילים , מבני שרותים, הצללות ופיתוח שבט צופים ליד אולפנה צביה.</v>
      </c>
      <c r="AC102" s="3">
        <f>'תקציב מינהל תפעול 2022'!AC121</f>
        <v>828000</v>
      </c>
      <c r="AD102" s="480"/>
      <c r="AE102" s="3"/>
      <c r="AF102" s="511"/>
      <c r="AG102" s="480"/>
      <c r="AH102" s="480"/>
      <c r="AI102" s="3"/>
      <c r="AJ102" s="3"/>
      <c r="AK102" s="30" t="s">
        <v>1485</v>
      </c>
      <c r="AL102" s="477" t="s">
        <v>1160</v>
      </c>
      <c r="AM102" s="478"/>
      <c r="AN102" s="30" t="s">
        <v>1486</v>
      </c>
      <c r="AO102" s="643" t="s">
        <v>1487</v>
      </c>
      <c r="AP102" s="574">
        <v>-2500000</v>
      </c>
      <c r="AQ102" s="4"/>
      <c r="AR102" s="673">
        <v>2000000</v>
      </c>
      <c r="AS102" s="669">
        <f>AR102-N102</f>
        <v>1000000</v>
      </c>
      <c r="AT102" s="4">
        <v>-1000000</v>
      </c>
    </row>
    <row r="103" spans="1:46" ht="46.9" customHeight="1">
      <c r="A103" s="3">
        <f t="shared" si="11"/>
        <v>90</v>
      </c>
      <c r="B103" s="3">
        <f>'תקציב מינהל תפעול 2022'!B52</f>
        <v>2040</v>
      </c>
      <c r="C103" s="255" t="str">
        <f>'תקציב מינהל תפעול 2022'!C52</f>
        <v>ספורטק חידוש מתחם מתקני משחק</v>
      </c>
      <c r="D103" s="4">
        <f>'תקציב מינהל תפעול 2022'!D52</f>
        <v>1210000</v>
      </c>
      <c r="E103" s="4">
        <f>'תקציב מינהל תפעול 2022'!E52</f>
        <v>910000</v>
      </c>
      <c r="F103" s="4">
        <f>'תקציב מינהל תפעול 2022'!F52</f>
        <v>300000</v>
      </c>
      <c r="G103" s="4">
        <f>'תקציב מינהל תפעול 2022'!G52</f>
        <v>910000</v>
      </c>
      <c r="H103" s="4">
        <f>'תקציב מינהל תפעול 2022'!H52</f>
        <v>832911</v>
      </c>
      <c r="I103" s="4">
        <f>'תקציב מינהל תפעול 2022'!I52</f>
        <v>0</v>
      </c>
      <c r="J103" s="4">
        <f>'תקציב מינהל תפעול 2022'!J52</f>
        <v>30442</v>
      </c>
      <c r="K103" s="4">
        <f>'תקציב מינהל תפעול 2022'!K52</f>
        <v>30442</v>
      </c>
      <c r="L103" s="4">
        <f>'תקציב מינהל תפעול 2022'!L52</f>
        <v>863353</v>
      </c>
      <c r="M103" s="4">
        <f>'תקציב מינהל תפעול 2022'!M52</f>
        <v>46647</v>
      </c>
      <c r="N103" s="4">
        <f>'תקציב מינהל תפעול 2022'!N52</f>
        <v>300000</v>
      </c>
      <c r="O103" s="4">
        <f>'תקציב מינהל תפעול 2022'!O52</f>
        <v>0</v>
      </c>
      <c r="P103" s="4">
        <f>'תקציב מינהל תפעול 2022'!P52</f>
        <v>46647</v>
      </c>
      <c r="Q103" s="4">
        <f>'תקציב מינהל תפעול 2022'!Q52</f>
        <v>0</v>
      </c>
      <c r="R103" s="4">
        <f>'תקציב מינהל תפעול 2022'!R52</f>
        <v>0</v>
      </c>
      <c r="S103" s="4">
        <f>'תקציב מינהל תפעול 2022'!S52</f>
        <v>0</v>
      </c>
      <c r="T103" s="4">
        <f>'תקציב מינהל תפעול 2022'!T52</f>
        <v>0</v>
      </c>
      <c r="U103" s="4">
        <f>'תקציב מינהל תפעול 2022'!U52</f>
        <v>300000</v>
      </c>
      <c r="V103" s="4">
        <f>'תקציב מינהל תפעול 2022'!V52</f>
        <v>0</v>
      </c>
      <c r="W103" s="4">
        <f>'תקציב מינהל תפעול 2022'!W52</f>
        <v>300000</v>
      </c>
      <c r="X103" s="4">
        <f>'תקציב מינהל תפעול 2022'!X52</f>
        <v>0</v>
      </c>
      <c r="Y103" s="4">
        <f>'תקציב מינהל תפעול 2022'!Y52</f>
        <v>0</v>
      </c>
      <c r="Z103" s="4">
        <f>'תקציב מינהל תפעול 2022'!Z52</f>
        <v>0</v>
      </c>
      <c r="AA103" s="4">
        <f>'תקציב מינהל תפעול 2022'!AA52</f>
        <v>0</v>
      </c>
      <c r="AB103" s="255" t="str">
        <f>'תקציב מינהל תפעול 2022'!AB52</f>
        <v xml:space="preserve">החלפת מתחם ישן ורעוע עשוי מלוחות עץ נרקבים שעומד שעומד לפני פסילת מכון התקנים. </v>
      </c>
      <c r="AC103" s="3">
        <f>'תקציב מינהל תפעול 2022'!AC52</f>
        <v>829000</v>
      </c>
      <c r="AD103" s="480"/>
      <c r="AE103" s="484" t="s">
        <v>1009</v>
      </c>
      <c r="AF103" s="475" t="s">
        <v>1310</v>
      </c>
      <c r="AG103" s="475" t="s">
        <v>1311</v>
      </c>
      <c r="AH103" s="476"/>
      <c r="AI103" s="482" t="s">
        <v>1312</v>
      </c>
      <c r="AJ103" s="490" t="s">
        <v>1312</v>
      </c>
      <c r="AK103" s="364" t="s">
        <v>1312</v>
      </c>
      <c r="AL103" s="477" t="s">
        <v>1153</v>
      </c>
      <c r="AM103" s="478">
        <v>2</v>
      </c>
      <c r="AN103" s="364"/>
      <c r="AO103" s="364" t="s">
        <v>1312</v>
      </c>
      <c r="AP103" s="574">
        <v>-200000</v>
      </c>
      <c r="AQ103" s="4"/>
      <c r="AR103" s="669">
        <v>300000</v>
      </c>
      <c r="AS103" s="669">
        <f>AR103-N103</f>
        <v>0</v>
      </c>
      <c r="AT103" s="4"/>
    </row>
    <row r="104" spans="1:46" ht="45">
      <c r="A104" s="3">
        <f t="shared" si="11"/>
        <v>91</v>
      </c>
      <c r="B104" s="3">
        <f>'תקציב מינהל תפעול 2022'!B98</f>
        <v>2235</v>
      </c>
      <c r="C104" s="255" t="str">
        <f>'תקציב מינהל תפעול 2022'!C98</f>
        <v>הקמת מבנים יבילים חדשים באיצטדיון</v>
      </c>
      <c r="D104" s="4">
        <f>'תקציב מינהל תפעול 2022'!D98</f>
        <v>1400000</v>
      </c>
      <c r="E104" s="4">
        <f>'תקציב מינהל תפעול 2022'!E98</f>
        <v>1400000</v>
      </c>
      <c r="F104" s="4">
        <f>'תקציב מינהל תפעול 2022'!F98</f>
        <v>0</v>
      </c>
      <c r="G104" s="4">
        <f>'תקציב מינהל תפעול 2022'!G98</f>
        <v>1400000</v>
      </c>
      <c r="H104" s="4">
        <f>'תקציב מינהל תפעול 2022'!H98</f>
        <v>11249</v>
      </c>
      <c r="I104" s="4">
        <f>'תקציב מינהל תפעול 2022'!I98</f>
        <v>0</v>
      </c>
      <c r="J104" s="4">
        <f>'תקציב מינהל תפעול 2022'!J98</f>
        <v>19873</v>
      </c>
      <c r="K104" s="4">
        <f>'תקציב מינהל תפעול 2022'!K98</f>
        <v>19873</v>
      </c>
      <c r="L104" s="4">
        <f>'תקציב מינהל תפעול 2022'!L98</f>
        <v>31122</v>
      </c>
      <c r="M104" s="4">
        <f>'תקציב מינהל תפעול 2022'!M98</f>
        <v>1368878</v>
      </c>
      <c r="N104" s="4">
        <f>'תקציב מינהל תפעול 2022'!N98</f>
        <v>0</v>
      </c>
      <c r="O104" s="4">
        <f>'תקציב מינהל תפעול 2022'!O98</f>
        <v>0</v>
      </c>
      <c r="P104" s="4">
        <f>'תקציב מינהל תפעול 2022'!P98</f>
        <v>1368878</v>
      </c>
      <c r="Q104" s="4">
        <f>'תקציב מינהל תפעול 2022'!Q98</f>
        <v>0</v>
      </c>
      <c r="R104" s="4">
        <f>'תקציב מינהל תפעול 2022'!R98</f>
        <v>0</v>
      </c>
      <c r="S104" s="4">
        <f>'תקציב מינהל תפעול 2022'!S98</f>
        <v>0</v>
      </c>
      <c r="T104" s="4">
        <f>'תקציב מינהל תפעול 2022'!T98</f>
        <v>0</v>
      </c>
      <c r="U104" s="4">
        <f>'תקציב מינהל תפעול 2022'!U98</f>
        <v>0</v>
      </c>
      <c r="V104" s="4">
        <f>'תקציב מינהל תפעול 2022'!V98</f>
        <v>0</v>
      </c>
      <c r="W104" s="4">
        <f>'תקציב מינהל תפעול 2022'!W98</f>
        <v>0</v>
      </c>
      <c r="X104" s="4">
        <f>'תקציב מינהל תפעול 2022'!X98</f>
        <v>0</v>
      </c>
      <c r="Y104" s="4">
        <f>'תקציב מינהל תפעול 2022'!Y98</f>
        <v>0</v>
      </c>
      <c r="Z104" s="4">
        <f>'תקציב מינהל תפעול 2022'!Z98</f>
        <v>0</v>
      </c>
      <c r="AA104" s="4">
        <f>'תקציב מינהל תפעול 2022'!AA98</f>
        <v>0</v>
      </c>
      <c r="AB104" s="255" t="str">
        <f>'תקציב מינהל תפעול 2022'!AB98</f>
        <v xml:space="preserve"> הקמת 3 מבנים יבילים  באיצטדיון כולל תשתיות ופיתוח דרכי גישה.</v>
      </c>
      <c r="AC104" s="3">
        <f>'תקציב מינהל תפעול 2022'!AC98</f>
        <v>829000</v>
      </c>
      <c r="AD104" s="480"/>
      <c r="AE104" s="475"/>
      <c r="AF104" s="475"/>
      <c r="AG104" s="475"/>
      <c r="AH104" s="476"/>
      <c r="AI104" s="482"/>
      <c r="AJ104" s="482"/>
      <c r="AK104" s="364"/>
      <c r="AL104" s="477" t="s">
        <v>1160</v>
      </c>
      <c r="AM104" s="478"/>
      <c r="AN104" s="364"/>
      <c r="AO104" s="364"/>
      <c r="AP104" s="4"/>
      <c r="AQ104" s="4"/>
      <c r="AR104" s="669"/>
      <c r="AS104" s="669"/>
      <c r="AT104" s="4"/>
    </row>
    <row r="105" spans="1:46" ht="75">
      <c r="A105" s="3">
        <f t="shared" si="11"/>
        <v>92</v>
      </c>
      <c r="B105" s="3">
        <f>'תקציב מינהל תפעול 2022'!B118</f>
        <v>20032</v>
      </c>
      <c r="C105" s="255" t="str">
        <f>'תקציב מינהל תפעול 2022'!C118</f>
        <v>שדרוג תאורה במגרשי אימונים באיצטדיון</v>
      </c>
      <c r="D105" s="4">
        <f>'תקציב מינהל תפעול 2022'!D118</f>
        <v>4850000</v>
      </c>
      <c r="E105" s="4">
        <f>'תקציב מינהל תפעול 2022'!E118</f>
        <v>0</v>
      </c>
      <c r="F105" s="4">
        <f>'תקציב מינהל תפעול 2022'!F118</f>
        <v>4850000</v>
      </c>
      <c r="G105" s="4">
        <f>'תקציב מינהל תפעול 2022'!G118</f>
        <v>0</v>
      </c>
      <c r="H105" s="4">
        <f>'תקציב מינהל תפעול 2022'!H118</f>
        <v>0</v>
      </c>
      <c r="I105" s="4">
        <f>'תקציב מינהל תפעול 2022'!I118</f>
        <v>0</v>
      </c>
      <c r="J105" s="4">
        <f>'תקציב מינהל תפעול 2022'!J118</f>
        <v>0</v>
      </c>
      <c r="K105" s="4">
        <f>'תקציב מינהל תפעול 2022'!K118</f>
        <v>0</v>
      </c>
      <c r="L105" s="4">
        <f>'תקציב מינהל תפעול 2022'!L118</f>
        <v>0</v>
      </c>
      <c r="M105" s="4">
        <f>'תקציב מינהל תפעול 2022'!M118</f>
        <v>0</v>
      </c>
      <c r="N105" s="4">
        <f>'תקציב מינהל תפעול 2022'!N118</f>
        <v>500000</v>
      </c>
      <c r="O105" s="4">
        <f>'תקציב מינהל תפעול 2022'!O118</f>
        <v>4350000</v>
      </c>
      <c r="P105" s="4">
        <f>'תקציב מינהל תפעול 2022'!P118</f>
        <v>0</v>
      </c>
      <c r="Q105" s="4">
        <f>'תקציב מינהל תפעול 2022'!Q118</f>
        <v>0</v>
      </c>
      <c r="R105" s="4">
        <f>'תקציב מינהל תפעול 2022'!R118</f>
        <v>0</v>
      </c>
      <c r="S105" s="4">
        <f>'תקציב מינהל תפעול 2022'!S118</f>
        <v>0</v>
      </c>
      <c r="T105" s="4">
        <f>'תקציב מינהל תפעול 2022'!T118</f>
        <v>0</v>
      </c>
      <c r="U105" s="4">
        <f>'תקציב מינהל תפעול 2022'!U118</f>
        <v>500000</v>
      </c>
      <c r="V105" s="4">
        <f>'תקציב מינהל תפעול 2022'!V118</f>
        <v>500000</v>
      </c>
      <c r="W105" s="4">
        <f>'תקציב מינהל תפעול 2022'!W118</f>
        <v>0</v>
      </c>
      <c r="X105" s="4">
        <f>'תקציב מינהל תפעול 2022'!X118</f>
        <v>0</v>
      </c>
      <c r="Y105" s="4">
        <f>'תקציב מינהל תפעול 2022'!Y118</f>
        <v>0</v>
      </c>
      <c r="Z105" s="4">
        <f>'תקציב מינהל תפעול 2022'!Z118</f>
        <v>0</v>
      </c>
      <c r="AA105" s="4">
        <f>'תקציב מינהל תפעול 2022'!AA118</f>
        <v>0</v>
      </c>
      <c r="AB105" s="255" t="str">
        <f>'תקציב מינהל תפעול 2022'!AB118</f>
        <v>שדרוג תאורה במגרשי האצטדיון-הארת המגרשים בעוצמה טובה יותר החלפה לתאורת לד ,החלפת עמודים בחלק מהמקומות ומערכת בקרה לשליטה מרחוק.</v>
      </c>
      <c r="AC105" s="3">
        <f>'תקציב מינהל תפעול 2022'!AC118</f>
        <v>829000</v>
      </c>
      <c r="AD105" s="480"/>
      <c r="AE105" s="3" t="s">
        <v>1475</v>
      </c>
      <c r="AF105" s="511"/>
      <c r="AG105" s="480"/>
      <c r="AH105" s="480"/>
      <c r="AI105" s="3" t="s">
        <v>1476</v>
      </c>
      <c r="AJ105" s="3" t="s">
        <v>1476</v>
      </c>
      <c r="AK105" s="30" t="s">
        <v>1477</v>
      </c>
      <c r="AL105" s="477" t="s">
        <v>1160</v>
      </c>
      <c r="AM105" s="478">
        <v>2</v>
      </c>
      <c r="AN105" s="30" t="s">
        <v>1478</v>
      </c>
      <c r="AO105" s="643" t="s">
        <v>1478</v>
      </c>
      <c r="AP105" s="574">
        <v>-4850000</v>
      </c>
      <c r="AQ105" s="4"/>
      <c r="AR105" s="673">
        <v>2500000</v>
      </c>
      <c r="AS105" s="669">
        <f>AR105-N105</f>
        <v>2000000</v>
      </c>
      <c r="AT105" s="4">
        <v>-1000000</v>
      </c>
    </row>
    <row r="106" spans="1:46" ht="75">
      <c r="A106" s="3">
        <f t="shared" si="11"/>
        <v>93</v>
      </c>
      <c r="B106" s="3">
        <f>'תקציב מינהל תפעול 2022'!B119</f>
        <v>20033</v>
      </c>
      <c r="C106" s="255" t="str">
        <f>'תקציב מינהל תפעול 2022'!C119</f>
        <v>שיקום אצטדיון גורדון</v>
      </c>
      <c r="D106" s="4">
        <f>'תקציב מינהל תפעול 2022'!D119</f>
        <v>910000</v>
      </c>
      <c r="E106" s="4">
        <f>'תקציב מינהל תפעול 2022'!E119</f>
        <v>0</v>
      </c>
      <c r="F106" s="4">
        <f>'תקציב מינהל תפעול 2022'!F119</f>
        <v>910000</v>
      </c>
      <c r="G106" s="4">
        <f>'תקציב מינהל תפעול 2022'!G119</f>
        <v>0</v>
      </c>
      <c r="H106" s="4">
        <f>'תקציב מינהל תפעול 2022'!H119</f>
        <v>0</v>
      </c>
      <c r="I106" s="4">
        <f>'תקציב מינהל תפעול 2022'!I119</f>
        <v>0</v>
      </c>
      <c r="J106" s="4">
        <f>'תקציב מינהל תפעול 2022'!J119</f>
        <v>0</v>
      </c>
      <c r="K106" s="4">
        <f>'תקציב מינהל תפעול 2022'!K119</f>
        <v>0</v>
      </c>
      <c r="L106" s="4">
        <f>'תקציב מינהל תפעול 2022'!L119</f>
        <v>0</v>
      </c>
      <c r="M106" s="4">
        <f>'תקציב מינהל תפעול 2022'!M119</f>
        <v>0</v>
      </c>
      <c r="N106" s="4">
        <f>'תקציב מינהל תפעול 2022'!N119</f>
        <v>910000</v>
      </c>
      <c r="O106" s="4">
        <f>'תקציב מינהל תפעול 2022'!O119</f>
        <v>0</v>
      </c>
      <c r="P106" s="4">
        <f>'תקציב מינהל תפעול 2022'!P119</f>
        <v>0</v>
      </c>
      <c r="Q106" s="4">
        <f>'תקציב מינהל תפעול 2022'!Q119</f>
        <v>0</v>
      </c>
      <c r="R106" s="4">
        <f>'תקציב מינהל תפעול 2022'!R119</f>
        <v>0</v>
      </c>
      <c r="S106" s="4">
        <f>'תקציב מינהל תפעול 2022'!S119</f>
        <v>0</v>
      </c>
      <c r="T106" s="4">
        <f>'תקציב מינהל תפעול 2022'!T119</f>
        <v>0</v>
      </c>
      <c r="U106" s="4">
        <f>'תקציב מינהל תפעול 2022'!U119</f>
        <v>910000</v>
      </c>
      <c r="V106" s="4">
        <f>'תקציב מינהל תפעול 2022'!V119</f>
        <v>910000</v>
      </c>
      <c r="W106" s="4">
        <f>'תקציב מינהל תפעול 2022'!W119</f>
        <v>0</v>
      </c>
      <c r="X106" s="4">
        <f>'תקציב מינהל תפעול 2022'!X119</f>
        <v>0</v>
      </c>
      <c r="Y106" s="4">
        <f>'תקציב מינהל תפעול 2022'!Y119</f>
        <v>0</v>
      </c>
      <c r="Z106" s="4">
        <f>'תקציב מינהל תפעול 2022'!Z119</f>
        <v>0</v>
      </c>
      <c r="AA106" s="4">
        <f>'תקציב מינהל תפעול 2022'!AA119</f>
        <v>0</v>
      </c>
      <c r="AB106" s="255" t="str">
        <f>'תקציב מינהל תפעול 2022'!AB119</f>
        <v>שיקום האיצטדיון אתלטיקה קלה בבי"ס גורדון . השיקום כולל שיפוץ היציע והמחסן והתקנת משטח ייעודי לא"ק במסלולי הריצה והקפיצה.</v>
      </c>
      <c r="AC106" s="3">
        <f>'תקציב מינהל תפעול 2022'!AC119</f>
        <v>829000</v>
      </c>
      <c r="AD106" s="480"/>
      <c r="AE106" s="3" t="s">
        <v>1480</v>
      </c>
      <c r="AF106" s="511"/>
      <c r="AG106" s="480"/>
      <c r="AH106" s="480"/>
      <c r="AI106" s="3" t="s">
        <v>1481</v>
      </c>
      <c r="AJ106" s="3" t="s">
        <v>1481</v>
      </c>
      <c r="AK106" s="32"/>
      <c r="AL106" s="477" t="s">
        <v>1160</v>
      </c>
      <c r="AM106" s="478">
        <v>2</v>
      </c>
      <c r="AN106" s="30" t="s">
        <v>1128</v>
      </c>
      <c r="AO106" s="30" t="s">
        <v>1128</v>
      </c>
      <c r="AP106" s="4"/>
      <c r="AQ106" s="4"/>
      <c r="AR106" s="638"/>
      <c r="AS106" s="669"/>
      <c r="AT106" s="4"/>
    </row>
    <row r="107" spans="1:46" ht="60">
      <c r="A107" s="3">
        <f t="shared" si="11"/>
        <v>94</v>
      </c>
      <c r="B107" s="3">
        <f>'תקציב מינהל תפעול 2022'!B124</f>
        <v>20038</v>
      </c>
      <c r="C107" s="255" t="str">
        <f>'תקציב מינהל תפעול 2022'!C124</f>
        <v>שיקום בטונים יציע מערבי באיצטדיון</v>
      </c>
      <c r="D107" s="4">
        <f>'תקציב מינהל תפעול 2022'!D124</f>
        <v>550000</v>
      </c>
      <c r="E107" s="4">
        <f>'תקציב מינהל תפעול 2022'!E124</f>
        <v>0</v>
      </c>
      <c r="F107" s="4">
        <f>'תקציב מינהל תפעול 2022'!F124</f>
        <v>550000</v>
      </c>
      <c r="G107" s="4">
        <f>'תקציב מינהל תפעול 2022'!G124</f>
        <v>0</v>
      </c>
      <c r="H107" s="4">
        <f>'תקציב מינהל תפעול 2022'!H124</f>
        <v>0</v>
      </c>
      <c r="I107" s="4">
        <f>'תקציב מינהל תפעול 2022'!I124</f>
        <v>0</v>
      </c>
      <c r="J107" s="4">
        <f>'תקציב מינהל תפעול 2022'!J124</f>
        <v>0</v>
      </c>
      <c r="K107" s="4">
        <f>'תקציב מינהל תפעול 2022'!K124</f>
        <v>0</v>
      </c>
      <c r="L107" s="4">
        <f>'תקציב מינהל תפעול 2022'!L124</f>
        <v>0</v>
      </c>
      <c r="M107" s="4">
        <f>'תקציב מינהל תפעול 2022'!M124</f>
        <v>0</v>
      </c>
      <c r="N107" s="4">
        <f>'תקציב מינהל תפעול 2022'!N124</f>
        <v>550000</v>
      </c>
      <c r="O107" s="4">
        <f>'תקציב מינהל תפעול 2022'!O124</f>
        <v>0</v>
      </c>
      <c r="P107" s="4">
        <f>'תקציב מינהל תפעול 2022'!P124</f>
        <v>0</v>
      </c>
      <c r="Q107" s="4">
        <f>'תקציב מינהל תפעול 2022'!Q124</f>
        <v>0</v>
      </c>
      <c r="R107" s="4">
        <f>'תקציב מינהל תפעול 2022'!R124</f>
        <v>0</v>
      </c>
      <c r="S107" s="4">
        <f>'תקציב מינהל תפעול 2022'!S124</f>
        <v>0</v>
      </c>
      <c r="T107" s="4">
        <f>'תקציב מינהל תפעול 2022'!T124</f>
        <v>0</v>
      </c>
      <c r="U107" s="4">
        <f>'תקציב מינהל תפעול 2022'!U124</f>
        <v>550000</v>
      </c>
      <c r="V107" s="4">
        <f>'תקציב מינהל תפעול 2022'!V124</f>
        <v>0</v>
      </c>
      <c r="W107" s="4">
        <f>'תקציב מינהל תפעול 2022'!W124</f>
        <v>550000</v>
      </c>
      <c r="X107" s="4">
        <f>'תקציב מינהל תפעול 2022'!X124</f>
        <v>0</v>
      </c>
      <c r="Y107" s="4">
        <f>'תקציב מינהל תפעול 2022'!Y124</f>
        <v>0</v>
      </c>
      <c r="Z107" s="4">
        <f>'תקציב מינהל תפעול 2022'!Z124</f>
        <v>0</v>
      </c>
      <c r="AA107" s="4">
        <f>'תקציב מינהל תפעול 2022'!AA124</f>
        <v>0</v>
      </c>
      <c r="AB107" s="255" t="str">
        <f>'תקציב מינהל תפעול 2022'!AB124</f>
        <v>עבודות שיקום בטונים ביציע המערבי בעקבות דוח קונסטרוקטור להשמשת האיצטדיון.</v>
      </c>
      <c r="AC107" s="3">
        <f>'תקציב מינהל תפעול 2022'!AC124</f>
        <v>829000</v>
      </c>
      <c r="AD107" s="480"/>
      <c r="AE107" s="3"/>
      <c r="AF107" s="511"/>
      <c r="AG107" s="480"/>
      <c r="AH107" s="480"/>
      <c r="AI107" s="3"/>
      <c r="AJ107" s="3"/>
      <c r="AK107" s="30"/>
      <c r="AL107" s="477" t="s">
        <v>1160</v>
      </c>
      <c r="AM107" s="478"/>
      <c r="AN107" s="30" t="s">
        <v>1494</v>
      </c>
      <c r="AO107" s="30"/>
      <c r="AP107" s="4"/>
      <c r="AQ107" s="4"/>
      <c r="AR107" s="638"/>
      <c r="AS107" s="669"/>
      <c r="AT107" s="4"/>
    </row>
    <row r="108" spans="1:46" s="414" customFormat="1" ht="25.15" customHeight="1">
      <c r="A108" s="7"/>
      <c r="B108" s="7"/>
      <c r="C108" s="16" t="s">
        <v>805</v>
      </c>
      <c r="D108" s="8">
        <f t="shared" ref="D108:AA108" si="12">SUM(D100:D107)</f>
        <v>15920000</v>
      </c>
      <c r="E108" s="8">
        <f t="shared" si="12"/>
        <v>2310000</v>
      </c>
      <c r="F108" s="8">
        <f t="shared" si="12"/>
        <v>13610000</v>
      </c>
      <c r="G108" s="8">
        <f t="shared" si="12"/>
        <v>2310000</v>
      </c>
      <c r="H108" s="8">
        <f t="shared" si="12"/>
        <v>844160</v>
      </c>
      <c r="I108" s="8">
        <f t="shared" si="12"/>
        <v>0</v>
      </c>
      <c r="J108" s="8">
        <f t="shared" si="12"/>
        <v>50315</v>
      </c>
      <c r="K108" s="8">
        <f t="shared" si="12"/>
        <v>50315</v>
      </c>
      <c r="L108" s="8">
        <f t="shared" si="12"/>
        <v>894475</v>
      </c>
      <c r="M108" s="8">
        <f t="shared" si="12"/>
        <v>1415525</v>
      </c>
      <c r="N108" s="8">
        <f t="shared" si="12"/>
        <v>6760000</v>
      </c>
      <c r="O108" s="8">
        <f t="shared" si="12"/>
        <v>6850000</v>
      </c>
      <c r="P108" s="8">
        <f t="shared" si="12"/>
        <v>1415525</v>
      </c>
      <c r="Q108" s="8">
        <f t="shared" si="12"/>
        <v>0</v>
      </c>
      <c r="R108" s="8">
        <f t="shared" si="12"/>
        <v>0</v>
      </c>
      <c r="S108" s="8">
        <f t="shared" si="12"/>
        <v>0</v>
      </c>
      <c r="T108" s="8">
        <f t="shared" si="12"/>
        <v>0</v>
      </c>
      <c r="U108" s="8">
        <f t="shared" si="12"/>
        <v>6760000</v>
      </c>
      <c r="V108" s="8">
        <f t="shared" si="12"/>
        <v>1410000</v>
      </c>
      <c r="W108" s="8">
        <f t="shared" si="12"/>
        <v>3350000</v>
      </c>
      <c r="X108" s="8">
        <f t="shared" si="12"/>
        <v>0</v>
      </c>
      <c r="Y108" s="8">
        <f t="shared" si="12"/>
        <v>0</v>
      </c>
      <c r="Z108" s="8">
        <f t="shared" si="12"/>
        <v>0</v>
      </c>
      <c r="AA108" s="8">
        <f t="shared" si="12"/>
        <v>2000000</v>
      </c>
      <c r="AB108" s="16"/>
      <c r="AC108" s="7"/>
      <c r="AD108" s="800"/>
      <c r="AE108" s="7"/>
      <c r="AF108" s="810"/>
      <c r="AG108" s="800"/>
      <c r="AH108" s="800"/>
      <c r="AI108" s="7"/>
      <c r="AJ108" s="7"/>
      <c r="AK108" s="32"/>
      <c r="AL108" s="803"/>
      <c r="AM108" s="372"/>
      <c r="AN108" s="32"/>
      <c r="AO108" s="32"/>
      <c r="AP108" s="8"/>
      <c r="AQ108" s="8"/>
      <c r="AR108" s="663"/>
      <c r="AS108" s="679"/>
      <c r="AT108" s="8"/>
    </row>
    <row r="109" spans="1:46" ht="30">
      <c r="A109" s="3">
        <f>A107+1</f>
        <v>95</v>
      </c>
      <c r="B109" s="3">
        <f>'תקציב מינהל תפעול 2022'!B96</f>
        <v>2230</v>
      </c>
      <c r="C109" s="255" t="str">
        <f>'תקציב מינהל תפעול 2022'!C96</f>
        <v>שיפוץ בית הרמלין</v>
      </c>
      <c r="D109" s="4">
        <f>'תקציב מינהל תפעול 2022'!D96</f>
        <v>370000</v>
      </c>
      <c r="E109" s="4">
        <f>'תקציב מינהל תפעול 2022'!E96</f>
        <v>370000</v>
      </c>
      <c r="F109" s="4">
        <f>'תקציב מינהל תפעול 2022'!F96</f>
        <v>0</v>
      </c>
      <c r="G109" s="4">
        <f>'תקציב מינהל תפעול 2022'!G96</f>
        <v>370000</v>
      </c>
      <c r="H109" s="4">
        <f>'תקציב מינהל תפעול 2022'!H96</f>
        <v>220393</v>
      </c>
      <c r="I109" s="4">
        <f>'תקציב מינהל תפעול 2022'!I96</f>
        <v>0</v>
      </c>
      <c r="J109" s="4">
        <f>'תקציב מינהל תפעול 2022'!J96</f>
        <v>148297</v>
      </c>
      <c r="K109" s="4">
        <f>'תקציב מינהל תפעול 2022'!K96</f>
        <v>148297</v>
      </c>
      <c r="L109" s="4">
        <f>'תקציב מינהל תפעול 2022'!L96</f>
        <v>368690</v>
      </c>
      <c r="M109" s="4">
        <f>'תקציב מינהל תפעול 2022'!M96</f>
        <v>1310</v>
      </c>
      <c r="N109" s="4">
        <f>'תקציב מינהל תפעול 2022'!N96</f>
        <v>0</v>
      </c>
      <c r="O109" s="4">
        <f>'תקציב מינהל תפעול 2022'!O96</f>
        <v>0</v>
      </c>
      <c r="P109" s="4">
        <f>'תקציב מינהל תפעול 2022'!P96</f>
        <v>1310</v>
      </c>
      <c r="Q109" s="4">
        <f>'תקציב מינהל תפעול 2022'!Q96</f>
        <v>0</v>
      </c>
      <c r="R109" s="4">
        <f>'תקציב מינהל תפעול 2022'!R96</f>
        <v>0</v>
      </c>
      <c r="S109" s="4">
        <f>'תקציב מינהל תפעול 2022'!S96</f>
        <v>0</v>
      </c>
      <c r="T109" s="4">
        <f>'תקציב מינהל תפעול 2022'!T96</f>
        <v>0</v>
      </c>
      <c r="U109" s="4">
        <f>'תקציב מינהל תפעול 2022'!U96</f>
        <v>0</v>
      </c>
      <c r="V109" s="4">
        <f>'תקציב מינהל תפעול 2022'!V96</f>
        <v>0</v>
      </c>
      <c r="W109" s="4">
        <f>'תקציב מינהל תפעול 2022'!W96</f>
        <v>0</v>
      </c>
      <c r="X109" s="4">
        <f>'תקציב מינהל תפעול 2022'!X96</f>
        <v>0</v>
      </c>
      <c r="Y109" s="4">
        <f>'תקציב מינהל תפעול 2022'!Y96</f>
        <v>0</v>
      </c>
      <c r="Z109" s="4">
        <f>'תקציב מינהל תפעול 2022'!Z96</f>
        <v>0</v>
      </c>
      <c r="AA109" s="4">
        <f>'תקציב מינהל תפעול 2022'!AA96</f>
        <v>0</v>
      </c>
      <c r="AB109" s="255" t="str">
        <f>'תקציב מינהל תפעול 2022'!AB96</f>
        <v>אגף רווחה. הסבת אולם למעון יום של עמותת אלווין.</v>
      </c>
      <c r="AC109" s="3">
        <f>'תקציב מינהל תפעול 2022'!AC96</f>
        <v>840000</v>
      </c>
      <c r="AD109" s="480"/>
      <c r="AE109" s="475"/>
      <c r="AF109" s="475"/>
      <c r="AG109" s="475"/>
      <c r="AH109" s="476"/>
      <c r="AI109" s="482"/>
      <c r="AJ109" s="482"/>
      <c r="AK109" s="364"/>
      <c r="AL109" s="477" t="s">
        <v>1160</v>
      </c>
      <c r="AM109" s="478"/>
      <c r="AN109" s="364"/>
      <c r="AO109" s="364"/>
      <c r="AP109" s="4"/>
      <c r="AQ109" s="4"/>
      <c r="AR109" s="669"/>
      <c r="AS109" s="669"/>
      <c r="AT109" s="4"/>
    </row>
    <row r="110" spans="1:46" ht="45">
      <c r="A110" s="3">
        <f>A109+1</f>
        <v>96</v>
      </c>
      <c r="B110" s="3">
        <f>'תקציב מינהל תפעול 2022'!B104</f>
        <v>2241</v>
      </c>
      <c r="C110" s="255" t="str">
        <f>'תקציב מינהל תפעול 2022'!C104</f>
        <v>שיפוץ מטבחים במוסדות רווחה</v>
      </c>
      <c r="D110" s="4">
        <f>'תקציב מינהל תפעול 2022'!D104</f>
        <v>600000</v>
      </c>
      <c r="E110" s="4">
        <f>'תקציב מינהל תפעול 2022'!E104</f>
        <v>600000</v>
      </c>
      <c r="F110" s="4">
        <f>'תקציב מינהל תפעול 2022'!F104</f>
        <v>0</v>
      </c>
      <c r="G110" s="4">
        <f>'תקציב מינהל תפעול 2022'!G104</f>
        <v>0</v>
      </c>
      <c r="H110" s="4">
        <f>'תקציב מינהל תפעול 2022'!H104</f>
        <v>0</v>
      </c>
      <c r="I110" s="4">
        <f>'תקציב מינהל תפעול 2022'!I104</f>
        <v>0</v>
      </c>
      <c r="J110" s="4">
        <f>'תקציב מינהל תפעול 2022'!J104</f>
        <v>0</v>
      </c>
      <c r="K110" s="4">
        <f>'תקציב מינהל תפעול 2022'!K104</f>
        <v>0</v>
      </c>
      <c r="L110" s="4">
        <f>'תקציב מינהל תפעול 2022'!L104</f>
        <v>0</v>
      </c>
      <c r="M110" s="4">
        <f>'תקציב מינהל תפעול 2022'!M104</f>
        <v>200000</v>
      </c>
      <c r="N110" s="4">
        <f>'תקציב מינהל תפעול 2022'!N104</f>
        <v>400000</v>
      </c>
      <c r="O110" s="4">
        <f>'תקציב מינהל תפעול 2022'!O104</f>
        <v>0</v>
      </c>
      <c r="P110" s="4">
        <f>'תקציב מינהל תפעול 2022'!P104</f>
        <v>0</v>
      </c>
      <c r="Q110" s="4">
        <f>'תקציב מינהל תפעול 2022'!Q104</f>
        <v>0</v>
      </c>
      <c r="R110" s="4">
        <f>'תקציב מינהל תפעול 2022'!R104</f>
        <v>200000</v>
      </c>
      <c r="S110" s="4">
        <f>'תקציב מינהל תפעול 2022'!S104</f>
        <v>200000</v>
      </c>
      <c r="T110" s="4">
        <f>'תקציב מינהל תפעול 2022'!T104</f>
        <v>0</v>
      </c>
      <c r="U110" s="4">
        <f>'תקציב מינהל תפעול 2022'!U104</f>
        <v>400000</v>
      </c>
      <c r="V110" s="4">
        <f>'תקציב מינהל תפעול 2022'!V104</f>
        <v>300000</v>
      </c>
      <c r="W110" s="4">
        <f>'תקציב מינהל תפעול 2022'!W104</f>
        <v>100000</v>
      </c>
      <c r="X110" s="4">
        <f>'תקציב מינהל תפעול 2022'!X104</f>
        <v>0</v>
      </c>
      <c r="Y110" s="4">
        <f>'תקציב מינהל תפעול 2022'!Y104</f>
        <v>0</v>
      </c>
      <c r="Z110" s="4">
        <f>'תקציב מינהל תפעול 2022'!Z104</f>
        <v>0</v>
      </c>
      <c r="AA110" s="4">
        <f>'תקציב מינהל תפעול 2022'!AA104</f>
        <v>0</v>
      </c>
      <c r="AB110" s="255" t="str">
        <f>'תקציב מינהל תפעול 2022'!AB104</f>
        <v>שיפוץ מטבחים במוסדות רווחה שונים, הצטיידות תתוקצב ע"י אגף הרווחה.</v>
      </c>
      <c r="AC110" s="3">
        <f>'תקציב מינהל תפעול 2022'!AC104</f>
        <v>840000</v>
      </c>
      <c r="AD110" s="480"/>
      <c r="AE110" s="3" t="s">
        <v>1469</v>
      </c>
      <c r="AF110" s="511"/>
      <c r="AG110" s="480"/>
      <c r="AH110" s="480"/>
      <c r="AI110" s="3" t="s">
        <v>1470</v>
      </c>
      <c r="AJ110" s="3" t="s">
        <v>1470</v>
      </c>
      <c r="AK110" s="30" t="s">
        <v>1471</v>
      </c>
      <c r="AL110" s="477" t="s">
        <v>1160</v>
      </c>
      <c r="AM110" s="478">
        <v>2</v>
      </c>
      <c r="AN110" s="30"/>
      <c r="AO110" s="30" t="s">
        <v>1472</v>
      </c>
      <c r="AP110" s="4"/>
      <c r="AQ110" s="4"/>
      <c r="AR110" s="638"/>
      <c r="AS110" s="669"/>
      <c r="AT110" s="4"/>
    </row>
    <row r="111" spans="1:46" s="414" customFormat="1" ht="25.15" customHeight="1">
      <c r="A111" s="7"/>
      <c r="B111" s="7"/>
      <c r="C111" s="16" t="s">
        <v>806</v>
      </c>
      <c r="D111" s="8">
        <f>SUM(D109:D110)</f>
        <v>970000</v>
      </c>
      <c r="E111" s="8">
        <f t="shared" ref="E111:AA111" si="13">SUM(E109:E110)</f>
        <v>970000</v>
      </c>
      <c r="F111" s="8">
        <f t="shared" si="13"/>
        <v>0</v>
      </c>
      <c r="G111" s="8">
        <f t="shared" si="13"/>
        <v>370000</v>
      </c>
      <c r="H111" s="8">
        <f t="shared" si="13"/>
        <v>220393</v>
      </c>
      <c r="I111" s="8">
        <f t="shared" si="13"/>
        <v>0</v>
      </c>
      <c r="J111" s="8">
        <f t="shared" si="13"/>
        <v>148297</v>
      </c>
      <c r="K111" s="8">
        <f t="shared" si="13"/>
        <v>148297</v>
      </c>
      <c r="L111" s="8">
        <f t="shared" si="13"/>
        <v>368690</v>
      </c>
      <c r="M111" s="8">
        <f t="shared" si="13"/>
        <v>201310</v>
      </c>
      <c r="N111" s="8">
        <f t="shared" si="13"/>
        <v>400000</v>
      </c>
      <c r="O111" s="8">
        <f t="shared" si="13"/>
        <v>0</v>
      </c>
      <c r="P111" s="8">
        <f t="shared" si="13"/>
        <v>1310</v>
      </c>
      <c r="Q111" s="8">
        <f t="shared" si="13"/>
        <v>0</v>
      </c>
      <c r="R111" s="8">
        <f t="shared" si="13"/>
        <v>200000</v>
      </c>
      <c r="S111" s="8">
        <f t="shared" si="13"/>
        <v>200000</v>
      </c>
      <c r="T111" s="8">
        <f t="shared" si="13"/>
        <v>0</v>
      </c>
      <c r="U111" s="8">
        <f t="shared" si="13"/>
        <v>400000</v>
      </c>
      <c r="V111" s="8">
        <f t="shared" si="13"/>
        <v>300000</v>
      </c>
      <c r="W111" s="8">
        <f t="shared" si="13"/>
        <v>100000</v>
      </c>
      <c r="X111" s="8">
        <f t="shared" si="13"/>
        <v>0</v>
      </c>
      <c r="Y111" s="8">
        <f t="shared" si="13"/>
        <v>0</v>
      </c>
      <c r="Z111" s="8">
        <f t="shared" si="13"/>
        <v>0</v>
      </c>
      <c r="AA111" s="8">
        <f t="shared" si="13"/>
        <v>0</v>
      </c>
      <c r="AB111" s="16"/>
      <c r="AC111" s="7"/>
      <c r="AD111" s="800"/>
      <c r="AE111" s="7"/>
      <c r="AF111" s="810"/>
      <c r="AG111" s="800"/>
      <c r="AH111" s="800"/>
      <c r="AI111" s="7"/>
      <c r="AJ111" s="7"/>
      <c r="AK111" s="32"/>
      <c r="AL111" s="803"/>
      <c r="AM111" s="372"/>
      <c r="AN111" s="32"/>
      <c r="AO111" s="32"/>
      <c r="AP111" s="812"/>
      <c r="AQ111" s="8"/>
      <c r="AR111" s="663"/>
      <c r="AS111" s="679"/>
      <c r="AT111" s="8"/>
    </row>
    <row r="112" spans="1:46" ht="120">
      <c r="A112" s="3">
        <f>A110+1</f>
        <v>97</v>
      </c>
      <c r="B112" s="3">
        <f>'תקציב מינהל תפעול 2022'!B115</f>
        <v>20029</v>
      </c>
      <c r="C112" s="255" t="str">
        <f>'תקציב מינהל תפעול 2022'!C115</f>
        <v>שדרוג וחידוש רהוט רחוב ברחבי העיר</v>
      </c>
      <c r="D112" s="4">
        <f>'תקציב מינהל תפעול 2022'!D115</f>
        <v>2000000</v>
      </c>
      <c r="E112" s="4">
        <f>'תקציב מינהל תפעול 2022'!E115</f>
        <v>0</v>
      </c>
      <c r="F112" s="4">
        <f>'תקציב מינהל תפעול 2022'!F115</f>
        <v>2000000</v>
      </c>
      <c r="G112" s="4">
        <f>'תקציב מינהל תפעול 2022'!G115</f>
        <v>0</v>
      </c>
      <c r="H112" s="4">
        <f>'תקציב מינהל תפעול 2022'!H115</f>
        <v>0</v>
      </c>
      <c r="I112" s="4">
        <f>'תקציב מינהל תפעול 2022'!I115</f>
        <v>0</v>
      </c>
      <c r="J112" s="4">
        <f>'תקציב מינהל תפעול 2022'!J115</f>
        <v>0</v>
      </c>
      <c r="K112" s="4">
        <f>'תקציב מינהל תפעול 2022'!K115</f>
        <v>0</v>
      </c>
      <c r="L112" s="4">
        <f>'תקציב מינהל תפעול 2022'!L115</f>
        <v>0</v>
      </c>
      <c r="M112" s="4">
        <f>'תקציב מינהל תפעול 2022'!M115</f>
        <v>0</v>
      </c>
      <c r="N112" s="4">
        <f>'תקציב מינהל תפעול 2022'!N115</f>
        <v>1000000</v>
      </c>
      <c r="O112" s="4">
        <f>'תקציב מינהל תפעול 2022'!O115</f>
        <v>1000000</v>
      </c>
      <c r="P112" s="4">
        <f>'תקציב מינהל תפעול 2022'!P115</f>
        <v>0</v>
      </c>
      <c r="Q112" s="4">
        <f>'תקציב מינהל תפעול 2022'!Q115</f>
        <v>0</v>
      </c>
      <c r="R112" s="4">
        <f>'תקציב מינהל תפעול 2022'!R115</f>
        <v>0</v>
      </c>
      <c r="S112" s="4">
        <f>'תקציב מינהל תפעול 2022'!S115</f>
        <v>0</v>
      </c>
      <c r="T112" s="4">
        <f>'תקציב מינהל תפעול 2022'!T115</f>
        <v>0</v>
      </c>
      <c r="U112" s="4">
        <f>'תקציב מינהל תפעול 2022'!U115</f>
        <v>1000000</v>
      </c>
      <c r="V112" s="4">
        <f>'תקציב מינהל תפעול 2022'!V115</f>
        <v>0</v>
      </c>
      <c r="W112" s="4">
        <f>'תקציב מינהל תפעול 2022'!W115</f>
        <v>1000000</v>
      </c>
      <c r="X112" s="4">
        <f>'תקציב מינהל תפעול 2022'!X115</f>
        <v>0</v>
      </c>
      <c r="Y112" s="4">
        <f>'תקציב מינהל תפעול 2022'!Y115</f>
        <v>0</v>
      </c>
      <c r="Z112" s="4">
        <f>'תקציב מינהל תפעול 2022'!Z115</f>
        <v>0</v>
      </c>
      <c r="AA112" s="4">
        <f>'תקציב מינהל תפעול 2022'!AA115</f>
        <v>0</v>
      </c>
      <c r="AB112" s="255" t="str">
        <f>'תקציב מינהל תפעול 2022'!AB115</f>
        <v>תקציב מסגרת.החלפת ושדרוג ריהוט הרחוב ברחבי העיר:רחבת שער העיר, שדרות חן, חופי הים - השרון, זבולון . ושכונות נוספות בעיר.</v>
      </c>
      <c r="AC112" s="3">
        <f>'תקציב מינהל תפעול 2022'!AC115</f>
        <v>848000</v>
      </c>
      <c r="AD112" s="480"/>
      <c r="AE112" s="3" t="s">
        <v>1453</v>
      </c>
      <c r="AF112" s="511"/>
      <c r="AG112" s="480"/>
      <c r="AH112" s="480"/>
      <c r="AI112" s="3" t="s">
        <v>1451</v>
      </c>
      <c r="AJ112" s="3" t="s">
        <v>1454</v>
      </c>
      <c r="AK112" s="30" t="s">
        <v>1455</v>
      </c>
      <c r="AL112" s="477" t="s">
        <v>1153</v>
      </c>
      <c r="AM112" s="478">
        <v>1</v>
      </c>
      <c r="AN112" s="30" t="s">
        <v>1128</v>
      </c>
      <c r="AO112" s="30" t="s">
        <v>1456</v>
      </c>
      <c r="AP112" s="682">
        <v>-1000000</v>
      </c>
      <c r="AQ112" s="4"/>
      <c r="AR112" s="638">
        <v>1000000</v>
      </c>
      <c r="AS112" s="669">
        <f>AR112-N112</f>
        <v>0</v>
      </c>
      <c r="AT112" s="4">
        <v>-200000</v>
      </c>
    </row>
    <row r="113" spans="1:46" s="464" customFormat="1" ht="75">
      <c r="A113" s="3">
        <f>A112+1</f>
        <v>98</v>
      </c>
      <c r="B113" s="3">
        <f>'תקציב מינהל תפעול 2022'!B15</f>
        <v>1435</v>
      </c>
      <c r="C113" s="255" t="str">
        <f>'תקציב מינהל תפעול 2022'!C15</f>
        <v>שדרוג וטיפול המרחב הציבורי</v>
      </c>
      <c r="D113" s="4">
        <f>'תקציב מינהל תפעול 2022'!D15</f>
        <v>35374320</v>
      </c>
      <c r="E113" s="4">
        <f>'תקציב מינהל תפעול 2022'!E15</f>
        <v>32574320</v>
      </c>
      <c r="F113" s="4">
        <f>'תקציב מינהל תפעול 2022'!F15</f>
        <v>2800000</v>
      </c>
      <c r="G113" s="4">
        <f>'תקציב מינהל תפעול 2022'!G15</f>
        <v>31874320</v>
      </c>
      <c r="H113" s="4">
        <f>'תקציב מינהל תפעול 2022'!H15</f>
        <v>27812822</v>
      </c>
      <c r="I113" s="4">
        <f>'תקציב מינהל תפעול 2022'!I15</f>
        <v>0</v>
      </c>
      <c r="J113" s="4">
        <f>'תקציב מינהל תפעול 2022'!J15</f>
        <v>2522859</v>
      </c>
      <c r="K113" s="4">
        <f>'תקציב מינהל תפעול 2022'!K15</f>
        <v>2522859</v>
      </c>
      <c r="L113" s="4">
        <f>'תקציב מינהל תפעול 2022'!L15</f>
        <v>30335681</v>
      </c>
      <c r="M113" s="4">
        <f>'תקציב מינהל תפעול 2022'!M15</f>
        <v>1538639</v>
      </c>
      <c r="N113" s="4">
        <f>'תקציב מינהל תפעול 2022'!N15</f>
        <v>3500000</v>
      </c>
      <c r="O113" s="4">
        <f>'תקציב מינהל תפעול 2022'!O15</f>
        <v>0</v>
      </c>
      <c r="P113" s="4">
        <f>'תקציב מינהל תפעול 2022'!P15</f>
        <v>1538639</v>
      </c>
      <c r="Q113" s="4">
        <f>'תקציב מינהל תפעול 2022'!Q15</f>
        <v>0</v>
      </c>
      <c r="R113" s="4">
        <f>'תקציב מינהל תפעול 2022'!R15</f>
        <v>0</v>
      </c>
      <c r="S113" s="4">
        <f>'תקציב מינהל תפעול 2022'!S15</f>
        <v>0</v>
      </c>
      <c r="T113" s="4">
        <f>'תקציב מינהל תפעול 2022'!T15</f>
        <v>0</v>
      </c>
      <c r="U113" s="4">
        <f>'תקציב מינהל תפעול 2022'!U15</f>
        <v>3500000</v>
      </c>
      <c r="V113" s="4">
        <f>'תקציב מינהל תפעול 2022'!V15</f>
        <v>0</v>
      </c>
      <c r="W113" s="4">
        <f>'תקציב מינהל תפעול 2022'!W15</f>
        <v>3500000</v>
      </c>
      <c r="X113" s="4">
        <f>'תקציב מינהל תפעול 2022'!X15</f>
        <v>0</v>
      </c>
      <c r="Y113" s="4">
        <f>'תקציב מינהל תפעול 2022'!Y15</f>
        <v>0</v>
      </c>
      <c r="Z113" s="4">
        <f>'תקציב מינהל תפעול 2022'!Z15</f>
        <v>0</v>
      </c>
      <c r="AA113" s="4">
        <f>'תקציב מינהל תפעול 2022'!AA15</f>
        <v>0</v>
      </c>
      <c r="AB113" s="255" t="str">
        <f>'תקציב מינהל תפעול 2022'!AB15</f>
        <v xml:space="preserve">עבודות במרחב הציבורי בשטחים ציבוריים בשכונות השונות ברחבי העיר כולל ריהוט רחוב ופינוי אסבסט עפ"י תוכנית עבודה שתאושר ע"י הנהלת העיר. </v>
      </c>
      <c r="AC113" s="3">
        <f>'תקציב מינהל תפעול 2022'!AC15</f>
        <v>848500</v>
      </c>
      <c r="AD113" s="480"/>
      <c r="AE113" s="484" t="s">
        <v>1181</v>
      </c>
      <c r="AF113" s="475" t="s">
        <v>1182</v>
      </c>
      <c r="AG113" s="475" t="s">
        <v>1183</v>
      </c>
      <c r="AH113" s="476"/>
      <c r="AI113" s="482" t="s">
        <v>998</v>
      </c>
      <c r="AJ113" s="482" t="s">
        <v>998</v>
      </c>
      <c r="AK113" s="364" t="s">
        <v>1184</v>
      </c>
      <c r="AL113" s="477" t="s">
        <v>1185</v>
      </c>
      <c r="AM113" s="485">
        <v>2</v>
      </c>
      <c r="AN113" s="364"/>
      <c r="AO113" s="364" t="s">
        <v>1184</v>
      </c>
      <c r="AP113" s="656"/>
      <c r="AQ113" s="656"/>
      <c r="AR113" s="669"/>
      <c r="AS113" s="669"/>
      <c r="AT113" s="656"/>
    </row>
    <row r="114" spans="1:46" ht="45">
      <c r="A114" s="3">
        <f>A113+1</f>
        <v>99</v>
      </c>
      <c r="B114" s="3">
        <f>'תקציב מינהל תפעול 2022'!B42</f>
        <v>1968</v>
      </c>
      <c r="C114" s="255" t="str">
        <f>'תקציב מינהל תפעול 2022'!C42</f>
        <v>שדרוג המרחב הציבורי</v>
      </c>
      <c r="D114" s="4">
        <f>'תקציב מינהל תפעול 2022'!D42</f>
        <v>2170000</v>
      </c>
      <c r="E114" s="4">
        <f>'תקציב מינהל תפעול 2022'!E42</f>
        <v>2170000</v>
      </c>
      <c r="F114" s="4">
        <f>'תקציב מינהל תפעול 2022'!F42</f>
        <v>0</v>
      </c>
      <c r="G114" s="4">
        <f>'תקציב מינהל תפעול 2022'!G42</f>
        <v>2170000</v>
      </c>
      <c r="H114" s="4">
        <f>'תקציב מינהל תפעול 2022'!H42</f>
        <v>1791791</v>
      </c>
      <c r="I114" s="4">
        <f>'תקציב מינהל תפעול 2022'!I42</f>
        <v>0</v>
      </c>
      <c r="J114" s="4">
        <f>'תקציב מינהל תפעול 2022'!J42</f>
        <v>28198</v>
      </c>
      <c r="K114" s="4">
        <f>'תקציב מינהל תפעול 2022'!K42</f>
        <v>28198</v>
      </c>
      <c r="L114" s="4">
        <f>'תקציב מינהל תפעול 2022'!L42</f>
        <v>1819989</v>
      </c>
      <c r="M114" s="4">
        <f>'תקציב מינהל תפעול 2022'!M42</f>
        <v>350011</v>
      </c>
      <c r="N114" s="4">
        <f>'תקציב מינהל תפעול 2022'!N42</f>
        <v>0</v>
      </c>
      <c r="O114" s="4">
        <f>'תקציב מינהל תפעול 2022'!O42</f>
        <v>0</v>
      </c>
      <c r="P114" s="4">
        <f>'תקציב מינהל תפעול 2022'!P42</f>
        <v>350011</v>
      </c>
      <c r="Q114" s="4">
        <f>'תקציב מינהל תפעול 2022'!Q42</f>
        <v>0</v>
      </c>
      <c r="R114" s="4">
        <f>'תקציב מינהל תפעול 2022'!R42</f>
        <v>0</v>
      </c>
      <c r="S114" s="4">
        <f>'תקציב מינהל תפעול 2022'!S42</f>
        <v>0</v>
      </c>
      <c r="T114" s="4">
        <f>'תקציב מינהל תפעול 2022'!T42</f>
        <v>0</v>
      </c>
      <c r="U114" s="4">
        <f>'תקציב מינהל תפעול 2022'!U42</f>
        <v>0</v>
      </c>
      <c r="V114" s="4">
        <f>'תקציב מינהל תפעול 2022'!V42</f>
        <v>0</v>
      </c>
      <c r="W114" s="4">
        <f>'תקציב מינהל תפעול 2022'!W42</f>
        <v>0</v>
      </c>
      <c r="X114" s="4">
        <f>'תקציב מינהל תפעול 2022'!X42</f>
        <v>0</v>
      </c>
      <c r="Y114" s="4">
        <f>'תקציב מינהל תפעול 2022'!Y42</f>
        <v>0</v>
      </c>
      <c r="Z114" s="4">
        <f>'תקציב מינהל תפעול 2022'!Z42</f>
        <v>0</v>
      </c>
      <c r="AA114" s="4">
        <f>'תקציב מינהל תפעול 2022'!AA42</f>
        <v>0</v>
      </c>
      <c r="AB114" s="255" t="str">
        <f>'תקציב מינהל תפעול 2022'!AB42</f>
        <v>מסגרת עבודות במרחב הציבורי. בביצוע שרותים ציבוריים בבית קינן. לאחר מכן ייסגר.</v>
      </c>
      <c r="AC114" s="3">
        <f>'תקציב מינהל תפעול 2022'!AC42</f>
        <v>848500</v>
      </c>
      <c r="AD114" s="503" t="s">
        <v>1278</v>
      </c>
      <c r="AE114" s="503" t="s">
        <v>1278</v>
      </c>
      <c r="AF114" s="504" t="s">
        <v>1279</v>
      </c>
      <c r="AG114" s="504"/>
      <c r="AH114" s="505"/>
      <c r="AI114" s="506" t="s">
        <v>1280</v>
      </c>
      <c r="AJ114" s="506" t="s">
        <v>1281</v>
      </c>
      <c r="AK114" s="499"/>
      <c r="AL114" s="507" t="s">
        <v>1185</v>
      </c>
      <c r="AM114" s="478"/>
      <c r="AN114" s="499"/>
      <c r="AO114" s="499"/>
      <c r="AP114" s="4"/>
      <c r="AQ114" s="4"/>
      <c r="AR114" s="670"/>
      <c r="AS114" s="669"/>
      <c r="AT114" s="4"/>
    </row>
    <row r="115" spans="1:46" s="414" customFormat="1" ht="25.15" customHeight="1">
      <c r="A115" s="7"/>
      <c r="B115" s="7"/>
      <c r="C115" s="16" t="s">
        <v>812</v>
      </c>
      <c r="D115" s="8">
        <f>SUM(D112:D114)</f>
        <v>39544320</v>
      </c>
      <c r="E115" s="8">
        <f t="shared" ref="E115:AA115" si="14">SUM(E112:E114)</f>
        <v>34744320</v>
      </c>
      <c r="F115" s="8">
        <f t="shared" si="14"/>
        <v>4800000</v>
      </c>
      <c r="G115" s="8">
        <f t="shared" si="14"/>
        <v>34044320</v>
      </c>
      <c r="H115" s="8">
        <f t="shared" si="14"/>
        <v>29604613</v>
      </c>
      <c r="I115" s="8">
        <f t="shared" si="14"/>
        <v>0</v>
      </c>
      <c r="J115" s="8">
        <f t="shared" si="14"/>
        <v>2551057</v>
      </c>
      <c r="K115" s="8">
        <f t="shared" si="14"/>
        <v>2551057</v>
      </c>
      <c r="L115" s="8">
        <f t="shared" si="14"/>
        <v>32155670</v>
      </c>
      <c r="M115" s="8">
        <f t="shared" si="14"/>
        <v>1888650</v>
      </c>
      <c r="N115" s="8">
        <f t="shared" si="14"/>
        <v>4500000</v>
      </c>
      <c r="O115" s="8">
        <f t="shared" si="14"/>
        <v>1000000</v>
      </c>
      <c r="P115" s="8">
        <f t="shared" si="14"/>
        <v>1888650</v>
      </c>
      <c r="Q115" s="8">
        <f t="shared" si="14"/>
        <v>0</v>
      </c>
      <c r="R115" s="8">
        <f t="shared" si="14"/>
        <v>0</v>
      </c>
      <c r="S115" s="8">
        <f t="shared" si="14"/>
        <v>0</v>
      </c>
      <c r="T115" s="8">
        <f t="shared" si="14"/>
        <v>0</v>
      </c>
      <c r="U115" s="8">
        <f t="shared" si="14"/>
        <v>4500000</v>
      </c>
      <c r="V115" s="8">
        <f t="shared" si="14"/>
        <v>0</v>
      </c>
      <c r="W115" s="8">
        <f t="shared" si="14"/>
        <v>4500000</v>
      </c>
      <c r="X115" s="8">
        <f t="shared" si="14"/>
        <v>0</v>
      </c>
      <c r="Y115" s="8">
        <f t="shared" si="14"/>
        <v>0</v>
      </c>
      <c r="Z115" s="8">
        <f t="shared" si="14"/>
        <v>0</v>
      </c>
      <c r="AA115" s="8">
        <f t="shared" si="14"/>
        <v>0</v>
      </c>
      <c r="AB115" s="16"/>
      <c r="AC115" s="7"/>
      <c r="AD115" s="813"/>
      <c r="AE115" s="813"/>
      <c r="AF115" s="814"/>
      <c r="AG115" s="814"/>
      <c r="AH115" s="815"/>
      <c r="AI115" s="814"/>
      <c r="AJ115" s="814"/>
      <c r="AK115" s="816"/>
      <c r="AL115" s="817"/>
      <c r="AM115" s="372"/>
      <c r="AN115" s="816"/>
      <c r="AO115" s="816"/>
      <c r="AP115" s="8"/>
      <c r="AQ115" s="8"/>
      <c r="AR115" s="818"/>
      <c r="AS115" s="679"/>
      <c r="AT115" s="8"/>
    </row>
    <row r="116" spans="1:46" ht="30">
      <c r="A116" s="3">
        <f>A114+1</f>
        <v>100</v>
      </c>
      <c r="B116" s="3">
        <f>'תקציב מינהל תפעול 2022'!B8</f>
        <v>1253</v>
      </c>
      <c r="C116" s="255" t="str">
        <f>'תקציב מינהל תפעול 2022'!C8</f>
        <v>שיפוץ מבני דת ציבוריים</v>
      </c>
      <c r="D116" s="4">
        <f>'תקציב מינהל תפעול 2022'!D8</f>
        <v>5600000</v>
      </c>
      <c r="E116" s="4">
        <f>'תקציב מינהל תפעול 2022'!E8</f>
        <v>5200000</v>
      </c>
      <c r="F116" s="4">
        <f>'תקציב מינהל תפעול 2022'!F8</f>
        <v>400000</v>
      </c>
      <c r="G116" s="4">
        <f>'תקציב מינהל תפעול 2022'!G8</f>
        <v>4900000</v>
      </c>
      <c r="H116" s="4">
        <f>'תקציב מינהל תפעול 2022'!H8</f>
        <v>4676568</v>
      </c>
      <c r="I116" s="4">
        <f>'תקציב מינהל תפעול 2022'!I8</f>
        <v>0</v>
      </c>
      <c r="J116" s="4">
        <f>'תקציב מינהל תפעול 2022'!J8</f>
        <v>126598</v>
      </c>
      <c r="K116" s="4">
        <f>'תקציב מינהל תפעול 2022'!K8</f>
        <v>126598</v>
      </c>
      <c r="L116" s="4">
        <f>'תקציב מינהל תפעול 2022'!L8</f>
        <v>4803166</v>
      </c>
      <c r="M116" s="4">
        <f>'תקציב מינהל תפעול 2022'!M8</f>
        <v>296834</v>
      </c>
      <c r="N116" s="4">
        <f>'תקציב מינהל תפעול 2022'!N8</f>
        <v>500000</v>
      </c>
      <c r="O116" s="4">
        <f>'תקציב מינהל תפעול 2022'!O8</f>
        <v>0</v>
      </c>
      <c r="P116" s="4">
        <f>'תקציב מינהל תפעול 2022'!P8</f>
        <v>96834</v>
      </c>
      <c r="Q116" s="4">
        <f>'תקציב מינהל תפעול 2022'!Q8</f>
        <v>200000</v>
      </c>
      <c r="R116" s="4">
        <f>'תקציב מינהל תפעול 2022'!R8</f>
        <v>0</v>
      </c>
      <c r="S116" s="4">
        <f>'תקציב מינהל תפעול 2022'!S8</f>
        <v>200000</v>
      </c>
      <c r="T116" s="4">
        <f>'תקציב מינהל תפעול 2022'!T8</f>
        <v>0</v>
      </c>
      <c r="U116" s="4">
        <f>'תקציב מינהל תפעול 2022'!U8</f>
        <v>500000</v>
      </c>
      <c r="V116" s="4">
        <f>'תקציב מינהל תפעול 2022'!V8</f>
        <v>0</v>
      </c>
      <c r="W116" s="4">
        <f>'תקציב מינהל תפעול 2022'!W8</f>
        <v>500000</v>
      </c>
      <c r="X116" s="4">
        <f>'תקציב מינהל תפעול 2022'!X8</f>
        <v>0</v>
      </c>
      <c r="Y116" s="4">
        <f>'תקציב מינהל תפעול 2022'!Y8</f>
        <v>0</v>
      </c>
      <c r="Z116" s="4">
        <f>'תקציב מינהל תפעול 2022'!Z8</f>
        <v>0</v>
      </c>
      <c r="AA116" s="4">
        <f>'תקציב מינהל תפעול 2022'!AA8</f>
        <v>0</v>
      </c>
      <c r="AB116" s="255" t="str">
        <f>'תקציב מינהל תפעול 2022'!AB8</f>
        <v>סל לשיפוץ בתי כנסת ע"פ תוכנית שתוגש במהלך השנה.</v>
      </c>
      <c r="AC116" s="3">
        <f>'תקציב מינהל תפעול 2022'!AC8</f>
        <v>850000</v>
      </c>
      <c r="AD116" s="480"/>
      <c r="AE116" s="475"/>
      <c r="AF116" s="475"/>
      <c r="AG116" s="475"/>
      <c r="AH116" s="476"/>
      <c r="AI116" s="475"/>
      <c r="AJ116" s="475"/>
      <c r="AK116" s="364"/>
      <c r="AL116" s="477" t="s">
        <v>1160</v>
      </c>
      <c r="AM116" s="478">
        <v>2</v>
      </c>
      <c r="AN116" s="364"/>
      <c r="AO116" s="364"/>
      <c r="AP116" s="4"/>
      <c r="AQ116" s="4"/>
      <c r="AR116" s="669"/>
      <c r="AS116" s="669"/>
      <c r="AT116" s="4"/>
    </row>
    <row r="117" spans="1:46" ht="30">
      <c r="A117" s="3">
        <f>A116+1</f>
        <v>101</v>
      </c>
      <c r="B117" s="3">
        <f>'תקציב מינהל תפעול 2022'!B25</f>
        <v>1794</v>
      </c>
      <c r="C117" s="255" t="str">
        <f>'תקציב מינהל תפעול 2022'!C25</f>
        <v>שיפוץ המקווה העירוני</v>
      </c>
      <c r="D117" s="4">
        <f>'תקציב מינהל תפעול 2022'!D25</f>
        <v>970000</v>
      </c>
      <c r="E117" s="4">
        <f>'תקציב מינהל תפעול 2022'!E25</f>
        <v>970000</v>
      </c>
      <c r="F117" s="4">
        <f>'תקציב מינהל תפעול 2022'!F25</f>
        <v>0</v>
      </c>
      <c r="G117" s="4">
        <f>'תקציב מינהל תפעול 2022'!G25</f>
        <v>970000</v>
      </c>
      <c r="H117" s="4">
        <f>'תקציב מינהל תפעול 2022'!H25</f>
        <v>949009</v>
      </c>
      <c r="I117" s="4">
        <f>'תקציב מינהל תפעול 2022'!I25</f>
        <v>20093</v>
      </c>
      <c r="J117" s="4">
        <f>'תקציב מינהל תפעול 2022'!J25</f>
        <v>0</v>
      </c>
      <c r="K117" s="4">
        <f>'תקציב מינהל תפעול 2022'!K25</f>
        <v>20093</v>
      </c>
      <c r="L117" s="4">
        <f>'תקציב מינהל תפעול 2022'!L25</f>
        <v>969102</v>
      </c>
      <c r="M117" s="4">
        <f>'תקציב מינהל תפעול 2022'!M25</f>
        <v>898</v>
      </c>
      <c r="N117" s="4">
        <f>'תקציב מינהל תפעול 2022'!N25</f>
        <v>0</v>
      </c>
      <c r="O117" s="4">
        <f>'תקציב מינהל תפעול 2022'!O25</f>
        <v>0</v>
      </c>
      <c r="P117" s="4">
        <f>'תקציב מינהל תפעול 2022'!P25</f>
        <v>898</v>
      </c>
      <c r="Q117" s="4">
        <f>'תקציב מינהל תפעול 2022'!Q25</f>
        <v>0</v>
      </c>
      <c r="R117" s="4">
        <f>'תקציב מינהל תפעול 2022'!R25</f>
        <v>0</v>
      </c>
      <c r="S117" s="4">
        <f>'תקציב מינהל תפעול 2022'!S25</f>
        <v>0</v>
      </c>
      <c r="T117" s="4">
        <f>'תקציב מינהל תפעול 2022'!T25</f>
        <v>0</v>
      </c>
      <c r="U117" s="4">
        <f>'תקציב מינהל תפעול 2022'!U25</f>
        <v>0</v>
      </c>
      <c r="V117" s="4">
        <f>'תקציב מינהל תפעול 2022'!V25</f>
        <v>0</v>
      </c>
      <c r="W117" s="4">
        <f>'תקציב מינהל תפעול 2022'!W25</f>
        <v>0</v>
      </c>
      <c r="X117" s="4">
        <f>'תקציב מינהל תפעול 2022'!X25</f>
        <v>0</v>
      </c>
      <c r="Y117" s="4">
        <f>'תקציב מינהל תפעול 2022'!Y25</f>
        <v>0</v>
      </c>
      <c r="Z117" s="4">
        <f>'תקציב מינהל תפעול 2022'!Z25</f>
        <v>0</v>
      </c>
      <c r="AA117" s="4">
        <f>'תקציב מינהל תפעול 2022'!AA25</f>
        <v>0</v>
      </c>
      <c r="AB117" s="255" t="str">
        <f>'תקציב מינהל תפעול 2022'!AB25</f>
        <v>עבודות שיקום חזיתות המקווה. ח-ן סופיים.</v>
      </c>
      <c r="AC117" s="3">
        <f>'תקציב מינהל תפעול 2022'!AC25</f>
        <v>850000</v>
      </c>
      <c r="AD117" s="480"/>
      <c r="AE117" s="475" t="s">
        <v>1229</v>
      </c>
      <c r="AF117" s="475"/>
      <c r="AG117" s="475" t="s">
        <v>1230</v>
      </c>
      <c r="AH117" s="476"/>
      <c r="AI117" s="482" t="s">
        <v>611</v>
      </c>
      <c r="AJ117" s="482" t="s">
        <v>611</v>
      </c>
      <c r="AK117" s="364" t="s">
        <v>611</v>
      </c>
      <c r="AL117" s="477" t="s">
        <v>1160</v>
      </c>
      <c r="AM117" s="478"/>
      <c r="AN117" s="364"/>
      <c r="AO117" s="364" t="s">
        <v>611</v>
      </c>
      <c r="AP117" s="4"/>
      <c r="AQ117" s="4"/>
      <c r="AR117" s="669"/>
      <c r="AS117" s="669"/>
      <c r="AT117" s="4"/>
    </row>
    <row r="118" spans="1:46" ht="90">
      <c r="A118" s="3">
        <f>A117+1</f>
        <v>102</v>
      </c>
      <c r="B118" s="3">
        <f>'תקציב מינהל תפעול 2022'!B39</f>
        <v>1947</v>
      </c>
      <c r="C118" s="255" t="str">
        <f>'תקציב מינהל תפעול 2022'!C39</f>
        <v>פיר מעלית ומעלית בנין המועצה הדתית (*) עדכון כולל שיפוץ המרפסת ומדרגות</v>
      </c>
      <c r="D118" s="4">
        <f>'תקציב מינהל תפעול 2022'!D39</f>
        <v>2500000</v>
      </c>
      <c r="E118" s="4">
        <f>'תקציב מינהל תפעול 2022'!E39</f>
        <v>2500000</v>
      </c>
      <c r="F118" s="4">
        <f>'תקציב מינהל תפעול 2022'!F39</f>
        <v>0</v>
      </c>
      <c r="G118" s="4">
        <f>'תקציב מינהל תפעול 2022'!G39</f>
        <v>2500000</v>
      </c>
      <c r="H118" s="4">
        <f>'תקציב מינהל תפעול 2022'!H39</f>
        <v>106321</v>
      </c>
      <c r="I118" s="4">
        <f>'תקציב מינהל תפעול 2022'!I39</f>
        <v>844007</v>
      </c>
      <c r="J118" s="4">
        <f>'תקציב מינהל תפעול 2022'!J39</f>
        <v>75770</v>
      </c>
      <c r="K118" s="4">
        <f>'תקציב מינהל תפעול 2022'!K39</f>
        <v>919777</v>
      </c>
      <c r="L118" s="4">
        <f>'תקציב מינהל תפעול 2022'!L39</f>
        <v>1026098</v>
      </c>
      <c r="M118" s="4">
        <f>'תקציב מינהל תפעול 2022'!M39</f>
        <v>1473902</v>
      </c>
      <c r="N118" s="4">
        <f>'תקציב מינהל תפעול 2022'!N39</f>
        <v>0</v>
      </c>
      <c r="O118" s="4">
        <f>'תקציב מינהל תפעול 2022'!O39</f>
        <v>0</v>
      </c>
      <c r="P118" s="4">
        <f>'תקציב מינהל תפעול 2022'!P39</f>
        <v>1473902</v>
      </c>
      <c r="Q118" s="4">
        <f>'תקציב מינהל תפעול 2022'!Q39</f>
        <v>0</v>
      </c>
      <c r="R118" s="4">
        <f>'תקציב מינהל תפעול 2022'!R39</f>
        <v>0</v>
      </c>
      <c r="S118" s="4">
        <f>'תקציב מינהל תפעול 2022'!S39</f>
        <v>0</v>
      </c>
      <c r="T118" s="4">
        <f>'תקציב מינהל תפעול 2022'!T39</f>
        <v>0</v>
      </c>
      <c r="U118" s="4">
        <f>'תקציב מינהל תפעול 2022'!U39</f>
        <v>0</v>
      </c>
      <c r="V118" s="4">
        <f>'תקציב מינהל תפעול 2022'!V39</f>
        <v>0</v>
      </c>
      <c r="W118" s="4">
        <f>'תקציב מינהל תפעול 2022'!W39</f>
        <v>0</v>
      </c>
      <c r="X118" s="4">
        <f>'תקציב מינהל תפעול 2022'!X39</f>
        <v>0</v>
      </c>
      <c r="Y118" s="4">
        <f>'תקציב מינהל תפעול 2022'!Y39</f>
        <v>0</v>
      </c>
      <c r="Z118" s="4">
        <f>'תקציב מינהל תפעול 2022'!Z39</f>
        <v>0</v>
      </c>
      <c r="AA118" s="4">
        <f>'תקציב מינהל תפעול 2022'!AA39</f>
        <v>0</v>
      </c>
      <c r="AB118" s="255" t="str">
        <f>'תקציב מינהל תפעול 2022'!AB39</f>
        <v>בנית פיר מעלית חיצוני בעקבות ביקורת של יועץ נגישות וקושי הנדסי לבנות את הפיר בתוך המבנה. מימון מ. הדתות. ההיתר בשלבים מתקדמים. כולל שיפוץ המרפסת והמדרגות.</v>
      </c>
      <c r="AC118" s="3">
        <f>'תקציב מינהל תפעול 2022'!AC39</f>
        <v>850000</v>
      </c>
      <c r="AD118" s="480" t="s">
        <v>1265</v>
      </c>
      <c r="AE118" s="482" t="s">
        <v>1266</v>
      </c>
      <c r="AF118" s="475"/>
      <c r="AG118" s="475" t="s">
        <v>1267</v>
      </c>
      <c r="AH118" s="476"/>
      <c r="AI118" s="482" t="s">
        <v>1268</v>
      </c>
      <c r="AJ118" s="482" t="s">
        <v>1268</v>
      </c>
      <c r="AK118" s="364" t="s">
        <v>1268</v>
      </c>
      <c r="AL118" s="477" t="s">
        <v>1160</v>
      </c>
      <c r="AM118" s="478"/>
      <c r="AN118" s="364"/>
      <c r="AO118" s="364"/>
      <c r="AP118" s="4"/>
      <c r="AQ118" s="4"/>
      <c r="AR118" s="669"/>
      <c r="AS118" s="669"/>
      <c r="AT118" s="4"/>
    </row>
    <row r="119" spans="1:46" s="414" customFormat="1" ht="25.15" customHeight="1">
      <c r="A119" s="7"/>
      <c r="B119" s="7"/>
      <c r="C119" s="16" t="s">
        <v>807</v>
      </c>
      <c r="D119" s="8">
        <f>SUM(D116:D118)</f>
        <v>9070000</v>
      </c>
      <c r="E119" s="8">
        <f t="shared" ref="E119:AA119" si="15">SUM(E116:E118)</f>
        <v>8670000</v>
      </c>
      <c r="F119" s="8">
        <f t="shared" si="15"/>
        <v>400000</v>
      </c>
      <c r="G119" s="8">
        <f t="shared" si="15"/>
        <v>8370000</v>
      </c>
      <c r="H119" s="8">
        <f t="shared" si="15"/>
        <v>5731898</v>
      </c>
      <c r="I119" s="8">
        <f t="shared" si="15"/>
        <v>864100</v>
      </c>
      <c r="J119" s="8">
        <f t="shared" si="15"/>
        <v>202368</v>
      </c>
      <c r="K119" s="8">
        <f t="shared" si="15"/>
        <v>1066468</v>
      </c>
      <c r="L119" s="8">
        <f t="shared" si="15"/>
        <v>6798366</v>
      </c>
      <c r="M119" s="8">
        <f t="shared" si="15"/>
        <v>1771634</v>
      </c>
      <c r="N119" s="8">
        <f t="shared" si="15"/>
        <v>500000</v>
      </c>
      <c r="O119" s="8">
        <f t="shared" si="15"/>
        <v>0</v>
      </c>
      <c r="P119" s="8">
        <f t="shared" si="15"/>
        <v>1571634</v>
      </c>
      <c r="Q119" s="8">
        <f t="shared" si="15"/>
        <v>200000</v>
      </c>
      <c r="R119" s="8">
        <f t="shared" si="15"/>
        <v>0</v>
      </c>
      <c r="S119" s="8">
        <f t="shared" si="15"/>
        <v>200000</v>
      </c>
      <c r="T119" s="8">
        <f t="shared" si="15"/>
        <v>0</v>
      </c>
      <c r="U119" s="8">
        <f t="shared" si="15"/>
        <v>500000</v>
      </c>
      <c r="V119" s="8">
        <f t="shared" si="15"/>
        <v>0</v>
      </c>
      <c r="W119" s="8">
        <f t="shared" si="15"/>
        <v>500000</v>
      </c>
      <c r="X119" s="8">
        <f t="shared" si="15"/>
        <v>0</v>
      </c>
      <c r="Y119" s="8">
        <f t="shared" si="15"/>
        <v>0</v>
      </c>
      <c r="Z119" s="8">
        <f t="shared" si="15"/>
        <v>0</v>
      </c>
      <c r="AA119" s="8">
        <f t="shared" si="15"/>
        <v>0</v>
      </c>
      <c r="AB119" s="16"/>
      <c r="AC119" s="7"/>
      <c r="AD119" s="800"/>
      <c r="AE119" s="801"/>
      <c r="AF119" s="801"/>
      <c r="AG119" s="801"/>
      <c r="AH119" s="802"/>
      <c r="AI119" s="801"/>
      <c r="AJ119" s="801"/>
      <c r="AK119" s="805"/>
      <c r="AL119" s="803"/>
      <c r="AM119" s="372"/>
      <c r="AN119" s="805"/>
      <c r="AO119" s="805"/>
      <c r="AP119" s="8"/>
      <c r="AQ119" s="8"/>
      <c r="AR119" s="679"/>
      <c r="AS119" s="679"/>
      <c r="AT119" s="8"/>
    </row>
    <row r="120" spans="1:46" ht="60">
      <c r="A120" s="3">
        <f>A118+1</f>
        <v>103</v>
      </c>
      <c r="B120" s="3">
        <f>'תקציב מינהל תפעול 2022'!B12</f>
        <v>1345</v>
      </c>
      <c r="C120" s="255" t="str">
        <f>'תקציב מינהל תפעול 2022'!C12</f>
        <v>תוכנית  אב להפחתת זיהום אויר</v>
      </c>
      <c r="D120" s="4">
        <f>'תקציב מינהל תפעול 2022'!D12</f>
        <v>883000</v>
      </c>
      <c r="E120" s="4">
        <f>'תקציב מינהל תפעול 2022'!E12</f>
        <v>883000</v>
      </c>
      <c r="F120" s="4">
        <f>'תקציב מינהל תפעול 2022'!F12</f>
        <v>0</v>
      </c>
      <c r="G120" s="4">
        <f>'תקציב מינהל תפעול 2022'!G12</f>
        <v>883000</v>
      </c>
      <c r="H120" s="4">
        <f>'תקציב מינהל תפעול 2022'!H12</f>
        <v>825751</v>
      </c>
      <c r="I120" s="4">
        <f>'תקציב מינהל תפעול 2022'!I12</f>
        <v>0</v>
      </c>
      <c r="J120" s="4">
        <f>'תקציב מינהל תפעול 2022'!J12</f>
        <v>33345</v>
      </c>
      <c r="K120" s="4">
        <f>'תקציב מינהל תפעול 2022'!K12</f>
        <v>33345</v>
      </c>
      <c r="L120" s="4">
        <f>'תקציב מינהל תפעול 2022'!L12</f>
        <v>859096</v>
      </c>
      <c r="M120" s="4">
        <f>'תקציב מינהל תפעול 2022'!M12</f>
        <v>23904</v>
      </c>
      <c r="N120" s="4">
        <f>'תקציב מינהל תפעול 2022'!N12</f>
        <v>0</v>
      </c>
      <c r="O120" s="4">
        <f>'תקציב מינהל תפעול 2022'!O12</f>
        <v>0</v>
      </c>
      <c r="P120" s="4">
        <f>'תקציב מינהל תפעול 2022'!P12</f>
        <v>23904</v>
      </c>
      <c r="Q120" s="4">
        <f>'תקציב מינהל תפעול 2022'!Q12</f>
        <v>0</v>
      </c>
      <c r="R120" s="4">
        <f>'תקציב מינהל תפעול 2022'!R12</f>
        <v>0</v>
      </c>
      <c r="S120" s="4">
        <f>'תקציב מינהל תפעול 2022'!S12</f>
        <v>0</v>
      </c>
      <c r="T120" s="4">
        <f>'תקציב מינהל תפעול 2022'!T12</f>
        <v>0</v>
      </c>
      <c r="U120" s="4">
        <f>'תקציב מינהל תפעול 2022'!U12</f>
        <v>0</v>
      </c>
      <c r="V120" s="4">
        <f>'תקציב מינהל תפעול 2022'!V12</f>
        <v>0</v>
      </c>
      <c r="W120" s="4">
        <f>'תקציב מינהל תפעול 2022'!W12</f>
        <v>0</v>
      </c>
      <c r="X120" s="4">
        <f>'תקציב מינהל תפעול 2022'!X12</f>
        <v>0</v>
      </c>
      <c r="Y120" s="4">
        <f>'תקציב מינהל תפעול 2022'!Y12</f>
        <v>0</v>
      </c>
      <c r="Z120" s="4">
        <f>'תקציב מינהל תפעול 2022'!Z12</f>
        <v>0</v>
      </c>
      <c r="AA120" s="4">
        <f>'תקציב מינהל תפעול 2022'!AA12</f>
        <v>0</v>
      </c>
      <c r="AB120" s="255" t="str">
        <f>'תקציב מינהל תפעול 2022'!AB12</f>
        <v>קידום אמנת ברית ערים כתוכנית המשך לתוכנית להפחתת פליטות של פורום ה-15.</v>
      </c>
      <c r="AC120" s="3">
        <f>'תקציב מינהל תפעול 2022'!AC12</f>
        <v>870000</v>
      </c>
      <c r="AD120" s="480"/>
      <c r="AE120" s="482" t="s">
        <v>1172</v>
      </c>
      <c r="AF120" s="475"/>
      <c r="AG120" s="475" t="s">
        <v>1173</v>
      </c>
      <c r="AH120" s="476"/>
      <c r="AI120" s="482" t="s">
        <v>1174</v>
      </c>
      <c r="AJ120" s="482" t="s">
        <v>1174</v>
      </c>
      <c r="AK120" s="364" t="s">
        <v>1174</v>
      </c>
      <c r="AL120" s="477" t="s">
        <v>1150</v>
      </c>
      <c r="AM120" s="478"/>
      <c r="AN120" s="364"/>
      <c r="AO120" s="364" t="s">
        <v>1175</v>
      </c>
      <c r="AP120" s="4"/>
      <c r="AQ120" s="4"/>
      <c r="AR120" s="669"/>
      <c r="AS120" s="669"/>
      <c r="AT120" s="4"/>
    </row>
    <row r="121" spans="1:46" ht="69" customHeight="1">
      <c r="A121" s="3">
        <f t="shared" ref="A121:A130" si="16">A120+1</f>
        <v>104</v>
      </c>
      <c r="B121" s="3">
        <f>'תקציב מינהל תפעול 2022'!B20</f>
        <v>1598</v>
      </c>
      <c r="C121" s="255" t="str">
        <f>'תקציב מינהל תפעול 2022'!C20</f>
        <v>הטמעת עקרונות הקיימות בחינוך</v>
      </c>
      <c r="D121" s="4">
        <f>'תקציב מינהל תפעול 2022'!D20</f>
        <v>666500</v>
      </c>
      <c r="E121" s="4">
        <f>'תקציב מינהל תפעול 2022'!E20</f>
        <v>616500</v>
      </c>
      <c r="F121" s="4">
        <f>'תקציב מינהל תפעול 2022'!F20</f>
        <v>50000</v>
      </c>
      <c r="G121" s="4">
        <f>'תקציב מינהל תפעול 2022'!G20</f>
        <v>616500</v>
      </c>
      <c r="H121" s="4">
        <f>'תקציב מינהל תפעול 2022'!H20</f>
        <v>487597</v>
      </c>
      <c r="I121" s="4">
        <f>'תקציב מינהל תפעול 2022'!I20</f>
        <v>0</v>
      </c>
      <c r="J121" s="4">
        <f>'תקציב מינהל תפעול 2022'!J20</f>
        <v>48549</v>
      </c>
      <c r="K121" s="4">
        <f>'תקציב מינהל תפעול 2022'!K20</f>
        <v>48549</v>
      </c>
      <c r="L121" s="4">
        <f>'תקציב מינהל תפעול 2022'!L20</f>
        <v>536146</v>
      </c>
      <c r="M121" s="4">
        <f>'תקציב מינהל תפעול 2022'!M20</f>
        <v>80354</v>
      </c>
      <c r="N121" s="4">
        <f>'תקציב מינהל תפעול 2022'!N20</f>
        <v>50000</v>
      </c>
      <c r="O121" s="4">
        <f>'תקציב מינהל תפעול 2022'!O20</f>
        <v>0</v>
      </c>
      <c r="P121" s="4">
        <f>'תקציב מינהל תפעול 2022'!P20</f>
        <v>80354</v>
      </c>
      <c r="Q121" s="4">
        <f>'תקציב מינהל תפעול 2022'!Q20</f>
        <v>0</v>
      </c>
      <c r="R121" s="4">
        <f>'תקציב מינהל תפעול 2022'!R20</f>
        <v>0</v>
      </c>
      <c r="S121" s="4">
        <f>'תקציב מינהל תפעול 2022'!S20</f>
        <v>0</v>
      </c>
      <c r="T121" s="4">
        <f>'תקציב מינהל תפעול 2022'!T20</f>
        <v>0</v>
      </c>
      <c r="U121" s="4">
        <f>'תקציב מינהל תפעול 2022'!U20</f>
        <v>50000</v>
      </c>
      <c r="V121" s="4">
        <f>'תקציב מינהל תפעול 2022'!V20</f>
        <v>0</v>
      </c>
      <c r="W121" s="4">
        <f>'תקציב מינהל תפעול 2022'!W20</f>
        <v>50000</v>
      </c>
      <c r="X121" s="4">
        <f>'תקציב מינהל תפעול 2022'!X20</f>
        <v>0</v>
      </c>
      <c r="Y121" s="4">
        <f>'תקציב מינהל תפעול 2022'!Y20</f>
        <v>0</v>
      </c>
      <c r="Z121" s="4">
        <f>'תקציב מינהל תפעול 2022'!Z20</f>
        <v>0</v>
      </c>
      <c r="AA121" s="4">
        <f>'תקציב מינהל תפעול 2022'!AA20</f>
        <v>0</v>
      </c>
      <c r="AB121" s="255" t="str">
        <f>'תקציב מינהל תפעול 2022'!AB20</f>
        <v>חינוך לקיימות. קול קורא לשנים 2018-2020. מימון מ. להגנת הסביבה.</v>
      </c>
      <c r="AC121" s="3">
        <f>'תקציב מינהל תפעול 2022'!AC20</f>
        <v>870000</v>
      </c>
      <c r="AD121" s="473"/>
      <c r="AE121" s="508" t="s">
        <v>1204</v>
      </c>
      <c r="AF121" s="500" t="s">
        <v>1205</v>
      </c>
      <c r="AG121" s="500"/>
      <c r="AH121" s="509"/>
      <c r="AI121" s="474" t="s">
        <v>1206</v>
      </c>
      <c r="AJ121" s="474" t="s">
        <v>1207</v>
      </c>
      <c r="AK121" s="272" t="s">
        <v>1207</v>
      </c>
      <c r="AL121" s="501" t="s">
        <v>1150</v>
      </c>
      <c r="AM121" s="478">
        <v>1</v>
      </c>
      <c r="AN121" s="272"/>
      <c r="AO121" s="272" t="s">
        <v>1208</v>
      </c>
      <c r="AP121" s="4"/>
      <c r="AQ121" s="4"/>
      <c r="AR121" s="638"/>
      <c r="AS121" s="638"/>
      <c r="AT121" s="4"/>
    </row>
    <row r="122" spans="1:46" ht="51">
      <c r="A122" s="3">
        <f t="shared" si="16"/>
        <v>105</v>
      </c>
      <c r="B122" s="3">
        <f>'תקציב מינהל תפעול 2022'!B27</f>
        <v>1831</v>
      </c>
      <c r="C122" s="255" t="str">
        <f>'תקציב מינהל תפעול 2022'!C27</f>
        <v>פרויקטים סביבתיים</v>
      </c>
      <c r="D122" s="4">
        <f>'תקציב מינהל תפעול 2022'!D27</f>
        <v>38025</v>
      </c>
      <c r="E122" s="4">
        <f>'תקציב מינהל תפעול 2022'!E27</f>
        <v>146059</v>
      </c>
      <c r="F122" s="4">
        <f>'תקציב מינהל תפעול 2022'!F27</f>
        <v>-108034</v>
      </c>
      <c r="G122" s="4">
        <f>'תקציב מינהל תפעול 2022'!G27</f>
        <v>146059</v>
      </c>
      <c r="H122" s="4">
        <f>'תקציב מינהל תפעול 2022'!H27</f>
        <v>38025</v>
      </c>
      <c r="I122" s="4">
        <f>'תקציב מינהל תפעול 2022'!I27</f>
        <v>0</v>
      </c>
      <c r="J122" s="4">
        <f>'תקציב מינהל תפעול 2022'!J27</f>
        <v>0</v>
      </c>
      <c r="K122" s="4">
        <f>'תקציב מינהל תפעול 2022'!K27</f>
        <v>0</v>
      </c>
      <c r="L122" s="4">
        <f>'תקציב מינהל תפעול 2022'!L27</f>
        <v>38025</v>
      </c>
      <c r="M122" s="4">
        <f>'תקציב מינהל תפעול 2022'!M27</f>
        <v>0</v>
      </c>
      <c r="N122" s="4">
        <f>'תקציב מינהל תפעול 2022'!N27</f>
        <v>0</v>
      </c>
      <c r="O122" s="4">
        <f>'תקציב מינהל תפעול 2022'!O27</f>
        <v>0</v>
      </c>
      <c r="P122" s="4">
        <f>'תקציב מינהל תפעול 2022'!P27</f>
        <v>108034</v>
      </c>
      <c r="Q122" s="4">
        <f>'תקציב מינהל תפעול 2022'!Q27</f>
        <v>0</v>
      </c>
      <c r="R122" s="4">
        <f>'תקציב מינהל תפעול 2022'!R27</f>
        <v>0</v>
      </c>
      <c r="S122" s="4">
        <f>'תקציב מינהל תפעול 2022'!S27</f>
        <v>0</v>
      </c>
      <c r="T122" s="4">
        <f>'תקציב מינהל תפעול 2022'!T27</f>
        <v>108034</v>
      </c>
      <c r="U122" s="4">
        <f>'תקציב מינהל תפעול 2022'!U27</f>
        <v>-108034</v>
      </c>
      <c r="V122" s="4">
        <f>'תקציב מינהל תפעול 2022'!V27</f>
        <v>0</v>
      </c>
      <c r="W122" s="4">
        <f>'תקציב מינהל תפעול 2022'!W27</f>
        <v>0</v>
      </c>
      <c r="X122" s="4">
        <f>'תקציב מינהל תפעול 2022'!X27</f>
        <v>0</v>
      </c>
      <c r="Y122" s="4">
        <f>'תקציב מינהל תפעול 2022'!Y27</f>
        <v>0</v>
      </c>
      <c r="Z122" s="4">
        <f>'תקציב מינהל תפעול 2022'!Z27</f>
        <v>0</v>
      </c>
      <c r="AA122" s="4">
        <f>'תקציב מינהל תפעול 2022'!AA27</f>
        <v>-108034</v>
      </c>
      <c r="AB122" s="255" t="str">
        <f>'תקציב מינהל תפעול 2022'!AB27</f>
        <v>פרויקטים סביבתתים לשיפור איכות הסביבה. מימון מלא מ. להגנת הסביבה.</v>
      </c>
      <c r="AC122" s="3">
        <f>'תקציב מינהל תפעול 2022'!AC27</f>
        <v>870000</v>
      </c>
      <c r="AD122" s="483"/>
      <c r="AE122" s="482" t="s">
        <v>1233</v>
      </c>
      <c r="AF122" s="482"/>
      <c r="AG122" s="482"/>
      <c r="AH122" s="496"/>
      <c r="AI122" s="482" t="s">
        <v>1234</v>
      </c>
      <c r="AJ122" s="482" t="s">
        <v>1234</v>
      </c>
      <c r="AK122" s="364" t="s">
        <v>1235</v>
      </c>
      <c r="AL122" s="477" t="s">
        <v>1150</v>
      </c>
      <c r="AM122" s="478"/>
      <c r="AN122" s="364"/>
      <c r="AO122" s="364" t="s">
        <v>1236</v>
      </c>
      <c r="AP122" s="4"/>
      <c r="AQ122" s="4"/>
      <c r="AR122" s="669"/>
      <c r="AS122" s="669"/>
      <c r="AT122" s="4"/>
    </row>
    <row r="123" spans="1:46" ht="60">
      <c r="A123" s="3">
        <f t="shared" si="16"/>
        <v>106</v>
      </c>
      <c r="B123" s="3">
        <f>'תקציב מינהל תפעול 2022'!B31</f>
        <v>1866</v>
      </c>
      <c r="C123" s="255" t="str">
        <f>'תקציב מינהל תפעול 2022'!C31</f>
        <v>פרויקט "הרצליה נקיה מאסבסט"</v>
      </c>
      <c r="D123" s="4">
        <f>'תקציב מינהל תפעול 2022'!D31</f>
        <v>205000</v>
      </c>
      <c r="E123" s="4">
        <f>'תקציב מינהל תפעול 2022'!E31</f>
        <v>205000</v>
      </c>
      <c r="F123" s="4">
        <f>'תקציב מינהל תפעול 2022'!F31</f>
        <v>0</v>
      </c>
      <c r="G123" s="4">
        <f>'תקציב מינהל תפעול 2022'!G31</f>
        <v>205000</v>
      </c>
      <c r="H123" s="4">
        <f>'תקציב מינהל תפעול 2022'!H31</f>
        <v>201952</v>
      </c>
      <c r="I123" s="4">
        <f>'תקציב מינהל תפעול 2022'!I31</f>
        <v>0</v>
      </c>
      <c r="J123" s="4">
        <f>'תקציב מינהל תפעול 2022'!J31</f>
        <v>0</v>
      </c>
      <c r="K123" s="4">
        <f>'תקציב מינהל תפעול 2022'!K31</f>
        <v>0</v>
      </c>
      <c r="L123" s="4">
        <f>'תקציב מינהל תפעול 2022'!L31</f>
        <v>201952</v>
      </c>
      <c r="M123" s="4">
        <f>'תקציב מינהל תפעול 2022'!M31</f>
        <v>3048</v>
      </c>
      <c r="N123" s="4">
        <f>'תקציב מינהל תפעול 2022'!N31</f>
        <v>0</v>
      </c>
      <c r="O123" s="4">
        <f>'תקציב מינהל תפעול 2022'!O31</f>
        <v>0</v>
      </c>
      <c r="P123" s="4">
        <f>'תקציב מינהל תפעול 2022'!P31</f>
        <v>3048</v>
      </c>
      <c r="Q123" s="4">
        <f>'תקציב מינהל תפעול 2022'!Q31</f>
        <v>0</v>
      </c>
      <c r="R123" s="4">
        <f>'תקציב מינהל תפעול 2022'!R31</f>
        <v>0</v>
      </c>
      <c r="S123" s="4">
        <f>'תקציב מינהל תפעול 2022'!S31</f>
        <v>0</v>
      </c>
      <c r="T123" s="4">
        <f>'תקציב מינהל תפעול 2022'!T31</f>
        <v>0</v>
      </c>
      <c r="U123" s="4">
        <f>'תקציב מינהל תפעול 2022'!U31</f>
        <v>0</v>
      </c>
      <c r="V123" s="4">
        <f>'תקציב מינהל תפעול 2022'!V31</f>
        <v>0</v>
      </c>
      <c r="W123" s="4">
        <f>'תקציב מינהל תפעול 2022'!W31</f>
        <v>0</v>
      </c>
      <c r="X123" s="4">
        <f>'תקציב מינהל תפעול 2022'!X31</f>
        <v>0</v>
      </c>
      <c r="Y123" s="4">
        <f>'תקציב מינהל תפעול 2022'!Y31</f>
        <v>0</v>
      </c>
      <c r="Z123" s="4">
        <f>'תקציב מינהל תפעול 2022'!Z31</f>
        <v>0</v>
      </c>
      <c r="AA123" s="4">
        <f>'תקציב מינהל תפעול 2022'!AA31</f>
        <v>0</v>
      </c>
      <c r="AB123" s="255" t="str">
        <f>'תקציב מינהל תפעול 2022'!AB31</f>
        <v>הסרת גגות אסבסט ממבנים בעיר וסיוע לתושבים לאיסוף אסבסט בהיקפים קטנים. ראה תב"ר 1435.</v>
      </c>
      <c r="AC123" s="3">
        <f>'תקציב מינהל תפעול 2022'!AC31</f>
        <v>870000</v>
      </c>
      <c r="AD123" s="480"/>
      <c r="AE123" s="484" t="s">
        <v>1244</v>
      </c>
      <c r="AF123" s="475" t="s">
        <v>1245</v>
      </c>
      <c r="AG123" s="475"/>
      <c r="AH123" s="476"/>
      <c r="AI123" s="482" t="s">
        <v>998</v>
      </c>
      <c r="AJ123" s="482" t="s">
        <v>998</v>
      </c>
      <c r="AK123" s="364" t="s">
        <v>998</v>
      </c>
      <c r="AL123" s="477" t="s">
        <v>1150</v>
      </c>
      <c r="AM123" s="478">
        <v>1</v>
      </c>
      <c r="AN123" s="364"/>
      <c r="AO123" s="364" t="s">
        <v>998</v>
      </c>
      <c r="AP123" s="574">
        <v>-50000</v>
      </c>
      <c r="AQ123" s="4"/>
      <c r="AR123" s="669">
        <v>0</v>
      </c>
      <c r="AS123" s="669">
        <f>AR123-N123</f>
        <v>0</v>
      </c>
      <c r="AT123" s="4"/>
    </row>
    <row r="124" spans="1:46" ht="51">
      <c r="A124" s="3">
        <f t="shared" si="16"/>
        <v>107</v>
      </c>
      <c r="B124" s="3">
        <f>'תקציב מינהל תפעול 2022'!B34</f>
        <v>1899</v>
      </c>
      <c r="C124" s="255" t="str">
        <f>'תקציב מינהל תפעול 2022'!C34</f>
        <v>רכישת מיכלי אצירה לפסולת ומיחזור</v>
      </c>
      <c r="D124" s="4">
        <f>'תקציב מינהל תפעול 2022'!D34</f>
        <v>670000</v>
      </c>
      <c r="E124" s="4">
        <f>'תקציב מינהל תפעול 2022'!E34</f>
        <v>1270000</v>
      </c>
      <c r="F124" s="4">
        <f>'תקציב מינהל תפעול 2022'!F34</f>
        <v>-600000</v>
      </c>
      <c r="G124" s="4">
        <f>'תקציב מינהל תפעול 2022'!G34</f>
        <v>670000</v>
      </c>
      <c r="H124" s="4">
        <f>'תקציב מינהל תפעול 2022'!H34</f>
        <v>442405</v>
      </c>
      <c r="I124" s="4">
        <f>'תקציב מינהל תפעול 2022'!I34</f>
        <v>0</v>
      </c>
      <c r="J124" s="4">
        <f>'תקציב מינהל תפעול 2022'!J34</f>
        <v>1427</v>
      </c>
      <c r="K124" s="4">
        <f>'תקציב מינהל תפעול 2022'!K34</f>
        <v>1427</v>
      </c>
      <c r="L124" s="4">
        <f>'תקציב מינהל תפעול 2022'!L34</f>
        <v>443832</v>
      </c>
      <c r="M124" s="4">
        <f>'תקציב מינהל תפעול 2022'!M34</f>
        <v>226168</v>
      </c>
      <c r="N124" s="4">
        <f>'תקציב מינהל תפעול 2022'!N34</f>
        <v>0</v>
      </c>
      <c r="O124" s="4">
        <f>'תקציב מינהל תפעול 2022'!O34</f>
        <v>0</v>
      </c>
      <c r="P124" s="4">
        <f>'תקציב מינהל תפעול 2022'!P34</f>
        <v>226168</v>
      </c>
      <c r="Q124" s="4">
        <f>'תקציב מינהל תפעול 2022'!Q34</f>
        <v>0</v>
      </c>
      <c r="R124" s="4">
        <f>'תקציב מינהל תפעול 2022'!R34</f>
        <v>0</v>
      </c>
      <c r="S124" s="4">
        <f>'תקציב מינהל תפעול 2022'!S34</f>
        <v>0</v>
      </c>
      <c r="T124" s="4">
        <f>'תקציב מינהל תפעול 2022'!T34</f>
        <v>0</v>
      </c>
      <c r="U124" s="4">
        <f>'תקציב מינהל תפעול 2022'!U34</f>
        <v>0</v>
      </c>
      <c r="V124" s="4">
        <f>'תקציב מינהל תפעול 2022'!V34</f>
        <v>0</v>
      </c>
      <c r="W124" s="4">
        <f>'תקציב מינהל תפעול 2022'!W34</f>
        <v>0</v>
      </c>
      <c r="X124" s="4">
        <f>'תקציב מינהל תפעול 2022'!X34</f>
        <v>0</v>
      </c>
      <c r="Y124" s="4">
        <f>'תקציב מינהל תפעול 2022'!Y34</f>
        <v>0</v>
      </c>
      <c r="Z124" s="4">
        <f>'תקציב מינהל תפעול 2022'!Z34</f>
        <v>0</v>
      </c>
      <c r="AA124" s="4">
        <f>'תקציב מינהל תפעול 2022'!AA34</f>
        <v>0</v>
      </c>
      <c r="AB124" s="255" t="str">
        <f>'תקציב מינהל תפעול 2022'!AB34</f>
        <v xml:space="preserve">רכישת מיכלי אצירה מפלסטיק ומתכת לפסולת ומיחזור. </v>
      </c>
      <c r="AC124" s="3">
        <f>'תקציב מינהל תפעול 2022'!AC34</f>
        <v>870000</v>
      </c>
      <c r="AD124" s="480"/>
      <c r="AE124" s="484" t="s">
        <v>1252</v>
      </c>
      <c r="AF124" s="475" t="s">
        <v>1253</v>
      </c>
      <c r="AG124" s="475" t="s">
        <v>1254</v>
      </c>
      <c r="AH124" s="476"/>
      <c r="AI124" s="482" t="s">
        <v>1255</v>
      </c>
      <c r="AJ124" s="482" t="s">
        <v>1255</v>
      </c>
      <c r="AK124" s="364"/>
      <c r="AL124" s="477" t="s">
        <v>1153</v>
      </c>
      <c r="AM124" s="478"/>
      <c r="AN124" s="364"/>
      <c r="AO124" s="364"/>
      <c r="AP124" s="4"/>
      <c r="AQ124" s="4"/>
      <c r="AR124" s="669"/>
      <c r="AS124" s="669"/>
      <c r="AT124" s="4"/>
    </row>
    <row r="125" spans="1:46" ht="26.45" customHeight="1">
      <c r="A125" s="3">
        <f t="shared" si="16"/>
        <v>108</v>
      </c>
      <c r="B125" s="3">
        <f>'תקציב מינהל תפעול 2022'!B37</f>
        <v>1922</v>
      </c>
      <c r="C125" s="255" t="str">
        <f>'תקציב מינהל תפעול 2022'!C37</f>
        <v>תוכנית שיווק והפרדת פסולת</v>
      </c>
      <c r="D125" s="4">
        <f>'תקציב מינהל תפעול 2022'!D37</f>
        <v>330000</v>
      </c>
      <c r="E125" s="4">
        <f>'תקציב מינהל תפעול 2022'!E37</f>
        <v>330000</v>
      </c>
      <c r="F125" s="4">
        <f>'תקציב מינהל תפעול 2022'!F37</f>
        <v>0</v>
      </c>
      <c r="G125" s="4">
        <f>'תקציב מינהל תפעול 2022'!G37</f>
        <v>200000</v>
      </c>
      <c r="H125" s="4">
        <f>'תקציב מינהל תפעול 2022'!H37</f>
        <v>95338</v>
      </c>
      <c r="I125" s="4">
        <f>'תקציב מינהל תפעול 2022'!I37</f>
        <v>0</v>
      </c>
      <c r="J125" s="4">
        <f>'תקציב מינהל תפעול 2022'!J37</f>
        <v>7710</v>
      </c>
      <c r="K125" s="4">
        <f>'תקציב מינהל תפעול 2022'!K37</f>
        <v>7710</v>
      </c>
      <c r="L125" s="4">
        <f>'תקציב מינהל תפעול 2022'!L37</f>
        <v>103048</v>
      </c>
      <c r="M125" s="4">
        <f>'תקציב מינהל תפעול 2022'!M37</f>
        <v>96952</v>
      </c>
      <c r="N125" s="4">
        <f>'תקציב מינהל תפעול 2022'!N37</f>
        <v>0</v>
      </c>
      <c r="O125" s="4">
        <f>'תקציב מינהל תפעול 2022'!O37</f>
        <v>130000</v>
      </c>
      <c r="P125" s="4">
        <f>'תקציב מינהל תפעול 2022'!P37</f>
        <v>96952</v>
      </c>
      <c r="Q125" s="4">
        <f>'תקציב מינהל תפעול 2022'!Q37</f>
        <v>0</v>
      </c>
      <c r="R125" s="4">
        <f>'תקציב מינהל תפעול 2022'!R37</f>
        <v>0</v>
      </c>
      <c r="S125" s="4">
        <f>'תקציב מינהל תפעול 2022'!S37</f>
        <v>0</v>
      </c>
      <c r="T125" s="4">
        <f>'תקציב מינהל תפעול 2022'!T37</f>
        <v>0</v>
      </c>
      <c r="U125" s="4">
        <f>'תקציב מינהל תפעול 2022'!U37</f>
        <v>0</v>
      </c>
      <c r="V125" s="4">
        <f>'תקציב מינהל תפעול 2022'!V37</f>
        <v>0</v>
      </c>
      <c r="W125" s="4">
        <f>'תקציב מינהל תפעול 2022'!W37</f>
        <v>0</v>
      </c>
      <c r="X125" s="4">
        <f>'תקציב מינהל תפעול 2022'!X37</f>
        <v>0</v>
      </c>
      <c r="Y125" s="4">
        <f>'תקציב מינהל תפעול 2022'!Y37</f>
        <v>0</v>
      </c>
      <c r="Z125" s="4">
        <f>'תקציב מינהל תפעול 2022'!Z37</f>
        <v>0</v>
      </c>
      <c r="AA125" s="4">
        <f>'תקציב מינהל תפעול 2022'!AA37</f>
        <v>0</v>
      </c>
      <c r="AB125" s="255">
        <f>'תקציב מינהל תפעול 2022'!AB37</f>
        <v>0</v>
      </c>
      <c r="AC125" s="3">
        <f>'תקציב מינהל תפעול 2022'!AC37</f>
        <v>870000</v>
      </c>
      <c r="AD125" s="473"/>
      <c r="AE125" s="500"/>
      <c r="AF125" s="475"/>
      <c r="AG125" s="475"/>
      <c r="AH125" s="476"/>
      <c r="AI125" s="482"/>
      <c r="AJ125" s="482"/>
      <c r="AK125" s="364"/>
      <c r="AL125" s="501" t="s">
        <v>1150</v>
      </c>
      <c r="AM125" s="478"/>
      <c r="AN125" s="364"/>
      <c r="AO125" s="364"/>
      <c r="AP125" s="4"/>
      <c r="AQ125" s="4"/>
      <c r="AR125" s="669"/>
      <c r="AS125" s="669"/>
      <c r="AT125" s="4"/>
    </row>
    <row r="126" spans="1:46" ht="45">
      <c r="A126" s="3">
        <f t="shared" si="16"/>
        <v>109</v>
      </c>
      <c r="B126" s="3">
        <f>'תקציב מינהל תפעול 2022'!B40</f>
        <v>1966</v>
      </c>
      <c r="C126" s="255" t="str">
        <f>'תקציב מינהל תפעול 2022'!C40</f>
        <v>החלפת צ'ילרים אולמות ספורט נ. ישראל,סמדר ,נוף ים</v>
      </c>
      <c r="D126" s="4">
        <f>'תקציב מינהל תפעול 2022'!D40</f>
        <v>1700000</v>
      </c>
      <c r="E126" s="4">
        <f>'תקציב מינהל תפעול 2022'!E40</f>
        <v>1700000</v>
      </c>
      <c r="F126" s="4">
        <f>'תקציב מינהל תפעול 2022'!F40</f>
        <v>0</v>
      </c>
      <c r="G126" s="4">
        <f>'תקציב מינהל תפעול 2022'!G40</f>
        <v>1700000</v>
      </c>
      <c r="H126" s="4">
        <f>'תקציב מינהל תפעול 2022'!H40</f>
        <v>1500715</v>
      </c>
      <c r="I126" s="4">
        <f>'תקציב מינהל תפעול 2022'!I40</f>
        <v>199284</v>
      </c>
      <c r="J126" s="4">
        <f>'תקציב מינהל תפעול 2022'!J40</f>
        <v>0</v>
      </c>
      <c r="K126" s="4">
        <f>'תקציב מינהל תפעול 2022'!K40</f>
        <v>199284</v>
      </c>
      <c r="L126" s="4">
        <f>'תקציב מינהל תפעול 2022'!L40</f>
        <v>1699999</v>
      </c>
      <c r="M126" s="4">
        <f>'תקציב מינהל תפעול 2022'!M40</f>
        <v>1</v>
      </c>
      <c r="N126" s="4">
        <f>'תקציב מינהל תפעול 2022'!N40</f>
        <v>0</v>
      </c>
      <c r="O126" s="4">
        <f>'תקציב מינהל תפעול 2022'!O40</f>
        <v>0</v>
      </c>
      <c r="P126" s="4">
        <f>'תקציב מינהל תפעול 2022'!P40</f>
        <v>1</v>
      </c>
      <c r="Q126" s="4">
        <f>'תקציב מינהל תפעול 2022'!Q40</f>
        <v>0</v>
      </c>
      <c r="R126" s="4">
        <f>'תקציב מינהל תפעול 2022'!R40</f>
        <v>0</v>
      </c>
      <c r="S126" s="4">
        <f>'תקציב מינהל תפעול 2022'!S40</f>
        <v>0</v>
      </c>
      <c r="T126" s="4">
        <f>'תקציב מינהל תפעול 2022'!T40</f>
        <v>0</v>
      </c>
      <c r="U126" s="4">
        <f>'תקציב מינהל תפעול 2022'!U40</f>
        <v>0</v>
      </c>
      <c r="V126" s="4">
        <f>'תקציב מינהל תפעול 2022'!V40</f>
        <v>0</v>
      </c>
      <c r="W126" s="4">
        <f>'תקציב מינהל תפעול 2022'!W40</f>
        <v>0</v>
      </c>
      <c r="X126" s="4">
        <f>'תקציב מינהל תפעול 2022'!X40</f>
        <v>0</v>
      </c>
      <c r="Y126" s="4">
        <f>'תקציב מינהל תפעול 2022'!Y40</f>
        <v>0</v>
      </c>
      <c r="Z126" s="4">
        <f>'תקציב מינהל תפעול 2022'!Z40</f>
        <v>0</v>
      </c>
      <c r="AA126" s="4">
        <f>'תקציב מינהל תפעול 2022'!AA40</f>
        <v>0</v>
      </c>
      <c r="AB126" s="255" t="str">
        <f>'תקציב מינהל תפעול 2022'!AB40</f>
        <v xml:space="preserve">החלפת מערכות צ'לרים באולמות הספורט מימון מ. הכלכלה והתעשיה. </v>
      </c>
      <c r="AC126" s="3">
        <f>'תקציב מינהל תפעול 2022'!AC40</f>
        <v>870000</v>
      </c>
      <c r="AD126" s="480"/>
      <c r="AE126" s="482" t="s">
        <v>1269</v>
      </c>
      <c r="AF126" s="475"/>
      <c r="AG126" s="475"/>
      <c r="AH126" s="476"/>
      <c r="AI126" s="482" t="s">
        <v>1270</v>
      </c>
      <c r="AJ126" s="482" t="s">
        <v>1270</v>
      </c>
      <c r="AK126" s="364" t="s">
        <v>1271</v>
      </c>
      <c r="AL126" s="477" t="s">
        <v>1160</v>
      </c>
      <c r="AM126" s="478"/>
      <c r="AN126" s="364"/>
      <c r="AO126" s="364" t="s">
        <v>1271</v>
      </c>
      <c r="AP126" s="4"/>
      <c r="AQ126" s="4"/>
      <c r="AR126" s="669"/>
      <c r="AS126" s="669"/>
      <c r="AT126" s="4"/>
    </row>
    <row r="127" spans="1:46" ht="90.6" customHeight="1">
      <c r="A127" s="3">
        <f t="shared" si="16"/>
        <v>110</v>
      </c>
      <c r="B127" s="3">
        <f>'תקציב מינהל תפעול 2022'!B49</f>
        <v>2037</v>
      </c>
      <c r="C127" s="255" t="str">
        <f>'תקציב מינהל תפעול 2022'!C49</f>
        <v xml:space="preserve">הקמת פינות מיחזור וגזם ברחבי העיר </v>
      </c>
      <c r="D127" s="4">
        <f>'תקציב מינהל תפעול 2022'!D49</f>
        <v>5000000</v>
      </c>
      <c r="E127" s="4">
        <f>'תקציב מינהל תפעול 2022'!E49</f>
        <v>5000000</v>
      </c>
      <c r="F127" s="4">
        <f>'תקציב מינהל תפעול 2022'!F49</f>
        <v>0</v>
      </c>
      <c r="G127" s="4">
        <f>'תקציב מינהל תפעול 2022'!G49</f>
        <v>800000</v>
      </c>
      <c r="H127" s="4">
        <f>'תקציב מינהל תפעול 2022'!H49</f>
        <v>549548</v>
      </c>
      <c r="I127" s="4">
        <f>'תקציב מינהל תפעול 2022'!I49</f>
        <v>0</v>
      </c>
      <c r="J127" s="4">
        <f>'תקציב מינהל תפעול 2022'!J49</f>
        <v>237729</v>
      </c>
      <c r="K127" s="4">
        <f>'תקציב מינהל תפעול 2022'!K49</f>
        <v>237729</v>
      </c>
      <c r="L127" s="4">
        <f>'תקציב מינהל תפעול 2022'!L49</f>
        <v>787277</v>
      </c>
      <c r="M127" s="4">
        <f>'תקציב מינהל תפעול 2022'!M49</f>
        <v>12723</v>
      </c>
      <c r="N127" s="4">
        <f>'תקציב מינהל תפעול 2022'!N49</f>
        <v>1000000</v>
      </c>
      <c r="O127" s="4">
        <f>'תקציב מינהל תפעול 2022'!O49</f>
        <v>3200000</v>
      </c>
      <c r="P127" s="4">
        <f>'תקציב מינהל תפעול 2022'!P49</f>
        <v>12723</v>
      </c>
      <c r="Q127" s="4">
        <f>'תקציב מינהל תפעול 2022'!Q49</f>
        <v>0</v>
      </c>
      <c r="R127" s="4">
        <f>'תקציב מינהל תפעול 2022'!R49</f>
        <v>0</v>
      </c>
      <c r="S127" s="4">
        <f>'תקציב מינהל תפעול 2022'!S49</f>
        <v>0</v>
      </c>
      <c r="T127" s="4">
        <f>'תקציב מינהל תפעול 2022'!T49</f>
        <v>0</v>
      </c>
      <c r="U127" s="4">
        <f>'תקציב מינהל תפעול 2022'!U49</f>
        <v>1000000</v>
      </c>
      <c r="V127" s="4">
        <f>'תקציב מינהל תפעול 2022'!V49</f>
        <v>500000</v>
      </c>
      <c r="W127" s="4">
        <f>'תקציב מינהל תפעול 2022'!W49</f>
        <v>500000</v>
      </c>
      <c r="X127" s="4">
        <f>'תקציב מינהל תפעול 2022'!X49</f>
        <v>0</v>
      </c>
      <c r="Y127" s="4">
        <f>'תקציב מינהל תפעול 2022'!Y49</f>
        <v>0</v>
      </c>
      <c r="Z127" s="4">
        <f>'תקציב מינהל תפעול 2022'!Z49</f>
        <v>0</v>
      </c>
      <c r="AA127" s="4">
        <f>'תקציב מינהל תפעול 2022'!AA49</f>
        <v>0</v>
      </c>
      <c r="AB127" s="255" t="str">
        <f>'תקציב מינהל תפעול 2022'!AB49</f>
        <v>הקמת פינות מיחזור ברחבי העיר (פינות המרכזות מיכלי אצירה לסוגים שונים של פסולת כגון: בקבוקים, זכוכית, נייר, אריזות ועוד). שדרוג מיכלי מיחזור לפי דגם אחיד .</v>
      </c>
      <c r="AC127" s="3">
        <f>'תקציב מינהל תפעול 2022'!AC49</f>
        <v>870000</v>
      </c>
      <c r="AD127" s="480"/>
      <c r="AE127" s="484" t="s">
        <v>1298</v>
      </c>
      <c r="AF127" s="475" t="s">
        <v>1298</v>
      </c>
      <c r="AG127" s="475" t="s">
        <v>1299</v>
      </c>
      <c r="AH127" s="476"/>
      <c r="AI127" s="482" t="s">
        <v>1300</v>
      </c>
      <c r="AJ127" s="482" t="s">
        <v>1300</v>
      </c>
      <c r="AK127" s="364" t="s">
        <v>1301</v>
      </c>
      <c r="AL127" s="477" t="s">
        <v>1153</v>
      </c>
      <c r="AM127" s="478">
        <v>1</v>
      </c>
      <c r="AN127" s="364"/>
      <c r="AO127" s="364" t="s">
        <v>1301</v>
      </c>
      <c r="AP127" s="574">
        <v>-500000</v>
      </c>
      <c r="AQ127" s="4"/>
      <c r="AR127" s="669">
        <v>1000000</v>
      </c>
      <c r="AS127" s="669">
        <f>AR127-N127</f>
        <v>0</v>
      </c>
      <c r="AT127" s="4"/>
    </row>
    <row r="128" spans="1:46" ht="60">
      <c r="A128" s="3">
        <f t="shared" si="16"/>
        <v>111</v>
      </c>
      <c r="B128" s="3">
        <f>'תקציב מינהל תפעול 2022'!B66</f>
        <v>2131</v>
      </c>
      <c r="C128" s="255" t="str">
        <f>'תקציב מינהל תפעול 2022'!C66</f>
        <v>חסכון,התייע' אנרגטית מוסח/ציבור</v>
      </c>
      <c r="D128" s="4">
        <f>'תקציב מינהל תפעול 2022'!D66</f>
        <v>7500000</v>
      </c>
      <c r="E128" s="4">
        <f>'תקציב מינהל תפעול 2022'!E66</f>
        <v>7500000</v>
      </c>
      <c r="F128" s="4">
        <f>'תקציב מינהל תפעול 2022'!F66</f>
        <v>0</v>
      </c>
      <c r="G128" s="4">
        <f>'תקציב מינהל תפעול 2022'!G66</f>
        <v>4020000</v>
      </c>
      <c r="H128" s="4">
        <f>'תקציב מינהל תפעול 2022'!H66</f>
        <v>2699413</v>
      </c>
      <c r="I128" s="4">
        <f>'תקציב מינהל תפעול 2022'!I66</f>
        <v>696330</v>
      </c>
      <c r="J128" s="4">
        <f>'תקציב מינהל תפעול 2022'!J66</f>
        <v>483349</v>
      </c>
      <c r="K128" s="4">
        <f>'תקציב מינהל תפעול 2022'!K66</f>
        <v>1179679</v>
      </c>
      <c r="L128" s="4">
        <f>'תקציב מינהל תפעול 2022'!L66</f>
        <v>3879092</v>
      </c>
      <c r="M128" s="4">
        <f>'תקציב מינהל תפעול 2022'!M66</f>
        <v>140908</v>
      </c>
      <c r="N128" s="4">
        <f>'תקציב מינהל תפעול 2022'!N66</f>
        <v>0</v>
      </c>
      <c r="O128" s="4">
        <f>'תקציב מינהל תפעול 2022'!O66</f>
        <v>3480000</v>
      </c>
      <c r="P128" s="4">
        <f>'תקציב מינהל תפעול 2022'!P66</f>
        <v>140908</v>
      </c>
      <c r="Q128" s="4">
        <f>'תקציב מינהל תפעול 2022'!Q66</f>
        <v>0</v>
      </c>
      <c r="R128" s="4">
        <f>'תקציב מינהל תפעול 2022'!R66</f>
        <v>0</v>
      </c>
      <c r="S128" s="4">
        <f>'תקציב מינהל תפעול 2022'!S66</f>
        <v>0</v>
      </c>
      <c r="T128" s="4">
        <f>'תקציב מינהל תפעול 2022'!T66</f>
        <v>0</v>
      </c>
      <c r="U128" s="4">
        <f>'תקציב מינהל תפעול 2022'!U66</f>
        <v>0</v>
      </c>
      <c r="V128" s="4">
        <f>'תקציב מינהל תפעול 2022'!V66</f>
        <v>0</v>
      </c>
      <c r="W128" s="4">
        <f>'תקציב מינהל תפעול 2022'!W66</f>
        <v>0</v>
      </c>
      <c r="X128" s="4">
        <f>'תקציב מינהל תפעול 2022'!X66</f>
        <v>0</v>
      </c>
      <c r="Y128" s="4">
        <f>'תקציב מינהל תפעול 2022'!Y66</f>
        <v>0</v>
      </c>
      <c r="Z128" s="4">
        <f>'תקציב מינהל תפעול 2022'!Z66</f>
        <v>0</v>
      </c>
      <c r="AA128" s="4">
        <f>'תקציב מינהל תפעול 2022'!AA66</f>
        <v>0</v>
      </c>
      <c r="AB128" s="255" t="str">
        <f>'תקציב מינהל תפעול 2022'!AB66</f>
        <v xml:space="preserve">החלפת מזגנים והחלפת תאורה ללדים במוס"ח. מימון מ. הכלכלה והתעשיה.  </v>
      </c>
      <c r="AC128" s="3">
        <f>'תקציב מינהל תפעול 2022'!AC66</f>
        <v>870000</v>
      </c>
      <c r="AD128" s="483" t="s">
        <v>1329</v>
      </c>
      <c r="AE128" s="482" t="s">
        <v>1330</v>
      </c>
      <c r="AF128" s="475"/>
      <c r="AG128" s="475"/>
      <c r="AH128" s="476"/>
      <c r="AI128" s="482" t="s">
        <v>1330</v>
      </c>
      <c r="AJ128" s="490" t="s">
        <v>1330</v>
      </c>
      <c r="AK128" s="272" t="s">
        <v>1331</v>
      </c>
      <c r="AL128" s="477" t="s">
        <v>1160</v>
      </c>
      <c r="AM128" s="478">
        <v>1</v>
      </c>
      <c r="AN128" s="272"/>
      <c r="AO128" s="272" t="s">
        <v>1332</v>
      </c>
      <c r="AP128" s="4"/>
      <c r="AQ128" s="4"/>
      <c r="AR128" s="638"/>
      <c r="AS128" s="669"/>
      <c r="AT128" s="4"/>
    </row>
    <row r="129" spans="1:46" ht="60">
      <c r="A129" s="3">
        <f t="shared" si="16"/>
        <v>112</v>
      </c>
      <c r="B129" s="3">
        <f>'תקציב מינהל תפעול 2022'!B72</f>
        <v>2154</v>
      </c>
      <c r="C129" s="255" t="str">
        <f>'תקציב מינהל תפעול 2022'!C72</f>
        <v>חסכון, התיעלות אנרגטית מוסח/ציבור 2020</v>
      </c>
      <c r="D129" s="4">
        <f>'תקציב מינהל תפעול 2022'!D72</f>
        <v>10500000</v>
      </c>
      <c r="E129" s="4">
        <f>'תקציב מינהל תפעול 2022'!E72</f>
        <v>10500000</v>
      </c>
      <c r="F129" s="4">
        <f>'תקציב מינהל תפעול 2022'!F72</f>
        <v>0</v>
      </c>
      <c r="G129" s="4">
        <f>'תקציב מינהל תפעול 2022'!G72</f>
        <v>750000</v>
      </c>
      <c r="H129" s="4">
        <f>'תקציב מינהל תפעול 2022'!H72</f>
        <v>65899</v>
      </c>
      <c r="I129" s="4">
        <f>'תקציב מינהל תפעול 2022'!I72</f>
        <v>0</v>
      </c>
      <c r="J129" s="4">
        <f>'תקציב מינהל תפעול 2022'!J72</f>
        <v>129959</v>
      </c>
      <c r="K129" s="4">
        <f>'תקציב מינהל תפעול 2022'!K72</f>
        <v>129959</v>
      </c>
      <c r="L129" s="4">
        <f>'תקציב מינהל תפעול 2022'!L72</f>
        <v>195858</v>
      </c>
      <c r="M129" s="4">
        <f>'תקציב מינהל תפעול 2022'!M72</f>
        <v>2304142</v>
      </c>
      <c r="N129" s="4">
        <f>'תקציב מינהל תפעול 2022'!N72</f>
        <v>0</v>
      </c>
      <c r="O129" s="4">
        <f>'תקציב מינהל תפעול 2022'!O72</f>
        <v>8000000</v>
      </c>
      <c r="P129" s="4">
        <f>'תקציב מינהל תפעול 2022'!P72</f>
        <v>554142</v>
      </c>
      <c r="Q129" s="4">
        <f>'תקציב מינהל תפעול 2022'!Q72</f>
        <v>1750000</v>
      </c>
      <c r="R129" s="4">
        <f>'תקציב מינהל תפעול 2022'!R72</f>
        <v>0</v>
      </c>
      <c r="S129" s="4">
        <f>'תקציב מינהל תפעול 2022'!S72</f>
        <v>1750000</v>
      </c>
      <c r="T129" s="4">
        <f>'תקציב מינהל תפעול 2022'!T72</f>
        <v>0</v>
      </c>
      <c r="U129" s="4">
        <f>'תקציב מינהל תפעול 2022'!U72</f>
        <v>0</v>
      </c>
      <c r="V129" s="4">
        <f>'תקציב מינהל תפעול 2022'!V72</f>
        <v>0</v>
      </c>
      <c r="W129" s="4">
        <f>'תקציב מינהל תפעול 2022'!W72</f>
        <v>0</v>
      </c>
      <c r="X129" s="4">
        <f>'תקציב מינהל תפעול 2022'!X72</f>
        <v>0</v>
      </c>
      <c r="Y129" s="4">
        <f>'תקציב מינהל תפעול 2022'!Y72</f>
        <v>0</v>
      </c>
      <c r="Z129" s="4">
        <f>'תקציב מינהל תפעול 2022'!Z72</f>
        <v>0</v>
      </c>
      <c r="AA129" s="4">
        <f>'תקציב מינהל תפעול 2022'!AA72</f>
        <v>0</v>
      </c>
      <c r="AB129" s="255" t="str">
        <f>'תקציב מינהל תפעול 2022'!AB72</f>
        <v>החלפת מזגנים , החלפת תאורה ללדים  ובקרת מבנים במוס"ח ובמוסדות עירוניים. מימון מ. הכלכלה והתעשיה.</v>
      </c>
      <c r="AC129" s="3">
        <f>'תקציב מינהל תפעול 2022'!AC72</f>
        <v>870000</v>
      </c>
      <c r="AD129" s="480"/>
      <c r="AE129" s="482" t="s">
        <v>1341</v>
      </c>
      <c r="AF129" s="475"/>
      <c r="AG129" s="475"/>
      <c r="AH129" s="476"/>
      <c r="AI129" s="482" t="s">
        <v>1342</v>
      </c>
      <c r="AJ129" s="482"/>
      <c r="AK129" s="364"/>
      <c r="AL129" s="477" t="s">
        <v>1160</v>
      </c>
      <c r="AM129" s="478">
        <v>1</v>
      </c>
      <c r="AN129" s="364"/>
      <c r="AO129" s="364"/>
      <c r="AP129" s="4"/>
      <c r="AQ129" s="4"/>
      <c r="AR129" s="669"/>
      <c r="AS129" s="669"/>
      <c r="AT129" s="4"/>
    </row>
    <row r="130" spans="1:46" ht="45">
      <c r="A130" s="3">
        <f t="shared" si="16"/>
        <v>113</v>
      </c>
      <c r="B130" s="3">
        <f>'תקציב מינהל תפעול 2022'!B105</f>
        <v>20019</v>
      </c>
      <c r="C130" s="255" t="str">
        <f>'תקציב מינהל תפעול 2022'!C105</f>
        <v>תוכנית הערכות לשינויי האקלים</v>
      </c>
      <c r="D130" s="4">
        <f>'תקציב מינהל תפעול 2022'!D105</f>
        <v>100000</v>
      </c>
      <c r="E130" s="4">
        <f>'תקציב מינהל תפעול 2022'!E105</f>
        <v>0</v>
      </c>
      <c r="F130" s="4">
        <f>'תקציב מינהל תפעול 2022'!F105</f>
        <v>100000</v>
      </c>
      <c r="G130" s="4">
        <f>'תקציב מינהל תפעול 2022'!G105</f>
        <v>0</v>
      </c>
      <c r="H130" s="4">
        <f>'תקציב מינהל תפעול 2022'!H105</f>
        <v>0</v>
      </c>
      <c r="I130" s="4">
        <f>'תקציב מינהל תפעול 2022'!I105</f>
        <v>0</v>
      </c>
      <c r="J130" s="4">
        <f>'תקציב מינהל תפעול 2022'!J105</f>
        <v>0</v>
      </c>
      <c r="K130" s="4">
        <f>'תקציב מינהל תפעול 2022'!K105</f>
        <v>0</v>
      </c>
      <c r="L130" s="4">
        <f>'תקציב מינהל תפעול 2022'!L105</f>
        <v>0</v>
      </c>
      <c r="M130" s="4">
        <f>'תקציב מינהל תפעול 2022'!M105</f>
        <v>0</v>
      </c>
      <c r="N130" s="4">
        <f>'תקציב מינהל תפעול 2022'!N105</f>
        <v>100000</v>
      </c>
      <c r="O130" s="4">
        <f>'תקציב מינהל תפעול 2022'!O105</f>
        <v>0</v>
      </c>
      <c r="P130" s="4">
        <f>'תקציב מינהל תפעול 2022'!P105</f>
        <v>0</v>
      </c>
      <c r="Q130" s="4">
        <f>'תקציב מינהל תפעול 2022'!Q105</f>
        <v>0</v>
      </c>
      <c r="R130" s="4">
        <f>'תקציב מינהל תפעול 2022'!R105</f>
        <v>0</v>
      </c>
      <c r="S130" s="4">
        <f>'תקציב מינהל תפעול 2022'!S105</f>
        <v>0</v>
      </c>
      <c r="T130" s="4">
        <f>'תקציב מינהל תפעול 2022'!T105</f>
        <v>0</v>
      </c>
      <c r="U130" s="4">
        <f>'תקציב מינהל תפעול 2022'!U105</f>
        <v>100000</v>
      </c>
      <c r="V130" s="4">
        <f>'תקציב מינהל תפעול 2022'!V105</f>
        <v>0</v>
      </c>
      <c r="W130" s="4">
        <f>'תקציב מינהל תפעול 2022'!W105</f>
        <v>100000</v>
      </c>
      <c r="X130" s="4">
        <f>'תקציב מינהל תפעול 2022'!X105</f>
        <v>0</v>
      </c>
      <c r="Y130" s="4">
        <f>'תקציב מינהל תפעול 2022'!Y105</f>
        <v>0</v>
      </c>
      <c r="Z130" s="4">
        <f>'תקציב מינהל תפעול 2022'!Z105</f>
        <v>0</v>
      </c>
      <c r="AA130" s="4">
        <f>'תקציב מינהל תפעול 2022'!AA105</f>
        <v>0</v>
      </c>
      <c r="AB130" s="255" t="str">
        <f>'תקציב מינהל תפעול 2022'!AB105</f>
        <v>הכנת תוכנית היערכות לשינויי האקלים הכוללת יועצים.</v>
      </c>
      <c r="AC130" s="3">
        <f>'תקציב מינהל תפעול 2022'!AC105</f>
        <v>870000</v>
      </c>
      <c r="AD130" s="480"/>
      <c r="AE130" s="3" t="s">
        <v>1427</v>
      </c>
      <c r="AF130" s="511"/>
      <c r="AG130" s="480"/>
      <c r="AH130" s="480"/>
      <c r="AI130" s="3" t="s">
        <v>1428</v>
      </c>
      <c r="AJ130" s="3" t="s">
        <v>1428</v>
      </c>
      <c r="AK130" s="30" t="s">
        <v>1429</v>
      </c>
      <c r="AL130" s="477" t="s">
        <v>1150</v>
      </c>
      <c r="AM130" s="478">
        <v>1</v>
      </c>
      <c r="AN130" s="30"/>
      <c r="AO130" s="643" t="s">
        <v>1429</v>
      </c>
      <c r="AP130" s="4"/>
      <c r="AQ130" s="4"/>
      <c r="AR130" s="671"/>
      <c r="AS130" s="669"/>
      <c r="AT130" s="4"/>
    </row>
    <row r="131" spans="1:46" s="414" customFormat="1" ht="25.15" customHeight="1">
      <c r="A131" s="7"/>
      <c r="B131" s="7"/>
      <c r="C131" s="16" t="s">
        <v>808</v>
      </c>
      <c r="D131" s="8">
        <f>SUM(D120:D130)</f>
        <v>27592525</v>
      </c>
      <c r="E131" s="8">
        <f t="shared" ref="E131:AA131" si="17">SUM(E120:E130)</f>
        <v>28150559</v>
      </c>
      <c r="F131" s="8">
        <f t="shared" si="17"/>
        <v>-558034</v>
      </c>
      <c r="G131" s="8">
        <f t="shared" si="17"/>
        <v>9990559</v>
      </c>
      <c r="H131" s="8">
        <f t="shared" si="17"/>
        <v>6906643</v>
      </c>
      <c r="I131" s="8">
        <f t="shared" si="17"/>
        <v>895614</v>
      </c>
      <c r="J131" s="8">
        <f t="shared" si="17"/>
        <v>942068</v>
      </c>
      <c r="K131" s="8">
        <f t="shared" si="17"/>
        <v>1837682</v>
      </c>
      <c r="L131" s="8">
        <f t="shared" si="17"/>
        <v>8744325</v>
      </c>
      <c r="M131" s="8">
        <f t="shared" si="17"/>
        <v>2888200</v>
      </c>
      <c r="N131" s="8">
        <f t="shared" si="17"/>
        <v>1150000</v>
      </c>
      <c r="O131" s="8">
        <f t="shared" si="17"/>
        <v>14810000</v>
      </c>
      <c r="P131" s="8">
        <f t="shared" si="17"/>
        <v>1246234</v>
      </c>
      <c r="Q131" s="8">
        <f t="shared" si="17"/>
        <v>1750000</v>
      </c>
      <c r="R131" s="8">
        <f t="shared" si="17"/>
        <v>0</v>
      </c>
      <c r="S131" s="8">
        <f t="shared" si="17"/>
        <v>1750000</v>
      </c>
      <c r="T131" s="8">
        <f t="shared" si="17"/>
        <v>108034</v>
      </c>
      <c r="U131" s="8">
        <f t="shared" si="17"/>
        <v>1041966</v>
      </c>
      <c r="V131" s="8">
        <f t="shared" si="17"/>
        <v>500000</v>
      </c>
      <c r="W131" s="8">
        <f t="shared" si="17"/>
        <v>650000</v>
      </c>
      <c r="X131" s="8">
        <f t="shared" si="17"/>
        <v>0</v>
      </c>
      <c r="Y131" s="8">
        <f t="shared" si="17"/>
        <v>0</v>
      </c>
      <c r="Z131" s="8">
        <f t="shared" si="17"/>
        <v>0</v>
      </c>
      <c r="AA131" s="8">
        <f t="shared" si="17"/>
        <v>-108034</v>
      </c>
      <c r="AB131" s="16"/>
      <c r="AC131" s="7"/>
      <c r="AD131" s="800"/>
      <c r="AE131" s="7"/>
      <c r="AF131" s="810"/>
      <c r="AG131" s="800"/>
      <c r="AH131" s="800"/>
      <c r="AI131" s="7"/>
      <c r="AJ131" s="7"/>
      <c r="AK131" s="32"/>
      <c r="AL131" s="803"/>
      <c r="AM131" s="372"/>
      <c r="AN131" s="32"/>
      <c r="AO131" s="819"/>
      <c r="AP131" s="8"/>
      <c r="AQ131" s="8"/>
      <c r="AR131" s="820"/>
      <c r="AS131" s="679"/>
      <c r="AT131" s="8"/>
    </row>
    <row r="132" spans="1:46" ht="45">
      <c r="A132" s="3" t="e">
        <f>#REF!+1</f>
        <v>#REF!</v>
      </c>
      <c r="B132" s="3">
        <f>'תקציב מינהל תפעול 2022'!B13</f>
        <v>1415</v>
      </c>
      <c r="C132" s="255" t="str">
        <f>'תקציב מינהל תפעול 2022'!C13</f>
        <v xml:space="preserve">התקנה שדרוג מזגנים במוס"ח   ועיריה </v>
      </c>
      <c r="D132" s="4">
        <f>'תקציב מינהל תפעול 2022'!D13</f>
        <v>1700000</v>
      </c>
      <c r="E132" s="4">
        <f>'תקציב מינהל תפעול 2022'!E13</f>
        <v>1400000</v>
      </c>
      <c r="F132" s="4">
        <f>'תקציב מינהל תפעול 2022'!F13</f>
        <v>300000</v>
      </c>
      <c r="G132" s="4">
        <f>'תקציב מינהל תפעול 2022'!G13</f>
        <v>1380000</v>
      </c>
      <c r="H132" s="4">
        <f>'תקציב מינהל תפעול 2022'!H13</f>
        <v>1187427</v>
      </c>
      <c r="I132" s="4">
        <f>'תקציב מינהל תפעול 2022'!I13</f>
        <v>0</v>
      </c>
      <c r="J132" s="4">
        <f>'תקציב מינהל תפעול 2022'!J13</f>
        <v>192573</v>
      </c>
      <c r="K132" s="4">
        <f>'תקציב מינהל תפעול 2022'!K13</f>
        <v>192573</v>
      </c>
      <c r="L132" s="4">
        <f>'תקציב מינהל תפעול 2022'!L13</f>
        <v>1380000</v>
      </c>
      <c r="M132" s="4">
        <f>'תקציב מינהל תפעול 2022'!M13</f>
        <v>20000</v>
      </c>
      <c r="N132" s="4">
        <f>'תקציב מינהל תפעול 2022'!N13</f>
        <v>300000</v>
      </c>
      <c r="O132" s="4">
        <f>'תקציב מינהל תפעול 2022'!O13</f>
        <v>0</v>
      </c>
      <c r="P132" s="4">
        <f>'תקציב מינהל תפעול 2022'!P13</f>
        <v>0</v>
      </c>
      <c r="Q132" s="4">
        <f>'תקציב מינהל תפעול 2022'!Q13</f>
        <v>20000</v>
      </c>
      <c r="R132" s="4">
        <f>'תקציב מינהל תפעול 2022'!R13</f>
        <v>0</v>
      </c>
      <c r="S132" s="4">
        <f>'תקציב מינהל תפעול 2022'!S13</f>
        <v>20000</v>
      </c>
      <c r="T132" s="4">
        <f>'תקציב מינהל תפעול 2022'!T13</f>
        <v>0</v>
      </c>
      <c r="U132" s="4">
        <f>'תקציב מינהל תפעול 2022'!U13</f>
        <v>300000</v>
      </c>
      <c r="V132" s="4">
        <f>'תקציב מינהל תפעול 2022'!V13</f>
        <v>0</v>
      </c>
      <c r="W132" s="4">
        <f>'תקציב מינהל תפעול 2022'!W13</f>
        <v>300000</v>
      </c>
      <c r="X132" s="4">
        <f>'תקציב מינהל תפעול 2022'!X13</f>
        <v>0</v>
      </c>
      <c r="Y132" s="4">
        <f>'תקציב מינהל תפעול 2022'!Y13</f>
        <v>0</v>
      </c>
      <c r="Z132" s="4">
        <f>'תקציב מינהל תפעול 2022'!Z13</f>
        <v>0</v>
      </c>
      <c r="AA132" s="4">
        <f>'תקציב מינהל תפעול 2022'!AA13</f>
        <v>0</v>
      </c>
      <c r="AB132" s="255" t="str">
        <f>'תקציב מינהל תפעול 2022'!AB13</f>
        <v>סל להחלפה ושדרוג מזגנים במוסדות חינוך ועירייה. איחוד עם תב"ר 1472.</v>
      </c>
      <c r="AC132" s="3">
        <f>'תקציב מינהל תפעול 2022'!AC13</f>
        <v>930000</v>
      </c>
      <c r="AD132" s="483" t="s">
        <v>1177</v>
      </c>
      <c r="AE132" s="475" t="s">
        <v>1157</v>
      </c>
      <c r="AF132" s="475"/>
      <c r="AG132" s="475"/>
      <c r="AH132" s="476"/>
      <c r="AI132" s="482" t="s">
        <v>1158</v>
      </c>
      <c r="AJ132" s="482" t="s">
        <v>1158</v>
      </c>
      <c r="AK132" s="364" t="s">
        <v>1158</v>
      </c>
      <c r="AL132" s="477" t="s">
        <v>1160</v>
      </c>
      <c r="AM132" s="478">
        <v>1</v>
      </c>
      <c r="AN132" s="364"/>
      <c r="AO132" s="364" t="s">
        <v>1158</v>
      </c>
      <c r="AP132" s="4"/>
      <c r="AQ132" s="4"/>
      <c r="AR132" s="669"/>
      <c r="AS132" s="669"/>
      <c r="AT132" s="4"/>
    </row>
    <row r="133" spans="1:46" ht="60">
      <c r="A133" s="3" t="e">
        <f t="shared" ref="A133:A139" si="18">A132+1</f>
        <v>#REF!</v>
      </c>
      <c r="B133" s="3">
        <f>'תקציב מינהל תפעול 2022'!B14</f>
        <v>1416</v>
      </c>
      <c r="C133" s="255" t="str">
        <f>'תקציב מינהל תפעול 2022'!C14</f>
        <v>שיפוץ ובינוי נכסים עירוניים כולל תשתיות</v>
      </c>
      <c r="D133" s="4">
        <f>'תקציב מינהל תפעול 2022'!D14</f>
        <v>3000000</v>
      </c>
      <c r="E133" s="4">
        <f>'תקציב מינהל תפעול 2022'!E14</f>
        <v>2400000</v>
      </c>
      <c r="F133" s="4">
        <f>'תקציב מינהל תפעול 2022'!F14</f>
        <v>600000</v>
      </c>
      <c r="G133" s="4">
        <f>'תקציב מינהל תפעול 2022'!G14</f>
        <v>2400000</v>
      </c>
      <c r="H133" s="4">
        <f>'תקציב מינהל תפעול 2022'!H14</f>
        <v>2117402</v>
      </c>
      <c r="I133" s="4">
        <f>'תקציב מינהל תפעול 2022'!I14</f>
        <v>0</v>
      </c>
      <c r="J133" s="4">
        <f>'תקציב מינהל תפעול 2022'!J14</f>
        <v>212772</v>
      </c>
      <c r="K133" s="4">
        <f>'תקציב מינהל תפעול 2022'!K14</f>
        <v>212772</v>
      </c>
      <c r="L133" s="4">
        <f>'תקציב מינהל תפעול 2022'!L14</f>
        <v>2330174</v>
      </c>
      <c r="M133" s="4">
        <f>'תקציב מינהל תפעול 2022'!M14</f>
        <v>69826</v>
      </c>
      <c r="N133" s="4">
        <f>'תקציב מינהל תפעול 2022'!N14</f>
        <v>600000</v>
      </c>
      <c r="O133" s="4">
        <f>'תקציב מינהל תפעול 2022'!O14</f>
        <v>0</v>
      </c>
      <c r="P133" s="4">
        <f>'תקציב מינהל תפעול 2022'!P14</f>
        <v>69826</v>
      </c>
      <c r="Q133" s="4">
        <f>'תקציב מינהל תפעול 2022'!Q14</f>
        <v>0</v>
      </c>
      <c r="R133" s="4">
        <f>'תקציב מינהל תפעול 2022'!R14</f>
        <v>0</v>
      </c>
      <c r="S133" s="4">
        <f>'תקציב מינהל תפעול 2022'!S14</f>
        <v>0</v>
      </c>
      <c r="T133" s="4">
        <f>'תקציב מינהל תפעול 2022'!T14</f>
        <v>0</v>
      </c>
      <c r="U133" s="4">
        <f>'תקציב מינהל תפעול 2022'!U14</f>
        <v>600000</v>
      </c>
      <c r="V133" s="4">
        <f>'תקציב מינהל תפעול 2022'!V14</f>
        <v>0</v>
      </c>
      <c r="W133" s="4">
        <f>'תקציב מינהל תפעול 2022'!W14</f>
        <v>600000</v>
      </c>
      <c r="X133" s="4">
        <f>'תקציב מינהל תפעול 2022'!X14</f>
        <v>0</v>
      </c>
      <c r="Y133" s="4">
        <f>'תקציב מינהל תפעול 2022'!Y14</f>
        <v>0</v>
      </c>
      <c r="Z133" s="4">
        <f>'תקציב מינהל תפעול 2022'!Z14</f>
        <v>0</v>
      </c>
      <c r="AA133" s="4">
        <f>'תקציב מינהל תפעול 2022'!AA14</f>
        <v>0</v>
      </c>
      <c r="AB133" s="255" t="str">
        <f>'תקציב מינהל תפעול 2022'!AB14</f>
        <v>סל לשיפוץ ובינוי נכסים עירוניים.</v>
      </c>
      <c r="AC133" s="3">
        <f>'תקציב מינהל תפעול 2022'!AC14</f>
        <v>930000</v>
      </c>
      <c r="AD133" s="483" t="s">
        <v>1178</v>
      </c>
      <c r="AE133" s="475" t="s">
        <v>1179</v>
      </c>
      <c r="AF133" s="475"/>
      <c r="AG133" s="475"/>
      <c r="AH133" s="476"/>
      <c r="AI133" s="475" t="s">
        <v>1180</v>
      </c>
      <c r="AJ133" s="475" t="s">
        <v>1180</v>
      </c>
      <c r="AK133" s="364" t="s">
        <v>1180</v>
      </c>
      <c r="AL133" s="477" t="s">
        <v>1160</v>
      </c>
      <c r="AM133" s="478">
        <v>1</v>
      </c>
      <c r="AN133" s="364"/>
      <c r="AO133" s="364" t="s">
        <v>1180</v>
      </c>
      <c r="AP133" s="4"/>
      <c r="AQ133" s="4"/>
      <c r="AR133" s="669"/>
      <c r="AS133" s="669"/>
      <c r="AT133" s="4"/>
    </row>
    <row r="134" spans="1:46" ht="30">
      <c r="A134" s="3" t="e">
        <f t="shared" si="18"/>
        <v>#REF!</v>
      </c>
      <c r="B134" s="3">
        <f>'תקציב מינהל תפעול 2022'!B60</f>
        <v>2074</v>
      </c>
      <c r="C134" s="255" t="str">
        <f>'תקציב מינהל תפעול 2022'!C60</f>
        <v>שיפוץ מבנה אגף תבל ואגף הבטחון</v>
      </c>
      <c r="D134" s="4">
        <f>'תקציב מינהל תפעול 2022'!D60</f>
        <v>1500000</v>
      </c>
      <c r="E134" s="4">
        <f>'תקציב מינהל תפעול 2022'!E60</f>
        <v>2000000</v>
      </c>
      <c r="F134" s="4">
        <f>'תקציב מינהל תפעול 2022'!F60</f>
        <v>-500000</v>
      </c>
      <c r="G134" s="4">
        <f>'תקציב מינהל תפעול 2022'!G60</f>
        <v>1500000</v>
      </c>
      <c r="H134" s="4">
        <f>'תקציב מינהל תפעול 2022'!H60</f>
        <v>918775</v>
      </c>
      <c r="I134" s="4">
        <f>'תקציב מינהל תפעול 2022'!I60</f>
        <v>0</v>
      </c>
      <c r="J134" s="4">
        <f>'תקציב מינהל תפעול 2022'!J60</f>
        <v>201211</v>
      </c>
      <c r="K134" s="4">
        <f>'תקציב מינהל תפעול 2022'!K60</f>
        <v>201211</v>
      </c>
      <c r="L134" s="4">
        <f>'תקציב מינהל תפעול 2022'!L60</f>
        <v>1119986</v>
      </c>
      <c r="M134" s="4">
        <f>'תקציב מינהל תפעול 2022'!M60</f>
        <v>380014</v>
      </c>
      <c r="N134" s="4">
        <f>'תקציב מינהל תפעול 2022'!N60</f>
        <v>0</v>
      </c>
      <c r="O134" s="4">
        <f>'תקציב מינהל תפעול 2022'!O60</f>
        <v>0</v>
      </c>
      <c r="P134" s="4">
        <f>'תקציב מינהל תפעול 2022'!P60</f>
        <v>380014</v>
      </c>
      <c r="Q134" s="4">
        <f>'תקציב מינהל תפעול 2022'!Q60</f>
        <v>0</v>
      </c>
      <c r="R134" s="4">
        <f>'תקציב מינהל תפעול 2022'!R60</f>
        <v>0</v>
      </c>
      <c r="S134" s="4">
        <f>'תקציב מינהל תפעול 2022'!S60</f>
        <v>0</v>
      </c>
      <c r="T134" s="4">
        <f>'תקציב מינהל תפעול 2022'!T60</f>
        <v>0</v>
      </c>
      <c r="U134" s="4">
        <f>'תקציב מינהל תפעול 2022'!U60</f>
        <v>0</v>
      </c>
      <c r="V134" s="4">
        <f>'תקציב מינהל תפעול 2022'!V60</f>
        <v>0</v>
      </c>
      <c r="W134" s="4">
        <f>'תקציב מינהל תפעול 2022'!W60</f>
        <v>0</v>
      </c>
      <c r="X134" s="4">
        <f>'תקציב מינהל תפעול 2022'!X60</f>
        <v>0</v>
      </c>
      <c r="Y134" s="4">
        <f>'תקציב מינהל תפעול 2022'!Y60</f>
        <v>0</v>
      </c>
      <c r="Z134" s="4">
        <f>'תקציב מינהל תפעול 2022'!Z60</f>
        <v>0</v>
      </c>
      <c r="AA134" s="4">
        <f>'תקציב מינהל תפעול 2022'!AA60</f>
        <v>0</v>
      </c>
      <c r="AB134" s="255" t="str">
        <f>'תקציב מינהל תפעול 2022'!AB60</f>
        <v>עבודות שיפוץ כללי למשרדי האגפים כולל חדר ישיבות.</v>
      </c>
      <c r="AC134" s="3">
        <f>'תקציב מינהל תפעול 2022'!AC60</f>
        <v>930000</v>
      </c>
      <c r="AD134" s="480"/>
      <c r="AE134" s="475"/>
      <c r="AF134" s="475"/>
      <c r="AG134" s="475"/>
      <c r="AH134" s="476"/>
      <c r="AI134" s="482"/>
      <c r="AJ134" s="482"/>
      <c r="AK134" s="364"/>
      <c r="AL134" s="477" t="s">
        <v>1160</v>
      </c>
      <c r="AM134" s="478">
        <v>1</v>
      </c>
      <c r="AN134" s="364"/>
      <c r="AO134" s="364"/>
      <c r="AP134" s="4"/>
      <c r="AQ134" s="4"/>
      <c r="AR134" s="669"/>
      <c r="AS134" s="669"/>
      <c r="AT134" s="4"/>
    </row>
    <row r="135" spans="1:46" s="418" customFormat="1" ht="59.25" customHeight="1">
      <c r="A135" s="3" t="e">
        <f t="shared" si="18"/>
        <v>#REF!</v>
      </c>
      <c r="B135" s="3">
        <f>'תקציב מינהל תפעול 2022'!B64</f>
        <v>2096</v>
      </c>
      <c r="C135" s="255" t="str">
        <f>'תקציב מינהל תפעול 2022'!C64</f>
        <v>הצטיידות לחמ"ל החדש</v>
      </c>
      <c r="D135" s="4">
        <f>'תקציב מינהל תפעול 2022'!D64</f>
        <v>1215000</v>
      </c>
      <c r="E135" s="4">
        <f>'תקציב מינהל תפעול 2022'!E64</f>
        <v>1215000</v>
      </c>
      <c r="F135" s="4">
        <f>'תקציב מינהל תפעול 2022'!F64</f>
        <v>0</v>
      </c>
      <c r="G135" s="4">
        <f>'תקציב מינהל תפעול 2022'!G64</f>
        <v>1215000</v>
      </c>
      <c r="H135" s="4">
        <f>'תקציב מינהל תפעול 2022'!H64</f>
        <v>559349</v>
      </c>
      <c r="I135" s="4">
        <f>'תקציב מינהל תפעול 2022'!I64</f>
        <v>0</v>
      </c>
      <c r="J135" s="4">
        <f>'תקציב מינהל תפעול 2022'!J64</f>
        <v>654072</v>
      </c>
      <c r="K135" s="4">
        <f>'תקציב מינהל תפעול 2022'!K64</f>
        <v>654072</v>
      </c>
      <c r="L135" s="4">
        <f>'תקציב מינהל תפעול 2022'!L64</f>
        <v>1213421</v>
      </c>
      <c r="M135" s="4">
        <f>'תקציב מינהל תפעול 2022'!M64</f>
        <v>1579</v>
      </c>
      <c r="N135" s="4">
        <f>'תקציב מינהל תפעול 2022'!N64</f>
        <v>0</v>
      </c>
      <c r="O135" s="4">
        <f>'תקציב מינהל תפעול 2022'!O64</f>
        <v>0</v>
      </c>
      <c r="P135" s="4">
        <f>'תקציב מינהל תפעול 2022'!P64</f>
        <v>1579</v>
      </c>
      <c r="Q135" s="4">
        <f>'תקציב מינהל תפעול 2022'!Q64</f>
        <v>0</v>
      </c>
      <c r="R135" s="4">
        <f>'תקציב מינהל תפעול 2022'!R64</f>
        <v>0</v>
      </c>
      <c r="S135" s="4">
        <f>'תקציב מינהל תפעול 2022'!S64</f>
        <v>0</v>
      </c>
      <c r="T135" s="4">
        <f>'תקציב מינהל תפעול 2022'!T64</f>
        <v>0</v>
      </c>
      <c r="U135" s="4">
        <f>'תקציב מינהל תפעול 2022'!U64</f>
        <v>0</v>
      </c>
      <c r="V135" s="4">
        <f>'תקציב מינהל תפעול 2022'!V64</f>
        <v>0</v>
      </c>
      <c r="W135" s="4">
        <f>'תקציב מינהל תפעול 2022'!W64</f>
        <v>-167615</v>
      </c>
      <c r="X135" s="4">
        <f>'תקציב מינהל תפעול 2022'!X64</f>
        <v>0</v>
      </c>
      <c r="Y135" s="4">
        <f>'תקציב מינהל תפעול 2022'!Y64</f>
        <v>0</v>
      </c>
      <c r="Z135" s="4">
        <f>'תקציב מינהל תפעול 2022'!Z64</f>
        <v>0</v>
      </c>
      <c r="AA135" s="4">
        <f>'תקציב מינהל תפעול 2022'!AA64</f>
        <v>167615</v>
      </c>
      <c r="AB135" s="255" t="str">
        <f>'תקציב מינהל תפעול 2022'!AB64</f>
        <v>עבודות מיזוג, חשמל, נגרות תקשורת  והצטיידות לחמ"ל האחורי. מימון מ. הפנים.</v>
      </c>
      <c r="AC135" s="3">
        <f>'תקציב מינהל תפעול 2022'!AC64</f>
        <v>930000</v>
      </c>
      <c r="AD135" s="480"/>
      <c r="AE135" s="475"/>
      <c r="AF135" s="475"/>
      <c r="AG135" s="475"/>
      <c r="AH135" s="476"/>
      <c r="AI135" s="482"/>
      <c r="AJ135" s="482"/>
      <c r="AK135" s="364" t="s">
        <v>1328</v>
      </c>
      <c r="AL135" s="477" t="s">
        <v>1160</v>
      </c>
      <c r="AM135" s="478"/>
      <c r="AN135" s="364"/>
      <c r="AO135" s="364" t="s">
        <v>1328</v>
      </c>
      <c r="AP135" s="4"/>
      <c r="AQ135" s="4"/>
      <c r="AR135" s="669"/>
      <c r="AS135" s="669"/>
      <c r="AT135" s="4"/>
    </row>
    <row r="136" spans="1:46" ht="60">
      <c r="A136" s="3" t="e">
        <f t="shared" si="18"/>
        <v>#REF!</v>
      </c>
      <c r="B136" s="3">
        <f>'תקציב מינהל תפעול 2022'!B67</f>
        <v>2133</v>
      </c>
      <c r="C136" s="255" t="str">
        <f>'תקציב מינהל תפעול 2022'!C67</f>
        <v>רכישת רכבים</v>
      </c>
      <c r="D136" s="4">
        <f>'תקציב מינהל תפעול 2022'!D67</f>
        <v>5150000</v>
      </c>
      <c r="E136" s="4">
        <f>'תקציב מינהל תפעול 2022'!E67</f>
        <v>3150000</v>
      </c>
      <c r="F136" s="4">
        <f>'תקציב מינהל תפעול 2022'!F67</f>
        <v>2000000</v>
      </c>
      <c r="G136" s="4">
        <f>'תקציב מינהל תפעול 2022'!G67</f>
        <v>3150000</v>
      </c>
      <c r="H136" s="4">
        <f>'תקציב מינהל תפעול 2022'!H67</f>
        <v>1399843</v>
      </c>
      <c r="I136" s="4">
        <f>'תקציב מינהל תפעול 2022'!I67</f>
        <v>0</v>
      </c>
      <c r="J136" s="4">
        <f>'תקציב מינהל תפעול 2022'!J67</f>
        <v>827984</v>
      </c>
      <c r="K136" s="4">
        <f>'תקציב מינהל תפעול 2022'!K67</f>
        <v>827984</v>
      </c>
      <c r="L136" s="4">
        <f>'תקציב מינהל תפעול 2022'!L67</f>
        <v>2227827</v>
      </c>
      <c r="M136" s="4">
        <f>'תקציב מינהל תפעול 2022'!M67</f>
        <v>922173</v>
      </c>
      <c r="N136" s="4">
        <f>'תקציב מינהל תפעול 2022'!N67</f>
        <v>2000000</v>
      </c>
      <c r="O136" s="4">
        <f>'תקציב מינהל תפעול 2022'!O67</f>
        <v>0</v>
      </c>
      <c r="P136" s="4">
        <f>'תקציב מינהל תפעול 2022'!P67</f>
        <v>922173</v>
      </c>
      <c r="Q136" s="4">
        <f>'תקציב מינהל תפעול 2022'!Q67</f>
        <v>0</v>
      </c>
      <c r="R136" s="4">
        <f>'תקציב מינהל תפעול 2022'!R67</f>
        <v>0</v>
      </c>
      <c r="S136" s="4">
        <f>'תקציב מינהל תפעול 2022'!S67</f>
        <v>0</v>
      </c>
      <c r="T136" s="4">
        <f>'תקציב מינהל תפעול 2022'!T67</f>
        <v>0</v>
      </c>
      <c r="U136" s="4">
        <f>'תקציב מינהל תפעול 2022'!U67</f>
        <v>2000000</v>
      </c>
      <c r="V136" s="4">
        <f>'תקציב מינהל תפעול 2022'!V67</f>
        <v>0</v>
      </c>
      <c r="W136" s="4">
        <f>'תקציב מינהל תפעול 2022'!W67</f>
        <v>2000000</v>
      </c>
      <c r="X136" s="4">
        <f>'תקציב מינהל תפעול 2022'!X67</f>
        <v>0</v>
      </c>
      <c r="Y136" s="4">
        <f>'תקציב מינהל תפעול 2022'!Y67</f>
        <v>0</v>
      </c>
      <c r="Z136" s="4">
        <f>'תקציב מינהל תפעול 2022'!Z67</f>
        <v>0</v>
      </c>
      <c r="AA136" s="4">
        <f>'תקציב מינהל תפעול 2022'!AA67</f>
        <v>0</v>
      </c>
      <c r="AB136" s="255" t="str">
        <f>'תקציב מינהל תפעול 2022'!AB67</f>
        <v>החלפת רכבים קיימים ורכישת תוספת רכבים עפ"י רשימה שתאושר ע"י הנהלת העיר.</v>
      </c>
      <c r="AC136" s="3">
        <f>'תקציב מינהל תפעול 2022'!AC67</f>
        <v>930000</v>
      </c>
      <c r="AD136" s="480"/>
      <c r="AE136" s="482" t="s">
        <v>1333</v>
      </c>
      <c r="AF136" s="475"/>
      <c r="AG136" s="475" t="s">
        <v>1334</v>
      </c>
      <c r="AH136" s="476"/>
      <c r="AI136" s="482" t="s">
        <v>1335</v>
      </c>
      <c r="AJ136" s="490" t="s">
        <v>1336</v>
      </c>
      <c r="AK136" s="272" t="s">
        <v>1337</v>
      </c>
      <c r="AL136" s="477" t="s">
        <v>1160</v>
      </c>
      <c r="AM136" s="478">
        <v>1</v>
      </c>
      <c r="AN136" s="272" t="s">
        <v>1338</v>
      </c>
      <c r="AO136" s="272" t="s">
        <v>1339</v>
      </c>
      <c r="AP136" s="574">
        <v>-2000000</v>
      </c>
      <c r="AQ136" s="4"/>
      <c r="AR136" s="638">
        <v>2000000</v>
      </c>
      <c r="AS136" s="669">
        <f>AR136-N136</f>
        <v>0</v>
      </c>
      <c r="AT136" s="4"/>
    </row>
    <row r="137" spans="1:46" ht="60">
      <c r="A137" s="3" t="e">
        <f t="shared" si="18"/>
        <v>#REF!</v>
      </c>
      <c r="B137" s="3">
        <f>'תקציב מינהל תפעול 2022'!B84</f>
        <v>2184</v>
      </c>
      <c r="C137" s="255" t="str">
        <f>'תקציב מינהל תפעול 2022'!C84</f>
        <v>שיקום חזית מבנה דיור לקשיש</v>
      </c>
      <c r="D137" s="4">
        <f>'תקציב מינהל תפעול 2022'!D84</f>
        <v>2180000</v>
      </c>
      <c r="E137" s="4">
        <f>'תקציב מינהל תפעול 2022'!E84</f>
        <v>2180000</v>
      </c>
      <c r="F137" s="4">
        <f>'תקציב מינהל תפעול 2022'!F84</f>
        <v>0</v>
      </c>
      <c r="G137" s="4">
        <f>'תקציב מינהל תפעול 2022'!G84</f>
        <v>560000</v>
      </c>
      <c r="H137" s="4">
        <f>'תקציב מינהל תפעול 2022'!H84</f>
        <v>38078</v>
      </c>
      <c r="I137" s="4">
        <f>'תקציב מינהל תפעול 2022'!I84</f>
        <v>0</v>
      </c>
      <c r="J137" s="4">
        <f>'תקציב מינהל תפעול 2022'!J84</f>
        <v>5354</v>
      </c>
      <c r="K137" s="4">
        <f>'תקציב מינהל תפעול 2022'!K84</f>
        <v>5354</v>
      </c>
      <c r="L137" s="4">
        <f>'תקציב מינהל תפעול 2022'!L84</f>
        <v>43432</v>
      </c>
      <c r="M137" s="4">
        <f>'תקציב מינהל תפעול 2022'!M84</f>
        <v>516568</v>
      </c>
      <c r="N137" s="4">
        <f>'תקציב מינהל תפעול 2022'!N84</f>
        <v>0</v>
      </c>
      <c r="O137" s="4">
        <f>'תקציב מינהל תפעול 2022'!O84</f>
        <v>1620000</v>
      </c>
      <c r="P137" s="4">
        <f>'תקציב מינהל תפעול 2022'!P84</f>
        <v>516568</v>
      </c>
      <c r="Q137" s="4">
        <f>'תקציב מינהל תפעול 2022'!Q84</f>
        <v>0</v>
      </c>
      <c r="R137" s="4">
        <f>'תקציב מינהל תפעול 2022'!R84</f>
        <v>0</v>
      </c>
      <c r="S137" s="4">
        <f>'תקציב מינהל תפעול 2022'!S84</f>
        <v>0</v>
      </c>
      <c r="T137" s="4">
        <f>'תקציב מינהל תפעול 2022'!T84</f>
        <v>0</v>
      </c>
      <c r="U137" s="4">
        <f>'תקציב מינהל תפעול 2022'!U84</f>
        <v>0</v>
      </c>
      <c r="V137" s="4">
        <f>'תקציב מינהל תפעול 2022'!V84</f>
        <v>0</v>
      </c>
      <c r="W137" s="4">
        <f>'תקציב מינהל תפעול 2022'!W84</f>
        <v>0</v>
      </c>
      <c r="X137" s="4">
        <f>'תקציב מינהל תפעול 2022'!X84</f>
        <v>0</v>
      </c>
      <c r="Y137" s="4">
        <f>'תקציב מינהל תפעול 2022'!Y84</f>
        <v>0</v>
      </c>
      <c r="Z137" s="4">
        <f>'תקציב מינהל תפעול 2022'!Z84</f>
        <v>0</v>
      </c>
      <c r="AA137" s="4">
        <f>'תקציב מינהל תפעול 2022'!AA84</f>
        <v>0</v>
      </c>
      <c r="AB137" s="255" t="str">
        <f>'תקציב מינהל תפעול 2022'!AB84</f>
        <v xml:space="preserve">שיקום חזיתות בנין דיור לקשיש ברח' שמאי. שלב א' חזית דרומית בביצוע. </v>
      </c>
      <c r="AC137" s="3">
        <f>'תקציב מינהל תפעול 2022'!AC84</f>
        <v>930000</v>
      </c>
      <c r="AD137" s="480"/>
      <c r="AE137" s="482" t="s">
        <v>1378</v>
      </c>
      <c r="AF137" s="475"/>
      <c r="AG137" s="475"/>
      <c r="AH137" s="476"/>
      <c r="AI137" s="482" t="s">
        <v>1379</v>
      </c>
      <c r="AJ137" s="490" t="s">
        <v>1380</v>
      </c>
      <c r="AK137" s="364" t="s">
        <v>1381</v>
      </c>
      <c r="AL137" s="477" t="s">
        <v>1160</v>
      </c>
      <c r="AM137" s="478">
        <v>2</v>
      </c>
      <c r="AN137" s="448" t="s">
        <v>1382</v>
      </c>
      <c r="AO137" s="448" t="s">
        <v>1383</v>
      </c>
      <c r="AP137" s="4"/>
      <c r="AQ137" s="4"/>
      <c r="AR137" s="659"/>
      <c r="AS137" s="669"/>
      <c r="AT137" s="4"/>
    </row>
    <row r="138" spans="1:46" ht="45">
      <c r="A138" s="3" t="e">
        <f t="shared" si="18"/>
        <v>#REF!</v>
      </c>
      <c r="B138" s="3">
        <f>'תקציב מינהל תפעול 2022'!B88</f>
        <v>2214</v>
      </c>
      <c r="C138" s="255" t="str">
        <f>'תקציב מינהל תפעול 2022'!C88</f>
        <v>רישוי תחנת הדלק העירונית</v>
      </c>
      <c r="D138" s="4">
        <f>'תקציב מינהל תפעול 2022'!D88</f>
        <v>200000</v>
      </c>
      <c r="E138" s="4">
        <f>'תקציב מינהל תפעול 2022'!E88</f>
        <v>200000</v>
      </c>
      <c r="F138" s="4">
        <f>'תקציב מינהל תפעול 2022'!F88</f>
        <v>0</v>
      </c>
      <c r="G138" s="4">
        <f>'תקציב מינהל תפעול 2022'!G88</f>
        <v>200000</v>
      </c>
      <c r="H138" s="4">
        <f>'תקציב מינהל תפעול 2022'!H88</f>
        <v>26395</v>
      </c>
      <c r="I138" s="4">
        <f>'תקציב מינהל תפעול 2022'!I88</f>
        <v>0</v>
      </c>
      <c r="J138" s="4">
        <f>'תקציב מינהל תפעול 2022'!J88</f>
        <v>33474</v>
      </c>
      <c r="K138" s="4">
        <f>'תקציב מינהל תפעול 2022'!K88</f>
        <v>33474</v>
      </c>
      <c r="L138" s="4">
        <f>'תקציב מינהל תפעול 2022'!L88</f>
        <v>59869</v>
      </c>
      <c r="M138" s="4">
        <f>'תקציב מינהל תפעול 2022'!M88</f>
        <v>140131</v>
      </c>
      <c r="N138" s="4">
        <f>'תקציב מינהל תפעול 2022'!N88</f>
        <v>0</v>
      </c>
      <c r="O138" s="4">
        <f>'תקציב מינהל תפעול 2022'!O88</f>
        <v>0</v>
      </c>
      <c r="P138" s="4">
        <f>'תקציב מינהל תפעול 2022'!P88</f>
        <v>140131</v>
      </c>
      <c r="Q138" s="4">
        <f>'תקציב מינהל תפעול 2022'!Q88</f>
        <v>0</v>
      </c>
      <c r="R138" s="4">
        <f>'תקציב מינהל תפעול 2022'!R88</f>
        <v>0</v>
      </c>
      <c r="S138" s="4">
        <f>'תקציב מינהל תפעול 2022'!S88</f>
        <v>0</v>
      </c>
      <c r="T138" s="4">
        <f>'תקציב מינהל תפעול 2022'!T88</f>
        <v>0</v>
      </c>
      <c r="U138" s="4">
        <f>'תקציב מינהל תפעול 2022'!U88</f>
        <v>0</v>
      </c>
      <c r="V138" s="4">
        <f>'תקציב מינהל תפעול 2022'!V88</f>
        <v>0</v>
      </c>
      <c r="W138" s="4">
        <f>'תקציב מינהל תפעול 2022'!W88</f>
        <v>0</v>
      </c>
      <c r="X138" s="4">
        <f>'תקציב מינהל תפעול 2022'!X88</f>
        <v>0</v>
      </c>
      <c r="Y138" s="4">
        <f>'תקציב מינהל תפעול 2022'!Y88</f>
        <v>0</v>
      </c>
      <c r="Z138" s="4">
        <f>'תקציב מינהל תפעול 2022'!Z88</f>
        <v>0</v>
      </c>
      <c r="AA138" s="4">
        <f>'תקציב מינהל תפעול 2022'!AA88</f>
        <v>0</v>
      </c>
      <c r="AB138" s="255" t="str">
        <f>'תקציב מינהל תפעול 2022'!AB88</f>
        <v>עלויות רישוי/היתר לתחנת הדלק העירונית במתחם אגף תבל.</v>
      </c>
      <c r="AC138" s="3">
        <f>'תקציב מינהל תפעול 2022'!AC88</f>
        <v>930000</v>
      </c>
      <c r="AD138" s="480"/>
      <c r="AE138" s="482" t="s">
        <v>1397</v>
      </c>
      <c r="AF138" s="475"/>
      <c r="AG138" s="475"/>
      <c r="AH138" s="476"/>
      <c r="AI138" s="482" t="s">
        <v>1398</v>
      </c>
      <c r="AJ138" s="490" t="s">
        <v>1398</v>
      </c>
      <c r="AK138" s="272" t="s">
        <v>1399</v>
      </c>
      <c r="AL138" s="477" t="s">
        <v>1160</v>
      </c>
      <c r="AM138" s="478"/>
      <c r="AN138" s="272"/>
      <c r="AO138" s="272" t="s">
        <v>1399</v>
      </c>
      <c r="AP138" s="4"/>
      <c r="AQ138" s="4"/>
      <c r="AR138" s="638"/>
      <c r="AS138" s="669"/>
      <c r="AT138" s="4"/>
    </row>
    <row r="139" spans="1:46" ht="30">
      <c r="A139" s="3" t="e">
        <f t="shared" si="18"/>
        <v>#REF!</v>
      </c>
      <c r="B139" s="3">
        <f>'תקציב מינהל תפעול 2022'!B95</f>
        <v>2229</v>
      </c>
      <c r="C139" s="255" t="str">
        <f>'תקציב מינהל תפעול 2022'!C95</f>
        <v>התקנת תקרות אקוסטיות משרדי רווחה</v>
      </c>
      <c r="D139" s="4">
        <f>'תקציב מינהל תפעול 2022'!D95</f>
        <v>350000</v>
      </c>
      <c r="E139" s="4">
        <f>'תקציב מינהל תפעול 2022'!E95</f>
        <v>350000</v>
      </c>
      <c r="F139" s="4">
        <f>'תקציב מינהל תפעול 2022'!F95</f>
        <v>0</v>
      </c>
      <c r="G139" s="4">
        <f>'תקציב מינהל תפעול 2022'!G95</f>
        <v>350000</v>
      </c>
      <c r="H139" s="4">
        <f>'תקציב מינהל תפעול 2022'!H95</f>
        <v>0</v>
      </c>
      <c r="I139" s="4">
        <f>'תקציב מינהל תפעול 2022'!I95</f>
        <v>0</v>
      </c>
      <c r="J139" s="4">
        <f>'תקציב מינהל תפעול 2022'!J95</f>
        <v>0</v>
      </c>
      <c r="K139" s="4">
        <f>'תקציב מינהל תפעול 2022'!K95</f>
        <v>0</v>
      </c>
      <c r="L139" s="4">
        <f>'תקציב מינהל תפעול 2022'!L95</f>
        <v>0</v>
      </c>
      <c r="M139" s="4">
        <f>'תקציב מינהל תפעול 2022'!M95</f>
        <v>350000</v>
      </c>
      <c r="N139" s="4">
        <f>'תקציב מינהל תפעול 2022'!N95</f>
        <v>0</v>
      </c>
      <c r="O139" s="4">
        <f>'תקציב מינהל תפעול 2022'!O95</f>
        <v>0</v>
      </c>
      <c r="P139" s="4">
        <f>'תקציב מינהל תפעול 2022'!P95</f>
        <v>350000</v>
      </c>
      <c r="Q139" s="4">
        <f>'תקציב מינהל תפעול 2022'!Q95</f>
        <v>0</v>
      </c>
      <c r="R139" s="4">
        <f>'תקציב מינהל תפעול 2022'!R95</f>
        <v>0</v>
      </c>
      <c r="S139" s="4">
        <f>'תקציב מינהל תפעול 2022'!S95</f>
        <v>0</v>
      </c>
      <c r="T139" s="4">
        <f>'תקציב מינהל תפעול 2022'!T95</f>
        <v>0</v>
      </c>
      <c r="U139" s="4">
        <f>'תקציב מינהל תפעול 2022'!U95</f>
        <v>0</v>
      </c>
      <c r="V139" s="4">
        <f>'תקציב מינהל תפעול 2022'!V95</f>
        <v>0</v>
      </c>
      <c r="W139" s="4">
        <f>'תקציב מינהל תפעול 2022'!W95</f>
        <v>0</v>
      </c>
      <c r="X139" s="4">
        <f>'תקציב מינהל תפעול 2022'!X95</f>
        <v>0</v>
      </c>
      <c r="Y139" s="4">
        <f>'תקציב מינהל תפעול 2022'!Y95</f>
        <v>0</v>
      </c>
      <c r="Z139" s="4">
        <f>'תקציב מינהל תפעול 2022'!Z95</f>
        <v>0</v>
      </c>
      <c r="AA139" s="4">
        <f>'תקציב מינהל תפעול 2022'!AA95</f>
        <v>0</v>
      </c>
      <c r="AB139" s="255" t="str">
        <f>'תקציב מינהל תפעול 2022'!AB95</f>
        <v xml:space="preserve"> תקרות אקוסטיות אגף רווחה בן גוריון 14-16,קומה ב'.</v>
      </c>
      <c r="AC139" s="3">
        <f>'תקציב מינהל תפעול 2022'!AC95</f>
        <v>930000</v>
      </c>
      <c r="AD139" s="480"/>
      <c r="AE139" s="482" t="s">
        <v>1406</v>
      </c>
      <c r="AF139" s="475"/>
      <c r="AG139" s="475" t="s">
        <v>1407</v>
      </c>
      <c r="AH139" s="476"/>
      <c r="AI139" s="482" t="s">
        <v>1407</v>
      </c>
      <c r="AJ139" s="482" t="s">
        <v>1407</v>
      </c>
      <c r="AK139" s="364" t="s">
        <v>1407</v>
      </c>
      <c r="AL139" s="477" t="s">
        <v>1160</v>
      </c>
      <c r="AM139" s="478"/>
      <c r="AN139" s="364"/>
      <c r="AO139" s="364" t="s">
        <v>1407</v>
      </c>
      <c r="AP139" s="4"/>
      <c r="AQ139" s="4"/>
      <c r="AR139" s="669"/>
      <c r="AS139" s="669"/>
      <c r="AT139" s="4"/>
    </row>
    <row r="140" spans="1:46" s="414" customFormat="1" ht="25.15" customHeight="1">
      <c r="A140" s="7"/>
      <c r="B140" s="7"/>
      <c r="C140" s="16" t="s">
        <v>809</v>
      </c>
      <c r="D140" s="8">
        <f t="shared" ref="D140:AA140" si="19">SUM(D132:D139)</f>
        <v>15295000</v>
      </c>
      <c r="E140" s="8">
        <f t="shared" si="19"/>
        <v>12895000</v>
      </c>
      <c r="F140" s="8">
        <f t="shared" si="19"/>
        <v>2400000</v>
      </c>
      <c r="G140" s="8">
        <f t="shared" si="19"/>
        <v>10755000</v>
      </c>
      <c r="H140" s="8">
        <f t="shared" si="19"/>
        <v>6247269</v>
      </c>
      <c r="I140" s="8">
        <f t="shared" si="19"/>
        <v>0</v>
      </c>
      <c r="J140" s="8">
        <f t="shared" si="19"/>
        <v>2127440</v>
      </c>
      <c r="K140" s="8">
        <f t="shared" si="19"/>
        <v>2127440</v>
      </c>
      <c r="L140" s="8">
        <f t="shared" si="19"/>
        <v>8374709</v>
      </c>
      <c r="M140" s="8">
        <f t="shared" si="19"/>
        <v>2400291</v>
      </c>
      <c r="N140" s="8">
        <f t="shared" si="19"/>
        <v>2900000</v>
      </c>
      <c r="O140" s="8">
        <f t="shared" si="19"/>
        <v>1620000</v>
      </c>
      <c r="P140" s="8">
        <f t="shared" si="19"/>
        <v>2380291</v>
      </c>
      <c r="Q140" s="8">
        <f t="shared" si="19"/>
        <v>20000</v>
      </c>
      <c r="R140" s="8">
        <f t="shared" si="19"/>
        <v>0</v>
      </c>
      <c r="S140" s="8">
        <f t="shared" si="19"/>
        <v>20000</v>
      </c>
      <c r="T140" s="8">
        <f t="shared" si="19"/>
        <v>0</v>
      </c>
      <c r="U140" s="8">
        <f t="shared" si="19"/>
        <v>2900000</v>
      </c>
      <c r="V140" s="8">
        <f t="shared" si="19"/>
        <v>0</v>
      </c>
      <c r="W140" s="8">
        <f t="shared" si="19"/>
        <v>2732385</v>
      </c>
      <c r="X140" s="8">
        <f t="shared" si="19"/>
        <v>0</v>
      </c>
      <c r="Y140" s="8">
        <f t="shared" si="19"/>
        <v>0</v>
      </c>
      <c r="Z140" s="8">
        <f t="shared" si="19"/>
        <v>0</v>
      </c>
      <c r="AA140" s="8">
        <f t="shared" si="19"/>
        <v>167615</v>
      </c>
      <c r="AB140" s="16"/>
      <c r="AC140" s="7"/>
      <c r="AD140" s="800"/>
      <c r="AE140" s="801"/>
      <c r="AF140" s="801"/>
      <c r="AG140" s="801"/>
      <c r="AH140" s="802"/>
      <c r="AI140" s="801"/>
      <c r="AJ140" s="801"/>
      <c r="AK140" s="805"/>
      <c r="AL140" s="803"/>
      <c r="AM140" s="372"/>
      <c r="AN140" s="805"/>
      <c r="AO140" s="805"/>
      <c r="AP140" s="8"/>
      <c r="AQ140" s="8"/>
      <c r="AR140" s="679"/>
      <c r="AS140" s="679"/>
      <c r="AT140" s="8"/>
    </row>
    <row r="141" spans="1:46" s="764" customFormat="1" ht="25.15" customHeight="1">
      <c r="A141" s="762" t="e">
        <f>A139</f>
        <v>#REF!</v>
      </c>
      <c r="B141" s="762"/>
      <c r="C141" s="777" t="s">
        <v>2321</v>
      </c>
      <c r="D141" s="763">
        <f t="shared" ref="D141:AA141" si="20">D140+D131+D119+D115+D111+D108+D99+D67+D64+D62+D41+D16+D13+D6</f>
        <v>806482978</v>
      </c>
      <c r="E141" s="763">
        <f t="shared" si="20"/>
        <v>702118212</v>
      </c>
      <c r="F141" s="763">
        <f t="shared" si="20"/>
        <v>104364766</v>
      </c>
      <c r="G141" s="763">
        <f t="shared" si="20"/>
        <v>518658778</v>
      </c>
      <c r="H141" s="763">
        <f t="shared" si="20"/>
        <v>421111924</v>
      </c>
      <c r="I141" s="763">
        <f t="shared" si="20"/>
        <v>23248948</v>
      </c>
      <c r="J141" s="763">
        <f t="shared" si="20"/>
        <v>45388313</v>
      </c>
      <c r="K141" s="763">
        <f t="shared" si="20"/>
        <v>68637261</v>
      </c>
      <c r="L141" s="763">
        <f t="shared" si="20"/>
        <v>489749185</v>
      </c>
      <c r="M141" s="763">
        <f t="shared" si="20"/>
        <v>31121559</v>
      </c>
      <c r="N141" s="763">
        <f t="shared" si="20"/>
        <v>84404800</v>
      </c>
      <c r="O141" s="763">
        <f t="shared" si="20"/>
        <v>201207434</v>
      </c>
      <c r="P141" s="763">
        <f t="shared" si="20"/>
        <v>28909593</v>
      </c>
      <c r="Q141" s="763">
        <f t="shared" si="20"/>
        <v>2020000</v>
      </c>
      <c r="R141" s="763">
        <f t="shared" si="20"/>
        <v>300000</v>
      </c>
      <c r="S141" s="763">
        <f t="shared" si="20"/>
        <v>2320000</v>
      </c>
      <c r="T141" s="763">
        <f t="shared" si="20"/>
        <v>108034</v>
      </c>
      <c r="U141" s="763">
        <f t="shared" si="20"/>
        <v>84296766</v>
      </c>
      <c r="V141" s="763">
        <f t="shared" si="20"/>
        <v>22084574</v>
      </c>
      <c r="W141" s="763">
        <f t="shared" si="20"/>
        <v>44644649</v>
      </c>
      <c r="X141" s="763">
        <f t="shared" si="20"/>
        <v>0</v>
      </c>
      <c r="Y141" s="763">
        <f t="shared" si="20"/>
        <v>0</v>
      </c>
      <c r="Z141" s="763">
        <f t="shared" si="20"/>
        <v>0</v>
      </c>
      <c r="AA141" s="763">
        <f t="shared" si="20"/>
        <v>17567543</v>
      </c>
      <c r="AB141" s="777"/>
      <c r="AC141" s="762"/>
      <c r="AD141" s="266"/>
      <c r="AE141" s="266"/>
      <c r="AF141" s="762"/>
      <c r="AG141" s="266"/>
      <c r="AH141" s="305"/>
      <c r="AI141" s="493"/>
      <c r="AJ141" s="493"/>
      <c r="AK141" s="364"/>
      <c r="AL141" s="762"/>
      <c r="AM141" s="436"/>
      <c r="AN141" s="364"/>
      <c r="AO141" s="364"/>
      <c r="AP141" s="763">
        <f>SUM(AP5:AP139)</f>
        <v>-32120000</v>
      </c>
      <c r="AQ141" s="763">
        <f>SUM(AQ5:AQ139)</f>
        <v>-7150000</v>
      </c>
      <c r="AR141" s="763">
        <f>SUM(AR5:AR139)</f>
        <v>30580000</v>
      </c>
      <c r="AS141" s="763">
        <f>SUM(AS5:AS139)</f>
        <v>11700000</v>
      </c>
      <c r="AT141" s="763">
        <f>SUM(AT5:AT139)</f>
        <v>-13050000</v>
      </c>
    </row>
    <row r="142" spans="1:46" s="649" customFormat="1" ht="15" hidden="1">
      <c r="A142" s="645"/>
      <c r="B142" s="273"/>
      <c r="C142" s="778"/>
      <c r="D142" s="646"/>
      <c r="E142" s="274"/>
      <c r="F142" s="274"/>
      <c r="G142" s="274"/>
      <c r="H142" s="274"/>
      <c r="I142" s="274"/>
      <c r="J142" s="274"/>
      <c r="K142" s="274"/>
      <c r="L142" s="274">
        <f>H141+K141</f>
        <v>489749185</v>
      </c>
      <c r="M142" s="274">
        <f>P141+S141-T141</f>
        <v>31121559</v>
      </c>
      <c r="N142" s="274"/>
      <c r="O142" s="274"/>
      <c r="P142" s="274">
        <f>G141-L141</f>
        <v>28909593</v>
      </c>
      <c r="Q142" s="274"/>
      <c r="R142" s="274"/>
      <c r="S142" s="274"/>
      <c r="T142" s="274"/>
      <c r="U142" s="273"/>
      <c r="V142" s="273"/>
      <c r="W142" s="273"/>
      <c r="X142" s="273"/>
      <c r="Y142" s="273"/>
      <c r="Z142" s="273"/>
      <c r="AA142" s="273"/>
      <c r="AB142" s="783"/>
      <c r="AC142" s="273"/>
      <c r="AD142" s="647"/>
      <c r="AE142" s="648"/>
      <c r="AG142" s="647"/>
      <c r="AH142" s="647"/>
      <c r="AI142" s="650"/>
      <c r="AJ142" s="650"/>
      <c r="AK142" s="651"/>
      <c r="AL142" s="652"/>
      <c r="AM142" s="653"/>
      <c r="AN142" s="651"/>
      <c r="AO142" s="651"/>
      <c r="AP142" s="22"/>
      <c r="AQ142" s="22"/>
      <c r="AR142" s="672"/>
      <c r="AT142" s="22"/>
    </row>
    <row r="143" spans="1:46" s="649" customFormat="1" ht="15">
      <c r="A143" s="645"/>
      <c r="B143" s="273"/>
      <c r="C143" s="778"/>
      <c r="D143" s="646"/>
      <c r="E143" s="274"/>
      <c r="F143" s="274"/>
      <c r="G143" s="274"/>
      <c r="H143" s="274"/>
      <c r="I143" s="274"/>
      <c r="J143" s="274"/>
      <c r="K143" s="274"/>
      <c r="L143" s="274"/>
      <c r="M143" s="274"/>
      <c r="N143" s="274"/>
      <c r="O143" s="274"/>
      <c r="P143" s="274"/>
      <c r="Q143" s="274"/>
      <c r="R143" s="274"/>
      <c r="S143" s="274"/>
      <c r="T143" s="274"/>
      <c r="U143" s="274"/>
      <c r="V143" s="273"/>
      <c r="W143" s="273"/>
      <c r="X143" s="273"/>
      <c r="Y143" s="273"/>
      <c r="Z143" s="273"/>
      <c r="AA143" s="273"/>
      <c r="AB143" s="783"/>
      <c r="AC143" s="273"/>
      <c r="AD143" s="647"/>
      <c r="AE143" s="648"/>
      <c r="AG143" s="647"/>
      <c r="AH143" s="647"/>
      <c r="AI143" s="650"/>
      <c r="AJ143" s="650"/>
      <c r="AK143" s="651"/>
      <c r="AL143" s="652"/>
      <c r="AM143" s="653"/>
      <c r="AN143" s="651"/>
      <c r="AO143" s="651"/>
      <c r="AP143" s="22"/>
      <c r="AQ143" s="22"/>
      <c r="AR143" s="672"/>
      <c r="AT143" s="22"/>
    </row>
    <row r="144" spans="1:46" s="649" customFormat="1" ht="15.75">
      <c r="A144" s="645"/>
      <c r="B144" s="273"/>
      <c r="C144" s="779"/>
      <c r="D144" s="274"/>
      <c r="E144" s="274"/>
      <c r="F144" s="274"/>
      <c r="G144" s="274"/>
      <c r="H144" s="274"/>
      <c r="I144" s="274"/>
      <c r="J144" s="274"/>
      <c r="K144" s="274"/>
      <c r="L144" s="274"/>
      <c r="M144" s="274"/>
      <c r="N144" s="274"/>
      <c r="O144" s="274"/>
      <c r="P144" s="274"/>
      <c r="Q144" s="274"/>
      <c r="R144" s="274"/>
      <c r="S144" s="274"/>
      <c r="T144" s="274"/>
      <c r="U144" s="273"/>
      <c r="V144" s="273"/>
      <c r="W144" s="273"/>
      <c r="X144" s="273"/>
      <c r="Y144" s="273"/>
      <c r="Z144" s="273"/>
      <c r="AA144" s="273"/>
      <c r="AB144" s="783"/>
      <c r="AC144" s="273"/>
      <c r="AD144" s="647"/>
      <c r="AE144" s="648"/>
      <c r="AG144" s="647"/>
      <c r="AH144" s="647"/>
      <c r="AI144" s="650"/>
      <c r="AJ144" s="650"/>
      <c r="AK144" s="651"/>
      <c r="AL144" s="652"/>
      <c r="AM144" s="655"/>
      <c r="AN144" s="651"/>
      <c r="AO144" s="651"/>
      <c r="AP144" s="22"/>
      <c r="AQ144" s="22"/>
      <c r="AR144" s="672"/>
      <c r="AT144" s="22"/>
    </row>
    <row r="146" spans="3:46">
      <c r="N146" s="194"/>
      <c r="O146" s="194"/>
      <c r="P146" s="194"/>
      <c r="Q146" s="194"/>
      <c r="R146" s="194"/>
      <c r="S146" s="194"/>
      <c r="T146" s="194"/>
      <c r="U146" s="194"/>
      <c r="V146" s="194"/>
    </row>
    <row r="147" spans="3:46">
      <c r="N147" s="194"/>
      <c r="O147" s="194"/>
      <c r="P147" s="194"/>
      <c r="Q147" s="194"/>
      <c r="R147" s="194"/>
      <c r="S147" s="194"/>
      <c r="T147" s="194"/>
      <c r="U147" s="194"/>
      <c r="V147" s="194"/>
    </row>
    <row r="148" spans="3:46">
      <c r="N148" s="194"/>
      <c r="O148" s="194"/>
      <c r="P148" s="194"/>
      <c r="Q148" s="194"/>
      <c r="R148" s="194"/>
      <c r="S148" s="194"/>
      <c r="T148" s="194"/>
      <c r="U148" s="194"/>
      <c r="V148" s="194"/>
    </row>
    <row r="149" spans="3:46">
      <c r="N149" s="194"/>
      <c r="O149" s="194"/>
      <c r="P149" s="194"/>
      <c r="Q149" s="194"/>
      <c r="R149" s="194"/>
      <c r="S149" s="194"/>
      <c r="T149" s="194"/>
      <c r="U149" s="194"/>
      <c r="V149" s="194"/>
    </row>
    <row r="150" spans="3:46">
      <c r="N150" s="194"/>
      <c r="O150" s="194"/>
      <c r="P150" s="194"/>
      <c r="Q150" s="194"/>
      <c r="R150" s="194"/>
      <c r="S150" s="194"/>
      <c r="T150" s="194"/>
      <c r="U150" s="194"/>
      <c r="V150" s="194"/>
    </row>
    <row r="151" spans="3:46">
      <c r="N151" s="194"/>
      <c r="O151" s="194"/>
      <c r="P151" s="194"/>
      <c r="Q151" s="194"/>
      <c r="R151" s="194"/>
      <c r="S151" s="194"/>
      <c r="T151" s="194"/>
      <c r="U151" s="194"/>
      <c r="V151" s="194"/>
    </row>
    <row r="152" spans="3:46">
      <c r="N152" s="194"/>
      <c r="O152" s="194"/>
      <c r="P152" s="194"/>
      <c r="Q152" s="194"/>
      <c r="R152" s="194"/>
      <c r="S152" s="194"/>
      <c r="T152" s="194"/>
      <c r="U152" s="194"/>
      <c r="V152" s="194"/>
    </row>
    <row r="153" spans="3:46">
      <c r="N153" s="194"/>
      <c r="O153" s="194"/>
      <c r="P153" s="194"/>
      <c r="Q153" s="194"/>
      <c r="R153" s="194"/>
      <c r="S153" s="194"/>
      <c r="T153" s="194"/>
      <c r="U153" s="194"/>
      <c r="V153" s="194"/>
    </row>
    <row r="154" spans="3:46">
      <c r="N154" s="194"/>
      <c r="O154" s="194"/>
      <c r="P154" s="194"/>
      <c r="Q154" s="194"/>
      <c r="R154" s="194"/>
      <c r="S154" s="194"/>
      <c r="T154" s="194"/>
      <c r="U154" s="194"/>
      <c r="V154" s="194"/>
    </row>
    <row r="155" spans="3:46">
      <c r="N155" s="194"/>
      <c r="O155" s="194"/>
      <c r="P155" s="194"/>
      <c r="Q155" s="194"/>
      <c r="R155" s="194"/>
      <c r="S155" s="194"/>
      <c r="T155" s="194"/>
      <c r="U155" s="194"/>
      <c r="V155" s="194"/>
    </row>
    <row r="156" spans="3:46">
      <c r="N156" s="194"/>
      <c r="O156" s="194"/>
      <c r="P156" s="194"/>
      <c r="Q156" s="194"/>
      <c r="R156" s="194"/>
      <c r="S156" s="194"/>
      <c r="T156" s="194"/>
      <c r="U156" s="194"/>
      <c r="V156" s="194"/>
    </row>
    <row r="157" spans="3:46">
      <c r="N157" s="194"/>
      <c r="O157" s="194"/>
      <c r="P157" s="194"/>
      <c r="Q157" s="194"/>
      <c r="R157" s="194"/>
      <c r="S157" s="194"/>
      <c r="T157" s="194"/>
      <c r="U157" s="194"/>
      <c r="V157" s="194"/>
    </row>
    <row r="158" spans="3:46" s="461" customFormat="1">
      <c r="C158" s="780"/>
      <c r="N158" s="194"/>
      <c r="O158" s="194"/>
      <c r="P158" s="194"/>
      <c r="Q158" s="194"/>
      <c r="R158" s="194"/>
      <c r="S158" s="194"/>
      <c r="T158" s="194"/>
      <c r="U158" s="194"/>
      <c r="V158" s="194"/>
      <c r="AB158" s="781"/>
      <c r="AC158" s="194"/>
      <c r="AD158" s="462"/>
      <c r="AE158" s="463"/>
      <c r="AF158" s="194"/>
      <c r="AG158" s="462"/>
      <c r="AH158" s="462"/>
      <c r="AI158" s="464"/>
      <c r="AJ158" s="464"/>
      <c r="AK158" s="464"/>
      <c r="AL158" s="516"/>
      <c r="AN158" s="464"/>
      <c r="AO158" s="464"/>
      <c r="AP158" s="194"/>
      <c r="AQ158" s="194"/>
      <c r="AR158" s="667"/>
      <c r="AS158" s="194"/>
      <c r="AT158" s="194"/>
    </row>
    <row r="159" spans="3:46" s="461" customFormat="1">
      <c r="C159" s="780"/>
      <c r="N159" s="194"/>
      <c r="O159" s="194"/>
      <c r="P159" s="194"/>
      <c r="Q159" s="194"/>
      <c r="R159" s="194"/>
      <c r="S159" s="194"/>
      <c r="T159" s="194"/>
      <c r="U159" s="194"/>
      <c r="V159" s="194"/>
      <c r="AB159" s="781"/>
      <c r="AC159" s="194"/>
      <c r="AD159" s="462"/>
      <c r="AE159" s="463"/>
      <c r="AF159" s="194"/>
      <c r="AG159" s="462"/>
      <c r="AH159" s="462"/>
      <c r="AI159" s="464"/>
      <c r="AJ159" s="464"/>
      <c r="AK159" s="464"/>
      <c r="AL159" s="516"/>
      <c r="AN159" s="464"/>
      <c r="AO159" s="464"/>
      <c r="AP159" s="194"/>
      <c r="AQ159" s="194"/>
      <c r="AR159" s="667"/>
      <c r="AS159" s="194"/>
      <c r="AT159" s="194"/>
    </row>
  </sheetData>
  <sortState ref="A65:AT133">
    <sortCondition ref="AC65:AC133"/>
  </sortState>
  <conditionalFormatting sqref="AB4:AB10 AC5:AC10 AB12:AC140">
    <cfRule type="cellIs" dxfId="155" priority="9" operator="equal">
      <formula>0</formula>
    </cfRule>
  </conditionalFormatting>
  <conditionalFormatting sqref="AE4:AF6">
    <cfRule type="cellIs" dxfId="154" priority="8" operator="equal">
      <formula>0</formula>
    </cfRule>
  </conditionalFormatting>
  <conditionalFormatting sqref="AG4">
    <cfRule type="cellIs" dxfId="153" priority="7" operator="equal">
      <formula>0</formula>
    </cfRule>
  </conditionalFormatting>
  <conditionalFormatting sqref="AI4">
    <cfRule type="cellIs" dxfId="152" priority="6" operator="equal">
      <formula>0</formula>
    </cfRule>
  </conditionalFormatting>
  <conditionalFormatting sqref="AJ4">
    <cfRule type="cellIs" dxfId="151" priority="5" operator="equal">
      <formula>0</formula>
    </cfRule>
  </conditionalFormatting>
  <conditionalFormatting sqref="AK4">
    <cfRule type="cellIs" dxfId="150" priority="4" operator="equal">
      <formula>0</formula>
    </cfRule>
  </conditionalFormatting>
  <conditionalFormatting sqref="AN4">
    <cfRule type="cellIs" dxfId="149" priority="3" operator="equal">
      <formula>0</formula>
    </cfRule>
  </conditionalFormatting>
  <conditionalFormatting sqref="U4">
    <cfRule type="cellIs" dxfId="148" priority="2" operator="equal">
      <formula>0</formula>
    </cfRule>
  </conditionalFormatting>
  <conditionalFormatting sqref="AO4">
    <cfRule type="cellIs" dxfId="147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3:Q26"/>
  <sheetViews>
    <sheetView showZeros="0" rightToLeft="1" workbookViewId="0">
      <selection activeCell="C55" sqref="C55"/>
    </sheetView>
  </sheetViews>
  <sheetFormatPr defaultColWidth="9.140625" defaultRowHeight="14.25"/>
  <cols>
    <col min="1" max="3" width="4.140625" style="213" customWidth="1"/>
    <col min="4" max="4" width="34.85546875" style="213" customWidth="1"/>
    <col min="5" max="5" width="30.42578125" style="213" customWidth="1"/>
    <col min="6" max="6" width="10.85546875" style="213" customWidth="1"/>
    <col min="7" max="7" width="5.5703125" style="213" customWidth="1"/>
    <col min="8" max="9" width="12.140625" style="213" customWidth="1"/>
    <col min="10" max="10" width="7.85546875" style="213" customWidth="1"/>
    <col min="11" max="16384" width="9.140625" style="213"/>
  </cols>
  <sheetData>
    <row r="3" spans="1:17" ht="20.25">
      <c r="A3" s="212"/>
      <c r="C3" s="214" t="s">
        <v>284</v>
      </c>
      <c r="D3" s="212"/>
      <c r="E3" s="212"/>
      <c r="F3" s="212"/>
      <c r="G3" s="212"/>
      <c r="H3" s="212"/>
      <c r="I3" s="212"/>
      <c r="J3" s="212"/>
      <c r="K3" s="212"/>
      <c r="L3" s="212"/>
    </row>
    <row r="4" spans="1:17" ht="21" thickBot="1">
      <c r="A4" s="212"/>
      <c r="C4" s="214"/>
      <c r="D4" s="212"/>
      <c r="E4" s="212"/>
      <c r="F4" s="212"/>
      <c r="G4" s="212"/>
      <c r="H4" s="212"/>
      <c r="I4" s="212"/>
      <c r="J4" s="212"/>
      <c r="K4" s="212"/>
      <c r="L4" s="212"/>
    </row>
    <row r="5" spans="1:17" ht="16.5" thickBot="1">
      <c r="A5" s="212"/>
      <c r="B5" s="215" t="s">
        <v>160</v>
      </c>
      <c r="C5" s="212" t="s">
        <v>2389</v>
      </c>
      <c r="D5" s="212"/>
      <c r="E5" s="212"/>
      <c r="F5" s="216">
        <f>'תקציב אגף חינוך 2022'!U28</f>
        <v>6216000</v>
      </c>
      <c r="I5" s="212"/>
      <c r="J5" s="212"/>
      <c r="K5" s="212"/>
      <c r="L5" s="212"/>
    </row>
    <row r="6" spans="1:17" ht="21" thickBot="1">
      <c r="A6" s="212"/>
      <c r="C6" s="214"/>
      <c r="D6" s="212"/>
      <c r="E6" s="212"/>
      <c r="F6" s="212"/>
      <c r="H6" s="212"/>
      <c r="I6" s="212"/>
      <c r="J6" s="212"/>
      <c r="K6" s="212"/>
      <c r="L6" s="212"/>
    </row>
    <row r="7" spans="1:17" ht="16.5" thickBot="1">
      <c r="B7" s="215" t="s">
        <v>160</v>
      </c>
      <c r="C7" s="212" t="s">
        <v>283</v>
      </c>
      <c r="D7" s="212"/>
      <c r="F7" s="216">
        <f>'תקציב אגף חינוך 2022'!A28</f>
        <v>23</v>
      </c>
      <c r="I7" s="212"/>
      <c r="J7" s="212"/>
      <c r="K7" s="212"/>
      <c r="L7" s="212"/>
      <c r="M7" s="212"/>
      <c r="N7" s="212"/>
      <c r="O7" s="212"/>
      <c r="P7" s="212"/>
      <c r="Q7" s="212"/>
    </row>
    <row r="8" spans="1:17" ht="15.75">
      <c r="B8" s="215"/>
      <c r="C8" s="212"/>
      <c r="D8" s="212"/>
      <c r="E8" s="212"/>
      <c r="F8" s="212"/>
      <c r="H8" s="212"/>
      <c r="I8" s="212"/>
      <c r="J8" s="212"/>
      <c r="K8" s="212"/>
      <c r="L8" s="212"/>
      <c r="M8" s="212"/>
      <c r="N8" s="212"/>
      <c r="O8" s="212"/>
      <c r="P8" s="212"/>
      <c r="Q8" s="212"/>
    </row>
    <row r="9" spans="1:17" ht="15.75">
      <c r="B9" s="215" t="s">
        <v>160</v>
      </c>
      <c r="C9" s="212" t="s">
        <v>273</v>
      </c>
      <c r="D9" s="212"/>
      <c r="E9" s="212"/>
      <c r="F9" s="212"/>
      <c r="G9" s="212"/>
      <c r="H9" s="212"/>
      <c r="I9" s="212"/>
      <c r="J9" s="212"/>
      <c r="K9" s="212"/>
      <c r="L9" s="212"/>
    </row>
    <row r="10" spans="1:17" ht="16.5" thickBot="1"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</row>
    <row r="11" spans="1:17" ht="15.75">
      <c r="D11" s="225" t="s">
        <v>274</v>
      </c>
      <c r="E11" s="226" t="s">
        <v>275</v>
      </c>
      <c r="F11" s="227" t="s">
        <v>277</v>
      </c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</row>
    <row r="12" spans="1:17" ht="15.75">
      <c r="C12" s="215"/>
      <c r="D12" s="219" t="s">
        <v>14</v>
      </c>
      <c r="E12" s="228">
        <f>'תקציב אגף חינוך 2022'!W28</f>
        <v>4590100</v>
      </c>
      <c r="F12" s="236">
        <f>E12/$E$14</f>
        <v>0.73843307593307594</v>
      </c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</row>
    <row r="13" spans="1:17" ht="15.75">
      <c r="C13" s="215"/>
      <c r="D13" s="219" t="s">
        <v>84</v>
      </c>
      <c r="E13" s="228">
        <f>'תקציב אגף חינוך 2022'!AA28</f>
        <v>1625900</v>
      </c>
      <c r="F13" s="236">
        <f>E13/$E$14</f>
        <v>0.26156692406692406</v>
      </c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</row>
    <row r="14" spans="1:17" ht="16.5" thickBot="1">
      <c r="C14" s="215"/>
      <c r="D14" s="222" t="s">
        <v>94</v>
      </c>
      <c r="E14" s="303">
        <f>SUM(E12:E13)</f>
        <v>6216000</v>
      </c>
      <c r="F14" s="304">
        <f>SUM(F12:F13)</f>
        <v>1</v>
      </c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</row>
    <row r="15" spans="1:17" ht="15.75">
      <c r="C15" s="215"/>
      <c r="D15" s="218"/>
      <c r="E15" s="244"/>
      <c r="F15" s="245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</row>
    <row r="16" spans="1:17" ht="15.75">
      <c r="B16" s="215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</row>
    <row r="17" spans="1:17" ht="15.75">
      <c r="B17" s="215"/>
      <c r="C17" s="212"/>
      <c r="D17" s="212"/>
      <c r="F17" s="212"/>
      <c r="H17" s="221"/>
      <c r="I17" s="212"/>
      <c r="J17" s="212"/>
      <c r="K17" s="212"/>
      <c r="L17" s="212"/>
      <c r="M17" s="212"/>
      <c r="N17" s="212"/>
      <c r="O17" s="212"/>
      <c r="P17" s="212"/>
      <c r="Q17" s="212"/>
    </row>
    <row r="18" spans="1:17" ht="15.75">
      <c r="B18" s="215" t="s">
        <v>160</v>
      </c>
      <c r="C18" s="212" t="s">
        <v>885</v>
      </c>
      <c r="D18" s="212"/>
      <c r="F18" s="212"/>
      <c r="H18" s="221"/>
      <c r="I18" s="212"/>
      <c r="J18" s="212"/>
      <c r="K18" s="212"/>
      <c r="L18" s="212"/>
      <c r="M18" s="212"/>
      <c r="N18" s="212"/>
      <c r="O18" s="212"/>
      <c r="P18" s="212"/>
      <c r="Q18" s="212"/>
    </row>
    <row r="19" spans="1:17" ht="15.75">
      <c r="B19" s="215"/>
      <c r="C19" s="212" t="s">
        <v>2397</v>
      </c>
      <c r="D19" s="212"/>
      <c r="F19" s="212"/>
      <c r="H19" s="221"/>
      <c r="I19" s="212"/>
      <c r="J19" s="212"/>
      <c r="K19" s="212"/>
      <c r="L19" s="212"/>
      <c r="M19" s="212"/>
      <c r="N19" s="212"/>
      <c r="O19" s="212"/>
      <c r="P19" s="212"/>
      <c r="Q19" s="212"/>
    </row>
    <row r="20" spans="1:17" ht="15.75">
      <c r="B20" s="215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</row>
    <row r="21" spans="1:17" s="295" customFormat="1" ht="15.75">
      <c r="C21" s="297"/>
      <c r="D21" s="294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</row>
    <row r="22" spans="1:17" s="295" customFormat="1" ht="15.75">
      <c r="C22" s="297" t="s">
        <v>160</v>
      </c>
      <c r="D22" s="294" t="s">
        <v>797</v>
      </c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</row>
    <row r="23" spans="1:17" s="295" customFormat="1" ht="15.75">
      <c r="C23" s="297"/>
      <c r="D23" s="294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</row>
    <row r="24" spans="1:17" s="295" customFormat="1" ht="15.75">
      <c r="A24" s="294"/>
      <c r="B24" s="294"/>
      <c r="C24" s="294"/>
      <c r="D24" s="360" t="s">
        <v>2459</v>
      </c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</row>
    <row r="25" spans="1:17" s="295" customFormat="1" ht="15.75">
      <c r="A25" s="294"/>
      <c r="B25" s="294"/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</row>
    <row r="26" spans="1:17" s="295" customFormat="1" ht="15.75">
      <c r="A26" s="294"/>
      <c r="B26" s="294"/>
      <c r="C26" s="294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K40"/>
  <sheetViews>
    <sheetView showZeros="0" rightToLeft="1" zoomScaleNormal="100" workbookViewId="0">
      <pane xSplit="3" ySplit="4" topLeftCell="D17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8.28515625" defaultRowHeight="15"/>
  <cols>
    <col min="1" max="1" width="3.28515625" style="345" customWidth="1"/>
    <col min="2" max="2" width="5.42578125" style="345" customWidth="1"/>
    <col min="3" max="3" width="20.28515625" style="346" customWidth="1"/>
    <col min="4" max="6" width="9.7109375" style="347" customWidth="1"/>
    <col min="7" max="7" width="10.7109375" style="347" hidden="1" customWidth="1"/>
    <col min="8" max="8" width="11.28515625" style="347" hidden="1" customWidth="1"/>
    <col min="9" max="11" width="9.42578125" style="347" hidden="1" customWidth="1"/>
    <col min="12" max="15" width="9.7109375" style="347" customWidth="1"/>
    <col min="16" max="19" width="14" style="347" hidden="1" customWidth="1"/>
    <col min="20" max="20" width="9.7109375" style="347" customWidth="1"/>
    <col min="21" max="21" width="9.7109375" style="345" customWidth="1"/>
    <col min="22" max="22" width="9.42578125" style="345" hidden="1" customWidth="1"/>
    <col min="23" max="23" width="9.7109375" style="345" customWidth="1"/>
    <col min="24" max="26" width="14" style="345" hidden="1" customWidth="1"/>
    <col min="27" max="27" width="9.7109375" style="345" customWidth="1"/>
    <col min="28" max="28" width="33.7109375" style="346" customWidth="1"/>
    <col min="29" max="29" width="7.28515625" style="345" hidden="1" customWidth="1"/>
    <col min="30" max="30" width="22.85546875" style="343" customWidth="1"/>
    <col min="31" max="32" width="23.5703125" style="343" customWidth="1"/>
    <col min="33" max="34" width="18" style="343" customWidth="1"/>
    <col min="35" max="35" width="23.5703125" style="343" customWidth="1"/>
    <col min="36" max="36" width="12.85546875" style="343" customWidth="1"/>
    <col min="37" max="37" width="18" style="343" customWidth="1"/>
    <col min="38" max="38" width="12.28515625" style="345" customWidth="1"/>
    <col min="39" max="16384" width="8.28515625" style="345"/>
  </cols>
  <sheetData>
    <row r="1" spans="1:37" s="533" customFormat="1" ht="13.15" customHeight="1">
      <c r="A1" s="526"/>
      <c r="B1" s="526"/>
      <c r="C1" s="527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8"/>
      <c r="Y1" s="528"/>
      <c r="Z1" s="528"/>
      <c r="AA1" s="529"/>
      <c r="AB1" s="530"/>
      <c r="AC1" s="529"/>
      <c r="AD1" s="343"/>
      <c r="AE1" s="343"/>
      <c r="AF1" s="343"/>
      <c r="AG1" s="343"/>
      <c r="AH1" s="343"/>
      <c r="AI1" s="343"/>
      <c r="AJ1" s="343"/>
      <c r="AK1" s="343"/>
    </row>
    <row r="2" spans="1:37" s="533" customFormat="1" ht="18.75">
      <c r="A2" s="526" t="s">
        <v>284</v>
      </c>
      <c r="B2" s="526"/>
      <c r="C2" s="527"/>
      <c r="D2" s="526"/>
      <c r="E2" s="534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32"/>
      <c r="Y2" s="532"/>
      <c r="Z2" s="532"/>
      <c r="AA2" s="532"/>
      <c r="AB2" s="532"/>
      <c r="AC2" s="532"/>
      <c r="AD2" s="343"/>
      <c r="AE2" s="343"/>
      <c r="AF2" s="343"/>
      <c r="AG2" s="343"/>
      <c r="AH2" s="343"/>
      <c r="AI2" s="343"/>
      <c r="AJ2" s="343"/>
      <c r="AK2" s="343"/>
    </row>
    <row r="3" spans="1:37" ht="20.45" customHeight="1"/>
    <row r="4" spans="1:37" s="343" customFormat="1" ht="86.25" customHeight="1">
      <c r="A4" s="151" t="s">
        <v>0</v>
      </c>
      <c r="B4" s="342" t="s">
        <v>1</v>
      </c>
      <c r="C4" s="342" t="s">
        <v>2</v>
      </c>
      <c r="D4" s="342" t="s">
        <v>3</v>
      </c>
      <c r="E4" s="342" t="s">
        <v>4</v>
      </c>
      <c r="F4" s="342" t="s">
        <v>5</v>
      </c>
      <c r="G4" s="342" t="s">
        <v>6</v>
      </c>
      <c r="H4" s="342" t="s">
        <v>7</v>
      </c>
      <c r="I4" s="342" t="s">
        <v>9</v>
      </c>
      <c r="J4" s="342" t="s">
        <v>153</v>
      </c>
      <c r="K4" s="342" t="s">
        <v>10</v>
      </c>
      <c r="L4" s="342" t="s">
        <v>11</v>
      </c>
      <c r="M4" s="2" t="s">
        <v>891</v>
      </c>
      <c r="N4" s="2" t="s">
        <v>892</v>
      </c>
      <c r="O4" s="2" t="s">
        <v>893</v>
      </c>
      <c r="P4" s="2" t="s">
        <v>12</v>
      </c>
      <c r="Q4" s="2" t="s">
        <v>894</v>
      </c>
      <c r="R4" s="2" t="s">
        <v>895</v>
      </c>
      <c r="S4" s="2" t="s">
        <v>896</v>
      </c>
      <c r="T4" s="2" t="s">
        <v>897</v>
      </c>
      <c r="U4" s="2" t="s">
        <v>898</v>
      </c>
      <c r="V4" s="342" t="s">
        <v>13</v>
      </c>
      <c r="W4" s="342" t="s">
        <v>14</v>
      </c>
      <c r="X4" s="342" t="s">
        <v>15</v>
      </c>
      <c r="Y4" s="342" t="s">
        <v>265</v>
      </c>
      <c r="Z4" s="342" t="s">
        <v>749</v>
      </c>
      <c r="AA4" s="342" t="s">
        <v>84</v>
      </c>
      <c r="AB4" s="535" t="s">
        <v>304</v>
      </c>
      <c r="AC4" s="342" t="s">
        <v>16</v>
      </c>
    </row>
    <row r="5" spans="1:37" s="341" customFormat="1" ht="75">
      <c r="A5" s="338">
        <v>1</v>
      </c>
      <c r="B5" s="338">
        <v>1776</v>
      </c>
      <c r="C5" s="338" t="s">
        <v>55</v>
      </c>
      <c r="D5" s="339">
        <f>2710000-245000</f>
        <v>2465000</v>
      </c>
      <c r="E5" s="339">
        <v>2100000</v>
      </c>
      <c r="F5" s="339">
        <f t="shared" ref="F5:F27" si="0">D5-E5</f>
        <v>365000</v>
      </c>
      <c r="G5" s="339">
        <v>1555000</v>
      </c>
      <c r="H5" s="339">
        <v>1165623</v>
      </c>
      <c r="I5" s="339"/>
      <c r="J5" s="339">
        <v>248387</v>
      </c>
      <c r="K5" s="339">
        <f t="shared" ref="K5:K23" si="1">I5+J5</f>
        <v>248387</v>
      </c>
      <c r="L5" s="339">
        <f t="shared" ref="L5:L26" si="2">H5+K5</f>
        <v>1414010</v>
      </c>
      <c r="M5" s="339">
        <f>P5+S5</f>
        <v>440990</v>
      </c>
      <c r="N5" s="339">
        <f>610000-100000</f>
        <v>510000</v>
      </c>
      <c r="O5" s="339">
        <f t="shared" ref="O5:O23" si="3">D5-M5-N5-L5</f>
        <v>100000</v>
      </c>
      <c r="P5" s="339">
        <f t="shared" ref="P5:P26" si="4">G5-L5</f>
        <v>140990</v>
      </c>
      <c r="Q5" s="339">
        <v>300000</v>
      </c>
      <c r="R5" s="339"/>
      <c r="S5" s="339">
        <f t="shared" ref="S5:S26" si="5">SUM(Q5:R5)</f>
        <v>300000</v>
      </c>
      <c r="T5" s="339">
        <f t="shared" ref="T5:T26" si="6">P5-M5+S5</f>
        <v>0</v>
      </c>
      <c r="U5" s="339">
        <f t="shared" ref="U5:U26" si="7">N5-T5</f>
        <v>510000</v>
      </c>
      <c r="V5" s="339"/>
      <c r="W5" s="339">
        <f t="shared" ref="W5:W23" si="8">U5-V5-Z5-AA5</f>
        <v>510000</v>
      </c>
      <c r="X5" s="339"/>
      <c r="Y5" s="339"/>
      <c r="Z5" s="339"/>
      <c r="AA5" s="340"/>
      <c r="AB5" s="344" t="s">
        <v>757</v>
      </c>
      <c r="AC5" s="338">
        <v>810000</v>
      </c>
      <c r="AD5" s="343"/>
      <c r="AE5" s="343"/>
      <c r="AF5" s="343"/>
      <c r="AG5" s="343"/>
      <c r="AH5" s="343"/>
      <c r="AI5" s="343"/>
      <c r="AJ5" s="343"/>
      <c r="AK5" s="343"/>
    </row>
    <row r="6" spans="1:37" s="341" customFormat="1" ht="30" customHeight="1">
      <c r="A6" s="338">
        <f t="shared" ref="A6:A27" si="9">A5+1</f>
        <v>2</v>
      </c>
      <c r="B6" s="337">
        <v>1930</v>
      </c>
      <c r="C6" s="338" t="s">
        <v>127</v>
      </c>
      <c r="D6" s="339">
        <f>3106000-576000-854000</f>
        <v>1676000</v>
      </c>
      <c r="E6" s="339">
        <v>2530000</v>
      </c>
      <c r="F6" s="339">
        <f t="shared" si="0"/>
        <v>-854000</v>
      </c>
      <c r="G6" s="339">
        <f>1580000+16000</f>
        <v>1596000</v>
      </c>
      <c r="H6" s="339">
        <v>1093753</v>
      </c>
      <c r="I6" s="339">
        <v>0</v>
      </c>
      <c r="J6" s="339">
        <v>476554</v>
      </c>
      <c r="K6" s="339">
        <f t="shared" si="1"/>
        <v>476554</v>
      </c>
      <c r="L6" s="339">
        <f t="shared" si="2"/>
        <v>1570307</v>
      </c>
      <c r="M6" s="339">
        <f>P6+S6</f>
        <v>105693</v>
      </c>
      <c r="N6" s="339">
        <f>576000-100000-476000</f>
        <v>0</v>
      </c>
      <c r="O6" s="339">
        <f t="shared" si="3"/>
        <v>0</v>
      </c>
      <c r="P6" s="339">
        <f t="shared" si="4"/>
        <v>25693</v>
      </c>
      <c r="Q6" s="339"/>
      <c r="R6" s="339">
        <v>80000</v>
      </c>
      <c r="S6" s="339">
        <f t="shared" si="5"/>
        <v>80000</v>
      </c>
      <c r="T6" s="339">
        <f t="shared" si="6"/>
        <v>0</v>
      </c>
      <c r="U6" s="339">
        <f t="shared" si="7"/>
        <v>0</v>
      </c>
      <c r="V6" s="339"/>
      <c r="W6" s="339">
        <f t="shared" si="8"/>
        <v>0</v>
      </c>
      <c r="X6" s="339"/>
      <c r="Y6" s="339"/>
      <c r="Z6" s="339"/>
      <c r="AA6" s="339"/>
      <c r="AB6" s="338" t="s">
        <v>2366</v>
      </c>
      <c r="AC6" s="338">
        <v>810000</v>
      </c>
      <c r="AD6" s="343"/>
      <c r="AE6" s="343"/>
      <c r="AF6" s="343"/>
      <c r="AG6" s="343"/>
      <c r="AH6" s="343"/>
      <c r="AI6" s="343"/>
      <c r="AJ6" s="343"/>
      <c r="AK6" s="343"/>
    </row>
    <row r="7" spans="1:37" s="341" customFormat="1" ht="30" customHeight="1">
      <c r="A7" s="338">
        <f t="shared" si="9"/>
        <v>3</v>
      </c>
      <c r="B7" s="337">
        <v>1977</v>
      </c>
      <c r="C7" s="338" t="s">
        <v>141</v>
      </c>
      <c r="D7" s="339">
        <v>44100</v>
      </c>
      <c r="E7" s="339">
        <v>44100</v>
      </c>
      <c r="F7" s="339">
        <f t="shared" si="0"/>
        <v>0</v>
      </c>
      <c r="G7" s="339">
        <v>44100</v>
      </c>
      <c r="H7" s="339">
        <v>43807</v>
      </c>
      <c r="I7" s="339">
        <v>0</v>
      </c>
      <c r="J7" s="339">
        <v>0</v>
      </c>
      <c r="K7" s="339">
        <f t="shared" si="1"/>
        <v>0</v>
      </c>
      <c r="L7" s="339">
        <f t="shared" si="2"/>
        <v>43807</v>
      </c>
      <c r="M7" s="339">
        <f>P7+S7</f>
        <v>293</v>
      </c>
      <c r="N7" s="339"/>
      <c r="O7" s="339">
        <f t="shared" si="3"/>
        <v>0</v>
      </c>
      <c r="P7" s="339">
        <f t="shared" si="4"/>
        <v>293</v>
      </c>
      <c r="Q7" s="339"/>
      <c r="R7" s="339"/>
      <c r="S7" s="339">
        <f t="shared" si="5"/>
        <v>0</v>
      </c>
      <c r="T7" s="339">
        <f t="shared" si="6"/>
        <v>0</v>
      </c>
      <c r="U7" s="339">
        <f t="shared" si="7"/>
        <v>0</v>
      </c>
      <c r="V7" s="339"/>
      <c r="W7" s="339">
        <f t="shared" si="8"/>
        <v>44100</v>
      </c>
      <c r="X7" s="339"/>
      <c r="Y7" s="339"/>
      <c r="Z7" s="339"/>
      <c r="AA7" s="340">
        <v>-44100</v>
      </c>
      <c r="AB7" s="338" t="s">
        <v>2448</v>
      </c>
      <c r="AC7" s="338">
        <v>810000</v>
      </c>
      <c r="AD7" s="343"/>
      <c r="AE7" s="343"/>
      <c r="AF7" s="343"/>
      <c r="AG7" s="343"/>
      <c r="AH7" s="343"/>
      <c r="AI7" s="343"/>
      <c r="AJ7" s="343"/>
      <c r="AK7" s="343"/>
    </row>
    <row r="8" spans="1:37" s="341" customFormat="1" ht="30" customHeight="1">
      <c r="A8" s="338">
        <f t="shared" si="9"/>
        <v>4</v>
      </c>
      <c r="B8" s="337">
        <v>1987</v>
      </c>
      <c r="C8" s="338" t="s">
        <v>156</v>
      </c>
      <c r="D8" s="339">
        <v>120000</v>
      </c>
      <c r="E8" s="339">
        <v>120000</v>
      </c>
      <c r="F8" s="339">
        <f t="shared" si="0"/>
        <v>0</v>
      </c>
      <c r="G8" s="339">
        <v>120000</v>
      </c>
      <c r="H8" s="339">
        <v>77677</v>
      </c>
      <c r="I8" s="339">
        <v>0</v>
      </c>
      <c r="J8" s="339">
        <v>0</v>
      </c>
      <c r="K8" s="339">
        <f t="shared" si="1"/>
        <v>0</v>
      </c>
      <c r="L8" s="339">
        <f t="shared" si="2"/>
        <v>77677</v>
      </c>
      <c r="M8" s="339">
        <f>P8+S8</f>
        <v>42323</v>
      </c>
      <c r="N8" s="339"/>
      <c r="O8" s="339">
        <f t="shared" si="3"/>
        <v>0</v>
      </c>
      <c r="P8" s="339">
        <f t="shared" si="4"/>
        <v>42323</v>
      </c>
      <c r="Q8" s="339"/>
      <c r="R8" s="339"/>
      <c r="S8" s="339">
        <f t="shared" si="5"/>
        <v>0</v>
      </c>
      <c r="T8" s="339">
        <f t="shared" si="6"/>
        <v>0</v>
      </c>
      <c r="U8" s="339">
        <f t="shared" si="7"/>
        <v>0</v>
      </c>
      <c r="V8" s="339"/>
      <c r="W8" s="339">
        <f t="shared" si="8"/>
        <v>0</v>
      </c>
      <c r="X8" s="339"/>
      <c r="Y8" s="339"/>
      <c r="Z8" s="339"/>
      <c r="AA8" s="340"/>
      <c r="AB8" s="338" t="s">
        <v>535</v>
      </c>
      <c r="AC8" s="338">
        <v>810000</v>
      </c>
      <c r="AD8" s="343"/>
      <c r="AE8" s="343"/>
      <c r="AF8" s="343"/>
      <c r="AG8" s="343"/>
      <c r="AH8" s="343"/>
      <c r="AI8" s="343"/>
      <c r="AJ8" s="343"/>
      <c r="AK8" s="343"/>
    </row>
    <row r="9" spans="1:37" s="341" customFormat="1" ht="30" customHeight="1">
      <c r="A9" s="338">
        <f t="shared" si="9"/>
        <v>5</v>
      </c>
      <c r="B9" s="337">
        <v>2033</v>
      </c>
      <c r="C9" s="338" t="s">
        <v>351</v>
      </c>
      <c r="D9" s="339">
        <f>900000-200000</f>
        <v>700000</v>
      </c>
      <c r="E9" s="339">
        <v>900000</v>
      </c>
      <c r="F9" s="339">
        <f t="shared" si="0"/>
        <v>-200000</v>
      </c>
      <c r="G9" s="339">
        <v>900000</v>
      </c>
      <c r="H9" s="339">
        <v>655856</v>
      </c>
      <c r="I9" s="339">
        <v>0</v>
      </c>
      <c r="J9" s="339">
        <v>0</v>
      </c>
      <c r="K9" s="339">
        <f t="shared" si="1"/>
        <v>0</v>
      </c>
      <c r="L9" s="339">
        <f t="shared" si="2"/>
        <v>655856</v>
      </c>
      <c r="M9" s="339">
        <f>P9+S9-200000</f>
        <v>44144</v>
      </c>
      <c r="N9" s="339"/>
      <c r="O9" s="339">
        <f t="shared" si="3"/>
        <v>0</v>
      </c>
      <c r="P9" s="339">
        <f t="shared" si="4"/>
        <v>244144</v>
      </c>
      <c r="Q9" s="339"/>
      <c r="R9" s="339"/>
      <c r="S9" s="339">
        <f t="shared" si="5"/>
        <v>0</v>
      </c>
      <c r="T9" s="339">
        <f t="shared" si="6"/>
        <v>200000</v>
      </c>
      <c r="U9" s="339">
        <f t="shared" si="7"/>
        <v>-200000</v>
      </c>
      <c r="V9" s="339"/>
      <c r="W9" s="339">
        <f t="shared" si="8"/>
        <v>-200000</v>
      </c>
      <c r="X9" s="339"/>
      <c r="Y9" s="339"/>
      <c r="Z9" s="339"/>
      <c r="AA9" s="340"/>
      <c r="AB9" s="338" t="s">
        <v>352</v>
      </c>
      <c r="AC9" s="338">
        <v>810000</v>
      </c>
      <c r="AD9" s="343"/>
      <c r="AE9" s="343"/>
      <c r="AF9" s="343"/>
      <c r="AG9" s="343"/>
      <c r="AH9" s="343"/>
      <c r="AI9" s="343"/>
      <c r="AJ9" s="343"/>
      <c r="AK9" s="343"/>
    </row>
    <row r="10" spans="1:37" s="341" customFormat="1" ht="30" customHeight="1">
      <c r="A10" s="338">
        <f t="shared" si="9"/>
        <v>6</v>
      </c>
      <c r="B10" s="337">
        <v>2034</v>
      </c>
      <c r="C10" s="338" t="s">
        <v>353</v>
      </c>
      <c r="D10" s="339">
        <f>3670000-770000</f>
        <v>2900000</v>
      </c>
      <c r="E10" s="339">
        <v>3670000</v>
      </c>
      <c r="F10" s="339">
        <f t="shared" si="0"/>
        <v>-770000</v>
      </c>
      <c r="G10" s="339">
        <v>3000000</v>
      </c>
      <c r="H10" s="339">
        <v>2361271</v>
      </c>
      <c r="I10" s="339">
        <v>0</v>
      </c>
      <c r="J10" s="339">
        <v>274260</v>
      </c>
      <c r="K10" s="339">
        <f t="shared" si="1"/>
        <v>274260</v>
      </c>
      <c r="L10" s="339">
        <f t="shared" si="2"/>
        <v>2635531</v>
      </c>
      <c r="M10" s="339">
        <f t="shared" ref="M10:M26" si="10">P10+S10</f>
        <v>264469</v>
      </c>
      <c r="N10" s="339"/>
      <c r="O10" s="339">
        <f t="shared" si="3"/>
        <v>0</v>
      </c>
      <c r="P10" s="339">
        <f t="shared" si="4"/>
        <v>364469</v>
      </c>
      <c r="Q10" s="339"/>
      <c r="R10" s="339">
        <v>-100000</v>
      </c>
      <c r="S10" s="339">
        <f t="shared" si="5"/>
        <v>-100000</v>
      </c>
      <c r="T10" s="339">
        <f t="shared" si="6"/>
        <v>0</v>
      </c>
      <c r="U10" s="339">
        <f t="shared" si="7"/>
        <v>0</v>
      </c>
      <c r="V10" s="339"/>
      <c r="W10" s="339">
        <f t="shared" si="8"/>
        <v>0</v>
      </c>
      <c r="X10" s="339"/>
      <c r="Y10" s="339"/>
      <c r="Z10" s="339"/>
      <c r="AA10" s="340"/>
      <c r="AB10" s="338" t="s">
        <v>1827</v>
      </c>
      <c r="AC10" s="338">
        <v>810000</v>
      </c>
      <c r="AD10" s="343"/>
      <c r="AE10" s="343"/>
      <c r="AF10" s="343"/>
      <c r="AG10" s="343"/>
      <c r="AH10" s="343"/>
      <c r="AI10" s="343"/>
      <c r="AJ10" s="343"/>
      <c r="AK10" s="343"/>
    </row>
    <row r="11" spans="1:37" s="341" customFormat="1" ht="30" customHeight="1">
      <c r="A11" s="338">
        <f t="shared" si="9"/>
        <v>7</v>
      </c>
      <c r="B11" s="337">
        <v>2070</v>
      </c>
      <c r="C11" s="338" t="s">
        <v>354</v>
      </c>
      <c r="D11" s="339">
        <v>500000</v>
      </c>
      <c r="E11" s="339">
        <v>500000</v>
      </c>
      <c r="F11" s="339">
        <f t="shared" si="0"/>
        <v>0</v>
      </c>
      <c r="G11" s="339">
        <v>500000</v>
      </c>
      <c r="H11" s="339">
        <v>454742</v>
      </c>
      <c r="I11" s="339">
        <v>0</v>
      </c>
      <c r="J11" s="339">
        <v>9187</v>
      </c>
      <c r="K11" s="339">
        <f t="shared" si="1"/>
        <v>9187</v>
      </c>
      <c r="L11" s="339">
        <f t="shared" si="2"/>
        <v>463929</v>
      </c>
      <c r="M11" s="339">
        <f t="shared" si="10"/>
        <v>36071</v>
      </c>
      <c r="N11" s="339"/>
      <c r="O11" s="339">
        <f t="shared" si="3"/>
        <v>0</v>
      </c>
      <c r="P11" s="339">
        <f t="shared" si="4"/>
        <v>36071</v>
      </c>
      <c r="Q11" s="339"/>
      <c r="R11" s="339"/>
      <c r="S11" s="339">
        <f t="shared" si="5"/>
        <v>0</v>
      </c>
      <c r="T11" s="339">
        <f t="shared" si="6"/>
        <v>0</v>
      </c>
      <c r="U11" s="339">
        <f t="shared" si="7"/>
        <v>0</v>
      </c>
      <c r="V11" s="339"/>
      <c r="W11" s="339">
        <f t="shared" si="8"/>
        <v>0</v>
      </c>
      <c r="X11" s="339"/>
      <c r="Y11" s="339"/>
      <c r="Z11" s="339"/>
      <c r="AA11" s="340"/>
      <c r="AB11" s="338" t="s">
        <v>1829</v>
      </c>
      <c r="AC11" s="338">
        <v>810000</v>
      </c>
      <c r="AD11" s="343"/>
      <c r="AE11" s="343"/>
      <c r="AF11" s="343"/>
      <c r="AG11" s="343"/>
      <c r="AH11" s="343"/>
      <c r="AI11" s="343"/>
      <c r="AJ11" s="343"/>
      <c r="AK11" s="343"/>
    </row>
    <row r="12" spans="1:37" s="341" customFormat="1" ht="30" customHeight="1">
      <c r="A12" s="338">
        <f t="shared" si="9"/>
        <v>8</v>
      </c>
      <c r="B12" s="344">
        <v>2090</v>
      </c>
      <c r="C12" s="338" t="s">
        <v>356</v>
      </c>
      <c r="D12" s="339">
        <v>350000</v>
      </c>
      <c r="E12" s="339">
        <v>350000</v>
      </c>
      <c r="F12" s="339">
        <f t="shared" si="0"/>
        <v>0</v>
      </c>
      <c r="G12" s="339">
        <v>350000</v>
      </c>
      <c r="H12" s="339">
        <v>261240</v>
      </c>
      <c r="I12" s="339">
        <v>0</v>
      </c>
      <c r="J12" s="339">
        <v>5903</v>
      </c>
      <c r="K12" s="339">
        <f t="shared" si="1"/>
        <v>5903</v>
      </c>
      <c r="L12" s="339">
        <f t="shared" si="2"/>
        <v>267143</v>
      </c>
      <c r="M12" s="339">
        <f t="shared" si="10"/>
        <v>82857</v>
      </c>
      <c r="N12" s="339"/>
      <c r="O12" s="339">
        <f t="shared" si="3"/>
        <v>0</v>
      </c>
      <c r="P12" s="339">
        <f t="shared" si="4"/>
        <v>82857</v>
      </c>
      <c r="Q12" s="339"/>
      <c r="R12" s="339"/>
      <c r="S12" s="339">
        <f t="shared" si="5"/>
        <v>0</v>
      </c>
      <c r="T12" s="339">
        <f t="shared" si="6"/>
        <v>0</v>
      </c>
      <c r="U12" s="339">
        <f t="shared" si="7"/>
        <v>0</v>
      </c>
      <c r="V12" s="339"/>
      <c r="W12" s="339">
        <f t="shared" si="8"/>
        <v>0</v>
      </c>
      <c r="X12" s="339"/>
      <c r="Y12" s="339"/>
      <c r="Z12" s="339"/>
      <c r="AA12" s="340"/>
      <c r="AB12" s="338" t="s">
        <v>844</v>
      </c>
      <c r="AC12" s="338">
        <v>810000</v>
      </c>
      <c r="AD12" s="343"/>
      <c r="AE12" s="343"/>
      <c r="AF12" s="343"/>
      <c r="AG12" s="343"/>
      <c r="AH12" s="343"/>
      <c r="AI12" s="343"/>
      <c r="AJ12" s="343"/>
      <c r="AK12" s="343"/>
    </row>
    <row r="13" spans="1:37" s="341" customFormat="1" ht="30" customHeight="1">
      <c r="A13" s="338">
        <f t="shared" si="9"/>
        <v>9</v>
      </c>
      <c r="B13" s="344">
        <v>2091</v>
      </c>
      <c r="C13" s="338" t="s">
        <v>357</v>
      </c>
      <c r="D13" s="339">
        <f>1500000-80000-300000</f>
        <v>1120000</v>
      </c>
      <c r="E13" s="339">
        <v>1500000</v>
      </c>
      <c r="F13" s="339">
        <f t="shared" si="0"/>
        <v>-380000</v>
      </c>
      <c r="G13" s="339">
        <v>80000</v>
      </c>
      <c r="H13" s="339">
        <v>0</v>
      </c>
      <c r="I13" s="339">
        <v>0</v>
      </c>
      <c r="J13" s="339">
        <v>0</v>
      </c>
      <c r="K13" s="339">
        <f t="shared" si="1"/>
        <v>0</v>
      </c>
      <c r="L13" s="339">
        <f t="shared" si="2"/>
        <v>0</v>
      </c>
      <c r="M13" s="339">
        <f t="shared" si="10"/>
        <v>80000</v>
      </c>
      <c r="N13" s="339">
        <f>1120000-80000</f>
        <v>1040000</v>
      </c>
      <c r="O13" s="339">
        <f t="shared" si="3"/>
        <v>0</v>
      </c>
      <c r="P13" s="339">
        <f t="shared" si="4"/>
        <v>80000</v>
      </c>
      <c r="Q13" s="339"/>
      <c r="R13" s="339"/>
      <c r="S13" s="339">
        <f t="shared" si="5"/>
        <v>0</v>
      </c>
      <c r="T13" s="339">
        <f t="shared" si="6"/>
        <v>0</v>
      </c>
      <c r="U13" s="339">
        <f t="shared" si="7"/>
        <v>1040000</v>
      </c>
      <c r="V13" s="339"/>
      <c r="W13" s="339">
        <f t="shared" si="8"/>
        <v>0</v>
      </c>
      <c r="X13" s="339"/>
      <c r="Y13" s="339"/>
      <c r="Z13" s="339"/>
      <c r="AA13" s="340">
        <v>1040000</v>
      </c>
      <c r="AB13" s="338" t="s">
        <v>771</v>
      </c>
      <c r="AC13" s="338">
        <v>810000</v>
      </c>
      <c r="AD13" s="343"/>
      <c r="AE13" s="343"/>
      <c r="AF13" s="343"/>
      <c r="AG13" s="343"/>
      <c r="AH13" s="343"/>
      <c r="AI13" s="343"/>
      <c r="AJ13" s="343"/>
      <c r="AK13" s="343"/>
    </row>
    <row r="14" spans="1:37" s="341" customFormat="1" ht="30" customHeight="1">
      <c r="A14" s="338">
        <f t="shared" si="9"/>
        <v>10</v>
      </c>
      <c r="B14" s="344">
        <v>2092</v>
      </c>
      <c r="C14" s="338" t="s">
        <v>438</v>
      </c>
      <c r="D14" s="339">
        <v>4050720</v>
      </c>
      <c r="E14" s="339">
        <v>4050720</v>
      </c>
      <c r="F14" s="339">
        <f t="shared" si="0"/>
        <v>0</v>
      </c>
      <c r="G14" s="339">
        <v>4050720</v>
      </c>
      <c r="H14" s="339">
        <v>3121181</v>
      </c>
      <c r="I14" s="339">
        <v>173897</v>
      </c>
      <c r="J14" s="339">
        <v>27304</v>
      </c>
      <c r="K14" s="339">
        <f t="shared" si="1"/>
        <v>201201</v>
      </c>
      <c r="L14" s="339">
        <f t="shared" si="2"/>
        <v>3322382</v>
      </c>
      <c r="M14" s="339">
        <f t="shared" si="10"/>
        <v>728338</v>
      </c>
      <c r="N14" s="339"/>
      <c r="O14" s="339">
        <f t="shared" si="3"/>
        <v>0</v>
      </c>
      <c r="P14" s="339">
        <f t="shared" si="4"/>
        <v>728338</v>
      </c>
      <c r="Q14" s="339"/>
      <c r="R14" s="339"/>
      <c r="S14" s="339">
        <f t="shared" si="5"/>
        <v>0</v>
      </c>
      <c r="T14" s="339">
        <f t="shared" si="6"/>
        <v>0</v>
      </c>
      <c r="U14" s="339">
        <f t="shared" si="7"/>
        <v>0</v>
      </c>
      <c r="V14" s="339"/>
      <c r="W14" s="339">
        <f t="shared" si="8"/>
        <v>0</v>
      </c>
      <c r="X14" s="339"/>
      <c r="Y14" s="339"/>
      <c r="Z14" s="339"/>
      <c r="AA14" s="340"/>
      <c r="AB14" s="338" t="s">
        <v>439</v>
      </c>
      <c r="AC14" s="338">
        <v>810000</v>
      </c>
      <c r="AD14" s="343"/>
      <c r="AE14" s="343"/>
      <c r="AF14" s="343"/>
      <c r="AG14" s="343"/>
      <c r="AH14" s="343"/>
      <c r="AI14" s="343"/>
      <c r="AJ14" s="343"/>
      <c r="AK14" s="343"/>
    </row>
    <row r="15" spans="1:37" s="341" customFormat="1" ht="30" customHeight="1">
      <c r="A15" s="338">
        <f t="shared" si="9"/>
        <v>11</v>
      </c>
      <c r="B15" s="344">
        <v>2135</v>
      </c>
      <c r="C15" s="338" t="s">
        <v>504</v>
      </c>
      <c r="D15" s="339">
        <v>23000000</v>
      </c>
      <c r="E15" s="339">
        <v>23000000</v>
      </c>
      <c r="F15" s="339">
        <f t="shared" si="0"/>
        <v>0</v>
      </c>
      <c r="G15" s="339">
        <v>0</v>
      </c>
      <c r="H15" s="339">
        <v>0</v>
      </c>
      <c r="I15" s="339">
        <v>0</v>
      </c>
      <c r="J15" s="339">
        <v>0</v>
      </c>
      <c r="K15" s="339">
        <f t="shared" si="1"/>
        <v>0</v>
      </c>
      <c r="L15" s="339">
        <f t="shared" si="2"/>
        <v>0</v>
      </c>
      <c r="M15" s="339">
        <f t="shared" si="10"/>
        <v>0</v>
      </c>
      <c r="N15" s="339">
        <f>5792000-3292000-1500000</f>
        <v>1000000</v>
      </c>
      <c r="O15" s="339">
        <f t="shared" si="3"/>
        <v>22000000</v>
      </c>
      <c r="P15" s="339">
        <f t="shared" si="4"/>
        <v>0</v>
      </c>
      <c r="Q15" s="339"/>
      <c r="R15" s="339"/>
      <c r="S15" s="339">
        <f t="shared" si="5"/>
        <v>0</v>
      </c>
      <c r="T15" s="339">
        <f t="shared" si="6"/>
        <v>0</v>
      </c>
      <c r="U15" s="339">
        <f t="shared" si="7"/>
        <v>1000000</v>
      </c>
      <c r="V15" s="339"/>
      <c r="W15" s="339">
        <f t="shared" si="8"/>
        <v>1000000</v>
      </c>
      <c r="X15" s="339"/>
      <c r="Y15" s="339"/>
      <c r="Z15" s="339"/>
      <c r="AA15" s="340"/>
      <c r="AB15" s="338" t="s">
        <v>2367</v>
      </c>
      <c r="AC15" s="338">
        <v>810000</v>
      </c>
      <c r="AD15" s="343"/>
      <c r="AE15" s="343"/>
      <c r="AF15" s="343"/>
      <c r="AG15" s="343"/>
      <c r="AH15" s="343"/>
      <c r="AI15" s="343"/>
      <c r="AJ15" s="343"/>
      <c r="AK15" s="343"/>
    </row>
    <row r="16" spans="1:37" s="341" customFormat="1" ht="45">
      <c r="A16" s="338">
        <f t="shared" si="9"/>
        <v>12</v>
      </c>
      <c r="B16" s="344">
        <v>2159</v>
      </c>
      <c r="C16" s="338" t="s">
        <v>545</v>
      </c>
      <c r="D16" s="339">
        <v>200000</v>
      </c>
      <c r="E16" s="339">
        <v>200000</v>
      </c>
      <c r="F16" s="339">
        <f t="shared" si="0"/>
        <v>0</v>
      </c>
      <c r="G16" s="339">
        <v>200000</v>
      </c>
      <c r="H16" s="339">
        <v>122945</v>
      </c>
      <c r="I16" s="339">
        <v>0</v>
      </c>
      <c r="J16" s="339">
        <v>53787</v>
      </c>
      <c r="K16" s="339">
        <f t="shared" si="1"/>
        <v>53787</v>
      </c>
      <c r="L16" s="339">
        <f t="shared" si="2"/>
        <v>176732</v>
      </c>
      <c r="M16" s="339">
        <f t="shared" si="10"/>
        <v>23268</v>
      </c>
      <c r="N16" s="339"/>
      <c r="O16" s="339">
        <f t="shared" si="3"/>
        <v>0</v>
      </c>
      <c r="P16" s="339">
        <f t="shared" si="4"/>
        <v>23268</v>
      </c>
      <c r="Q16" s="339"/>
      <c r="R16" s="339"/>
      <c r="S16" s="339">
        <f t="shared" si="5"/>
        <v>0</v>
      </c>
      <c r="T16" s="339">
        <f t="shared" si="6"/>
        <v>0</v>
      </c>
      <c r="U16" s="339">
        <f t="shared" si="7"/>
        <v>0</v>
      </c>
      <c r="V16" s="339"/>
      <c r="W16" s="339">
        <f t="shared" si="8"/>
        <v>0</v>
      </c>
      <c r="X16" s="339"/>
      <c r="Y16" s="339"/>
      <c r="Z16" s="339"/>
      <c r="AA16" s="340"/>
      <c r="AB16" s="338" t="s">
        <v>546</v>
      </c>
      <c r="AC16" s="338">
        <v>810000</v>
      </c>
      <c r="AD16" s="343"/>
      <c r="AE16" s="343"/>
      <c r="AF16" s="343"/>
      <c r="AG16" s="343"/>
      <c r="AH16" s="343"/>
      <c r="AI16" s="343"/>
      <c r="AJ16" s="343"/>
      <c r="AK16" s="343"/>
    </row>
    <row r="17" spans="1:37" s="341" customFormat="1" ht="30" customHeight="1">
      <c r="A17" s="338">
        <f t="shared" si="9"/>
        <v>13</v>
      </c>
      <c r="B17" s="344">
        <v>2160</v>
      </c>
      <c r="C17" s="338" t="s">
        <v>547</v>
      </c>
      <c r="D17" s="339">
        <v>210000</v>
      </c>
      <c r="E17" s="339">
        <v>180000</v>
      </c>
      <c r="F17" s="339">
        <f t="shared" si="0"/>
        <v>30000</v>
      </c>
      <c r="G17" s="339">
        <v>0</v>
      </c>
      <c r="H17" s="339">
        <v>0</v>
      </c>
      <c r="I17" s="339">
        <v>0</v>
      </c>
      <c r="J17" s="339">
        <v>0</v>
      </c>
      <c r="K17" s="339">
        <f t="shared" si="1"/>
        <v>0</v>
      </c>
      <c r="L17" s="339">
        <f t="shared" si="2"/>
        <v>0</v>
      </c>
      <c r="M17" s="339">
        <f t="shared" si="10"/>
        <v>0</v>
      </c>
      <c r="N17" s="339">
        <v>210000</v>
      </c>
      <c r="O17" s="339">
        <f t="shared" si="3"/>
        <v>0</v>
      </c>
      <c r="P17" s="339">
        <f t="shared" si="4"/>
        <v>0</v>
      </c>
      <c r="Q17" s="339"/>
      <c r="R17" s="339"/>
      <c r="S17" s="339">
        <f t="shared" si="5"/>
        <v>0</v>
      </c>
      <c r="T17" s="339">
        <f t="shared" si="6"/>
        <v>0</v>
      </c>
      <c r="U17" s="339">
        <f t="shared" si="7"/>
        <v>210000</v>
      </c>
      <c r="V17" s="339"/>
      <c r="W17" s="339">
        <f t="shared" si="8"/>
        <v>210000</v>
      </c>
      <c r="X17" s="339"/>
      <c r="Y17" s="339"/>
      <c r="Z17" s="339"/>
      <c r="AA17" s="340"/>
      <c r="AB17" s="338" t="s">
        <v>548</v>
      </c>
      <c r="AC17" s="338">
        <v>810000</v>
      </c>
      <c r="AD17" s="343"/>
      <c r="AE17" s="343"/>
      <c r="AF17" s="343"/>
      <c r="AG17" s="343"/>
      <c r="AH17" s="343"/>
      <c r="AI17" s="343"/>
      <c r="AJ17" s="343"/>
      <c r="AK17" s="343"/>
    </row>
    <row r="18" spans="1:37" s="341" customFormat="1" ht="30" customHeight="1">
      <c r="A18" s="338">
        <f t="shared" si="9"/>
        <v>14</v>
      </c>
      <c r="B18" s="344">
        <v>2179</v>
      </c>
      <c r="C18" s="338" t="s">
        <v>690</v>
      </c>
      <c r="D18" s="339">
        <f>460000-70000</f>
        <v>390000</v>
      </c>
      <c r="E18" s="339">
        <v>460000</v>
      </c>
      <c r="F18" s="339">
        <f t="shared" si="0"/>
        <v>-70000</v>
      </c>
      <c r="G18" s="339">
        <v>460000</v>
      </c>
      <c r="H18" s="339">
        <v>363521</v>
      </c>
      <c r="I18" s="339">
        <v>0</v>
      </c>
      <c r="J18" s="339">
        <v>9788</v>
      </c>
      <c r="K18" s="339">
        <f t="shared" si="1"/>
        <v>9788</v>
      </c>
      <c r="L18" s="339">
        <f t="shared" si="2"/>
        <v>373309</v>
      </c>
      <c r="M18" s="339">
        <f>P18+S18-70000</f>
        <v>16691</v>
      </c>
      <c r="N18" s="339"/>
      <c r="O18" s="339">
        <f t="shared" si="3"/>
        <v>0</v>
      </c>
      <c r="P18" s="339">
        <f t="shared" si="4"/>
        <v>86691</v>
      </c>
      <c r="Q18" s="339"/>
      <c r="R18" s="339"/>
      <c r="S18" s="339">
        <f t="shared" si="5"/>
        <v>0</v>
      </c>
      <c r="T18" s="339">
        <f t="shared" si="6"/>
        <v>70000</v>
      </c>
      <c r="U18" s="339">
        <f t="shared" si="7"/>
        <v>-70000</v>
      </c>
      <c r="V18" s="339"/>
      <c r="W18" s="339">
        <f t="shared" si="8"/>
        <v>0</v>
      </c>
      <c r="X18" s="339"/>
      <c r="Y18" s="339"/>
      <c r="Z18" s="339"/>
      <c r="AA18" s="340">
        <v>-70000</v>
      </c>
      <c r="AB18" s="338" t="s">
        <v>2235</v>
      </c>
      <c r="AC18" s="338">
        <v>810000</v>
      </c>
      <c r="AD18" s="343"/>
      <c r="AE18" s="343"/>
      <c r="AF18" s="343"/>
      <c r="AG18" s="343"/>
      <c r="AH18" s="343"/>
      <c r="AI18" s="343"/>
      <c r="AJ18" s="343"/>
      <c r="AK18" s="343"/>
    </row>
    <row r="19" spans="1:37" s="341" customFormat="1" ht="60">
      <c r="A19" s="338">
        <f t="shared" si="9"/>
        <v>15</v>
      </c>
      <c r="B19" s="344">
        <v>2217</v>
      </c>
      <c r="C19" s="338" t="s">
        <v>2460</v>
      </c>
      <c r="D19" s="339">
        <v>2650000</v>
      </c>
      <c r="E19" s="339">
        <v>1210000</v>
      </c>
      <c r="F19" s="339">
        <f t="shared" si="0"/>
        <v>1440000</v>
      </c>
      <c r="G19" s="339">
        <v>950000</v>
      </c>
      <c r="H19" s="339">
        <v>0</v>
      </c>
      <c r="I19" s="339">
        <v>0</v>
      </c>
      <c r="J19" s="339">
        <v>950000</v>
      </c>
      <c r="K19" s="339">
        <f t="shared" si="1"/>
        <v>950000</v>
      </c>
      <c r="L19" s="339">
        <f t="shared" si="2"/>
        <v>950000</v>
      </c>
      <c r="M19" s="339">
        <f t="shared" si="10"/>
        <v>260000</v>
      </c>
      <c r="N19" s="339">
        <v>1440000</v>
      </c>
      <c r="O19" s="339">
        <f t="shared" si="3"/>
        <v>0</v>
      </c>
      <c r="P19" s="339">
        <f t="shared" si="4"/>
        <v>0</v>
      </c>
      <c r="Q19" s="339"/>
      <c r="R19" s="339">
        <v>260000</v>
      </c>
      <c r="S19" s="339">
        <f t="shared" si="5"/>
        <v>260000</v>
      </c>
      <c r="T19" s="339">
        <f t="shared" si="6"/>
        <v>0</v>
      </c>
      <c r="U19" s="339">
        <f t="shared" si="7"/>
        <v>1440000</v>
      </c>
      <c r="V19" s="339"/>
      <c r="W19" s="339">
        <f t="shared" si="8"/>
        <v>1440000</v>
      </c>
      <c r="X19" s="339"/>
      <c r="Y19" s="339"/>
      <c r="Z19" s="339"/>
      <c r="AA19" s="339"/>
      <c r="AB19" s="338" t="s">
        <v>2472</v>
      </c>
      <c r="AC19" s="338">
        <v>810000</v>
      </c>
      <c r="AD19" s="343"/>
      <c r="AE19" s="343"/>
      <c r="AF19" s="343"/>
      <c r="AG19" s="343"/>
      <c r="AH19" s="343"/>
      <c r="AI19" s="343"/>
      <c r="AJ19" s="343"/>
      <c r="AK19" s="343"/>
    </row>
    <row r="20" spans="1:37" s="341" customFormat="1" ht="30" customHeight="1">
      <c r="A20" s="338">
        <f t="shared" si="9"/>
        <v>16</v>
      </c>
      <c r="B20" s="344">
        <v>2218</v>
      </c>
      <c r="C20" s="338" t="s">
        <v>692</v>
      </c>
      <c r="D20" s="339">
        <f>2300000-800000-100000</f>
        <v>1400000</v>
      </c>
      <c r="E20" s="339">
        <v>2300000</v>
      </c>
      <c r="F20" s="339">
        <f t="shared" si="0"/>
        <v>-900000</v>
      </c>
      <c r="G20" s="339">
        <v>1500000</v>
      </c>
      <c r="H20" s="339">
        <v>24336</v>
      </c>
      <c r="I20" s="339">
        <v>0</v>
      </c>
      <c r="J20" s="339">
        <v>902285</v>
      </c>
      <c r="K20" s="339">
        <f t="shared" si="1"/>
        <v>902285</v>
      </c>
      <c r="L20" s="339">
        <f t="shared" si="2"/>
        <v>926621</v>
      </c>
      <c r="M20" s="339">
        <f t="shared" si="10"/>
        <v>473379</v>
      </c>
      <c r="N20" s="339"/>
      <c r="O20" s="339">
        <f t="shared" si="3"/>
        <v>0</v>
      </c>
      <c r="P20" s="339">
        <f t="shared" si="4"/>
        <v>573379</v>
      </c>
      <c r="Q20" s="339"/>
      <c r="R20" s="339">
        <v>-100000</v>
      </c>
      <c r="S20" s="339">
        <f t="shared" si="5"/>
        <v>-100000</v>
      </c>
      <c r="T20" s="339">
        <f t="shared" si="6"/>
        <v>0</v>
      </c>
      <c r="U20" s="339">
        <f t="shared" si="7"/>
        <v>0</v>
      </c>
      <c r="V20" s="339"/>
      <c r="W20" s="339">
        <f t="shared" si="8"/>
        <v>0</v>
      </c>
      <c r="X20" s="339"/>
      <c r="Y20" s="339"/>
      <c r="Z20" s="339"/>
      <c r="AA20" s="339"/>
      <c r="AB20" s="338" t="s">
        <v>770</v>
      </c>
      <c r="AC20" s="338">
        <v>810000</v>
      </c>
      <c r="AD20" s="343"/>
      <c r="AE20" s="343"/>
      <c r="AF20" s="343"/>
      <c r="AG20" s="343"/>
      <c r="AH20" s="343"/>
      <c r="AI20" s="343"/>
      <c r="AJ20" s="343"/>
      <c r="AK20" s="343"/>
    </row>
    <row r="21" spans="1:37" s="341" customFormat="1" ht="30" customHeight="1">
      <c r="A21" s="338">
        <f t="shared" si="9"/>
        <v>17</v>
      </c>
      <c r="B21" s="344">
        <v>2219</v>
      </c>
      <c r="C21" s="338" t="s">
        <v>693</v>
      </c>
      <c r="D21" s="339">
        <v>750000</v>
      </c>
      <c r="E21" s="339">
        <v>750000</v>
      </c>
      <c r="F21" s="339">
        <f t="shared" si="0"/>
        <v>0</v>
      </c>
      <c r="G21" s="339">
        <v>680000</v>
      </c>
      <c r="H21" s="339">
        <v>57</v>
      </c>
      <c r="I21" s="339">
        <v>0</v>
      </c>
      <c r="J21" s="339">
        <v>222063</v>
      </c>
      <c r="K21" s="339">
        <f t="shared" si="1"/>
        <v>222063</v>
      </c>
      <c r="L21" s="339">
        <f t="shared" si="2"/>
        <v>222120</v>
      </c>
      <c r="M21" s="339">
        <f t="shared" si="10"/>
        <v>317880</v>
      </c>
      <c r="N21" s="339">
        <f>70000+140000</f>
        <v>210000</v>
      </c>
      <c r="O21" s="339">
        <f t="shared" si="3"/>
        <v>0</v>
      </c>
      <c r="P21" s="339">
        <f t="shared" si="4"/>
        <v>457880</v>
      </c>
      <c r="Q21" s="339"/>
      <c r="R21" s="339">
        <v>-140000</v>
      </c>
      <c r="S21" s="339">
        <f t="shared" si="5"/>
        <v>-140000</v>
      </c>
      <c r="T21" s="339">
        <f t="shared" si="6"/>
        <v>0</v>
      </c>
      <c r="U21" s="339">
        <f t="shared" si="7"/>
        <v>210000</v>
      </c>
      <c r="V21" s="339"/>
      <c r="W21" s="339">
        <f t="shared" si="8"/>
        <v>210000</v>
      </c>
      <c r="X21" s="339"/>
      <c r="Y21" s="339"/>
      <c r="Z21" s="339"/>
      <c r="AA21" s="339"/>
      <c r="AB21" s="338" t="s">
        <v>1839</v>
      </c>
      <c r="AC21" s="338">
        <v>810000</v>
      </c>
      <c r="AD21" s="343"/>
      <c r="AE21" s="343"/>
      <c r="AF21" s="343"/>
      <c r="AG21" s="343"/>
      <c r="AH21" s="343"/>
      <c r="AI21" s="343"/>
      <c r="AJ21" s="343"/>
      <c r="AK21" s="343"/>
    </row>
    <row r="22" spans="1:37" s="341" customFormat="1" ht="30" customHeight="1">
      <c r="A22" s="338">
        <f t="shared" si="9"/>
        <v>18</v>
      </c>
      <c r="B22" s="344">
        <v>2224</v>
      </c>
      <c r="C22" s="338" t="s">
        <v>899</v>
      </c>
      <c r="D22" s="339">
        <v>230000</v>
      </c>
      <c r="E22" s="339">
        <v>230000</v>
      </c>
      <c r="F22" s="339">
        <f t="shared" si="0"/>
        <v>0</v>
      </c>
      <c r="G22" s="339">
        <v>230000</v>
      </c>
      <c r="H22" s="339">
        <v>0</v>
      </c>
      <c r="I22" s="339">
        <v>0</v>
      </c>
      <c r="J22" s="339">
        <v>0</v>
      </c>
      <c r="K22" s="339">
        <f t="shared" si="1"/>
        <v>0</v>
      </c>
      <c r="L22" s="339">
        <f t="shared" si="2"/>
        <v>0</v>
      </c>
      <c r="M22" s="339">
        <f t="shared" si="10"/>
        <v>230000</v>
      </c>
      <c r="N22" s="339"/>
      <c r="O22" s="339">
        <f t="shared" si="3"/>
        <v>0</v>
      </c>
      <c r="P22" s="339">
        <f t="shared" si="4"/>
        <v>230000</v>
      </c>
      <c r="Q22" s="339"/>
      <c r="R22" s="339"/>
      <c r="S22" s="339">
        <f t="shared" si="5"/>
        <v>0</v>
      </c>
      <c r="T22" s="339">
        <f t="shared" si="6"/>
        <v>0</v>
      </c>
      <c r="U22" s="339">
        <f t="shared" si="7"/>
        <v>0</v>
      </c>
      <c r="V22" s="339"/>
      <c r="W22" s="339">
        <f t="shared" si="8"/>
        <v>0</v>
      </c>
      <c r="X22" s="339"/>
      <c r="Y22" s="339"/>
      <c r="Z22" s="339"/>
      <c r="AA22" s="339"/>
      <c r="AB22" s="338" t="s">
        <v>1841</v>
      </c>
      <c r="AC22" s="338">
        <v>810000</v>
      </c>
      <c r="AD22" s="343"/>
      <c r="AE22" s="343"/>
      <c r="AF22" s="343"/>
      <c r="AG22" s="343"/>
      <c r="AH22" s="343"/>
      <c r="AI22" s="343"/>
      <c r="AJ22" s="343"/>
      <c r="AK22" s="343"/>
    </row>
    <row r="23" spans="1:37" s="341" customFormat="1" ht="30" customHeight="1">
      <c r="A23" s="338">
        <f t="shared" si="9"/>
        <v>19</v>
      </c>
      <c r="B23" s="344">
        <v>2227</v>
      </c>
      <c r="C23" s="338" t="s">
        <v>900</v>
      </c>
      <c r="D23" s="339">
        <v>100000</v>
      </c>
      <c r="E23" s="339">
        <v>100000</v>
      </c>
      <c r="F23" s="339">
        <f t="shared" si="0"/>
        <v>0</v>
      </c>
      <c r="G23" s="339">
        <v>100000</v>
      </c>
      <c r="H23" s="339">
        <v>0</v>
      </c>
      <c r="I23" s="339">
        <v>0</v>
      </c>
      <c r="J23" s="339">
        <v>0</v>
      </c>
      <c r="K23" s="339">
        <f t="shared" si="1"/>
        <v>0</v>
      </c>
      <c r="L23" s="339">
        <f t="shared" si="2"/>
        <v>0</v>
      </c>
      <c r="M23" s="339">
        <f t="shared" si="10"/>
        <v>100000</v>
      </c>
      <c r="N23" s="339"/>
      <c r="O23" s="339">
        <f t="shared" si="3"/>
        <v>0</v>
      </c>
      <c r="P23" s="339">
        <f t="shared" si="4"/>
        <v>100000</v>
      </c>
      <c r="Q23" s="339"/>
      <c r="R23" s="339"/>
      <c r="S23" s="339">
        <f t="shared" si="5"/>
        <v>0</v>
      </c>
      <c r="T23" s="339">
        <f t="shared" si="6"/>
        <v>0</v>
      </c>
      <c r="U23" s="339">
        <f t="shared" si="7"/>
        <v>0</v>
      </c>
      <c r="V23" s="339"/>
      <c r="W23" s="339">
        <f t="shared" si="8"/>
        <v>0</v>
      </c>
      <c r="X23" s="339"/>
      <c r="Y23" s="339"/>
      <c r="Z23" s="339"/>
      <c r="AA23" s="339"/>
      <c r="AB23" s="338" t="s">
        <v>920</v>
      </c>
      <c r="AC23" s="338">
        <v>810000</v>
      </c>
      <c r="AD23" s="343"/>
      <c r="AE23" s="343"/>
      <c r="AF23" s="343"/>
      <c r="AG23" s="343"/>
      <c r="AH23" s="343"/>
      <c r="AI23" s="343"/>
      <c r="AJ23" s="343"/>
      <c r="AK23" s="343"/>
    </row>
    <row r="24" spans="1:37" s="341" customFormat="1" ht="30" customHeight="1">
      <c r="A24" s="338">
        <f t="shared" si="9"/>
        <v>20</v>
      </c>
      <c r="B24" s="344">
        <v>20041</v>
      </c>
      <c r="C24" s="338" t="s">
        <v>1844</v>
      </c>
      <c r="D24" s="339">
        <v>100000</v>
      </c>
      <c r="E24" s="339"/>
      <c r="F24" s="339">
        <f t="shared" si="0"/>
        <v>100000</v>
      </c>
      <c r="G24" s="339">
        <v>0</v>
      </c>
      <c r="H24" s="339">
        <v>0</v>
      </c>
      <c r="I24" s="339">
        <v>0</v>
      </c>
      <c r="J24" s="339">
        <v>0</v>
      </c>
      <c r="K24" s="339">
        <f>SUM(I24:J24)</f>
        <v>0</v>
      </c>
      <c r="L24" s="339">
        <f t="shared" si="2"/>
        <v>0</v>
      </c>
      <c r="M24" s="339">
        <f t="shared" si="10"/>
        <v>0</v>
      </c>
      <c r="N24" s="339">
        <v>100000</v>
      </c>
      <c r="O24" s="339">
        <f>D24-L24-M24-N24</f>
        <v>0</v>
      </c>
      <c r="P24" s="339">
        <f t="shared" si="4"/>
        <v>0</v>
      </c>
      <c r="Q24" s="339"/>
      <c r="R24" s="339"/>
      <c r="S24" s="339">
        <f t="shared" si="5"/>
        <v>0</v>
      </c>
      <c r="T24" s="339">
        <f t="shared" si="6"/>
        <v>0</v>
      </c>
      <c r="U24" s="339">
        <f t="shared" si="7"/>
        <v>100000</v>
      </c>
      <c r="V24" s="339">
        <v>0</v>
      </c>
      <c r="W24" s="339">
        <f>U24-V24-Z24-AA24</f>
        <v>100000</v>
      </c>
      <c r="X24" s="339"/>
      <c r="Y24" s="339"/>
      <c r="Z24" s="339"/>
      <c r="AA24" s="339"/>
      <c r="AB24" s="338" t="s">
        <v>1845</v>
      </c>
      <c r="AC24" s="338">
        <v>810000</v>
      </c>
      <c r="AD24" s="343"/>
      <c r="AE24" s="343"/>
      <c r="AF24" s="343"/>
      <c r="AG24" s="343"/>
      <c r="AH24" s="343"/>
      <c r="AI24" s="343"/>
      <c r="AJ24" s="343"/>
      <c r="AK24" s="343"/>
    </row>
    <row r="25" spans="1:37" s="341" customFormat="1" ht="30" customHeight="1">
      <c r="A25" s="338">
        <f t="shared" si="9"/>
        <v>21</v>
      </c>
      <c r="B25" s="344">
        <v>20042</v>
      </c>
      <c r="C25" s="338" t="s">
        <v>1846</v>
      </c>
      <c r="D25" s="339">
        <v>1300000</v>
      </c>
      <c r="E25" s="339"/>
      <c r="F25" s="339">
        <f t="shared" si="0"/>
        <v>1300000</v>
      </c>
      <c r="G25" s="339">
        <v>0</v>
      </c>
      <c r="H25" s="339">
        <v>0</v>
      </c>
      <c r="I25" s="339">
        <v>0</v>
      </c>
      <c r="J25" s="339">
        <v>0</v>
      </c>
      <c r="K25" s="339">
        <f>SUM(I25:J25)</f>
        <v>0</v>
      </c>
      <c r="L25" s="339">
        <f t="shared" si="2"/>
        <v>0</v>
      </c>
      <c r="M25" s="339">
        <f t="shared" si="10"/>
        <v>0</v>
      </c>
      <c r="N25" s="339">
        <v>650000</v>
      </c>
      <c r="O25" s="339">
        <f>D25-L25-M25-N25</f>
        <v>650000</v>
      </c>
      <c r="P25" s="339">
        <f t="shared" si="4"/>
        <v>0</v>
      </c>
      <c r="Q25" s="339"/>
      <c r="R25" s="339"/>
      <c r="S25" s="339">
        <f t="shared" si="5"/>
        <v>0</v>
      </c>
      <c r="T25" s="339">
        <f t="shared" si="6"/>
        <v>0</v>
      </c>
      <c r="U25" s="339">
        <f t="shared" si="7"/>
        <v>650000</v>
      </c>
      <c r="V25" s="339">
        <v>0</v>
      </c>
      <c r="W25" s="339">
        <f>U25-V25-Z25-AA25</f>
        <v>350000</v>
      </c>
      <c r="X25" s="339"/>
      <c r="Y25" s="339"/>
      <c r="Z25" s="339"/>
      <c r="AA25" s="339">
        <v>300000</v>
      </c>
      <c r="AB25" s="338" t="s">
        <v>2330</v>
      </c>
      <c r="AC25" s="338">
        <v>810000</v>
      </c>
      <c r="AD25" s="343"/>
      <c r="AE25" s="343"/>
      <c r="AF25" s="343"/>
      <c r="AG25" s="343"/>
      <c r="AH25" s="343"/>
      <c r="AI25" s="343"/>
      <c r="AJ25" s="343"/>
      <c r="AK25" s="343"/>
    </row>
    <row r="26" spans="1:37" s="341" customFormat="1" ht="30" customHeight="1">
      <c r="A26" s="338">
        <f t="shared" si="9"/>
        <v>22</v>
      </c>
      <c r="B26" s="344">
        <v>20043</v>
      </c>
      <c r="C26" s="338" t="s">
        <v>1848</v>
      </c>
      <c r="D26" s="339">
        <v>1300000</v>
      </c>
      <c r="E26" s="339"/>
      <c r="F26" s="339">
        <f t="shared" si="0"/>
        <v>1300000</v>
      </c>
      <c r="G26" s="339">
        <v>0</v>
      </c>
      <c r="H26" s="339">
        <v>0</v>
      </c>
      <c r="I26" s="339">
        <v>0</v>
      </c>
      <c r="J26" s="339">
        <v>0</v>
      </c>
      <c r="K26" s="339">
        <f>SUM(I26:J26)</f>
        <v>0</v>
      </c>
      <c r="L26" s="339">
        <f t="shared" si="2"/>
        <v>0</v>
      </c>
      <c r="M26" s="339">
        <f t="shared" si="10"/>
        <v>0</v>
      </c>
      <c r="N26" s="339">
        <v>850000</v>
      </c>
      <c r="O26" s="339">
        <f>D26-L26-M26-N26</f>
        <v>450000</v>
      </c>
      <c r="P26" s="339">
        <f t="shared" si="4"/>
        <v>0</v>
      </c>
      <c r="Q26" s="339"/>
      <c r="R26" s="339"/>
      <c r="S26" s="339">
        <f t="shared" si="5"/>
        <v>0</v>
      </c>
      <c r="T26" s="339">
        <f t="shared" si="6"/>
        <v>0</v>
      </c>
      <c r="U26" s="339">
        <f t="shared" si="7"/>
        <v>850000</v>
      </c>
      <c r="V26" s="339">
        <v>0</v>
      </c>
      <c r="W26" s="339">
        <f>U26-V26-Z26-AA26</f>
        <v>450000</v>
      </c>
      <c r="X26" s="339"/>
      <c r="Y26" s="339"/>
      <c r="Z26" s="339"/>
      <c r="AA26" s="339">
        <v>400000</v>
      </c>
      <c r="AB26" s="338" t="s">
        <v>2330</v>
      </c>
      <c r="AC26" s="338">
        <v>810000</v>
      </c>
      <c r="AD26" s="343"/>
      <c r="AE26" s="343"/>
      <c r="AF26" s="343"/>
      <c r="AG26" s="343"/>
      <c r="AH26" s="343"/>
      <c r="AI26" s="343"/>
      <c r="AJ26" s="343"/>
      <c r="AK26" s="343"/>
    </row>
    <row r="27" spans="1:37" s="341" customFormat="1" ht="60">
      <c r="A27" s="338">
        <f t="shared" si="9"/>
        <v>23</v>
      </c>
      <c r="B27" s="344">
        <v>20044</v>
      </c>
      <c r="C27" s="338" t="s">
        <v>127</v>
      </c>
      <c r="D27" s="339">
        <v>476000</v>
      </c>
      <c r="E27" s="339"/>
      <c r="F27" s="339">
        <f t="shared" si="0"/>
        <v>476000</v>
      </c>
      <c r="G27" s="339">
        <v>0</v>
      </c>
      <c r="H27" s="339">
        <v>0</v>
      </c>
      <c r="I27" s="339">
        <v>0</v>
      </c>
      <c r="J27" s="339">
        <v>0</v>
      </c>
      <c r="K27" s="339">
        <f>SUM(I27:J27)</f>
        <v>0</v>
      </c>
      <c r="L27" s="339">
        <f>H27+K27</f>
        <v>0</v>
      </c>
      <c r="M27" s="339">
        <f>P27+S27</f>
        <v>0</v>
      </c>
      <c r="N27" s="339">
        <v>476000</v>
      </c>
      <c r="O27" s="339">
        <f>D27-L27-M27-N27</f>
        <v>0</v>
      </c>
      <c r="P27" s="339">
        <f>G27-L27</f>
        <v>0</v>
      </c>
      <c r="Q27" s="339"/>
      <c r="R27" s="339"/>
      <c r="S27" s="339">
        <f>SUM(Q27:R27)</f>
        <v>0</v>
      </c>
      <c r="T27" s="339">
        <f>P27-M27+S27</f>
        <v>0</v>
      </c>
      <c r="U27" s="339">
        <f>N27-T27</f>
        <v>476000</v>
      </c>
      <c r="V27" s="339"/>
      <c r="W27" s="339">
        <f>U27-V27-Z27-AA27</f>
        <v>476000</v>
      </c>
      <c r="X27" s="339"/>
      <c r="Y27" s="339"/>
      <c r="Z27" s="339"/>
      <c r="AA27" s="339"/>
      <c r="AB27" s="338" t="s">
        <v>2461</v>
      </c>
      <c r="AC27" s="338">
        <v>810000</v>
      </c>
      <c r="AD27" s="343"/>
      <c r="AE27" s="343"/>
      <c r="AF27" s="343"/>
      <c r="AG27" s="343"/>
      <c r="AH27" s="343"/>
      <c r="AI27" s="343"/>
      <c r="AJ27" s="343"/>
      <c r="AK27" s="343"/>
    </row>
    <row r="28" spans="1:37" s="392" customFormat="1" ht="30" customHeight="1">
      <c r="A28" s="390">
        <f>A27</f>
        <v>23</v>
      </c>
      <c r="B28" s="390"/>
      <c r="C28" s="348" t="s">
        <v>641</v>
      </c>
      <c r="D28" s="391">
        <f>SUM(D5:D27)</f>
        <v>46031820</v>
      </c>
      <c r="E28" s="391">
        <f t="shared" ref="E28:AA28" si="11">SUM(E5:E27)</f>
        <v>44194820</v>
      </c>
      <c r="F28" s="391">
        <f t="shared" si="11"/>
        <v>1837000</v>
      </c>
      <c r="G28" s="391">
        <f t="shared" si="11"/>
        <v>16315820</v>
      </c>
      <c r="H28" s="391">
        <f t="shared" si="11"/>
        <v>9746009</v>
      </c>
      <c r="I28" s="391">
        <f t="shared" si="11"/>
        <v>173897</v>
      </c>
      <c r="J28" s="391">
        <f t="shared" si="11"/>
        <v>3179518</v>
      </c>
      <c r="K28" s="391">
        <f t="shared" si="11"/>
        <v>3353415</v>
      </c>
      <c r="L28" s="391">
        <f t="shared" si="11"/>
        <v>13099424</v>
      </c>
      <c r="M28" s="391">
        <f t="shared" si="11"/>
        <v>3246396</v>
      </c>
      <c r="N28" s="391">
        <f t="shared" si="11"/>
        <v>6486000</v>
      </c>
      <c r="O28" s="391">
        <f t="shared" si="11"/>
        <v>23200000</v>
      </c>
      <c r="P28" s="391">
        <f t="shared" si="11"/>
        <v>3216396</v>
      </c>
      <c r="Q28" s="391">
        <f t="shared" si="11"/>
        <v>300000</v>
      </c>
      <c r="R28" s="391">
        <f t="shared" si="11"/>
        <v>0</v>
      </c>
      <c r="S28" s="391">
        <f t="shared" si="11"/>
        <v>300000</v>
      </c>
      <c r="T28" s="391">
        <f t="shared" si="11"/>
        <v>270000</v>
      </c>
      <c r="U28" s="391">
        <f t="shared" si="11"/>
        <v>6216000</v>
      </c>
      <c r="V28" s="391">
        <f t="shared" si="11"/>
        <v>0</v>
      </c>
      <c r="W28" s="391">
        <f t="shared" si="11"/>
        <v>4590100</v>
      </c>
      <c r="X28" s="391">
        <f t="shared" si="11"/>
        <v>0</v>
      </c>
      <c r="Y28" s="391">
        <f t="shared" si="11"/>
        <v>0</v>
      </c>
      <c r="Z28" s="391">
        <f t="shared" si="11"/>
        <v>0</v>
      </c>
      <c r="AA28" s="391">
        <f t="shared" si="11"/>
        <v>1625900</v>
      </c>
      <c r="AB28" s="391"/>
      <c r="AC28" s="338"/>
      <c r="AD28" s="343"/>
      <c r="AE28" s="343"/>
      <c r="AF28" s="343"/>
      <c r="AG28" s="343"/>
      <c r="AH28" s="343"/>
      <c r="AI28" s="343"/>
      <c r="AJ28" s="343"/>
      <c r="AK28" s="343"/>
    </row>
    <row r="29" spans="1:37" hidden="1">
      <c r="L29" s="347">
        <f>K28+H28</f>
        <v>13099424</v>
      </c>
      <c r="P29" s="347">
        <f>G28-L29</f>
        <v>3216396</v>
      </c>
    </row>
    <row r="31" spans="1:37" ht="15.75">
      <c r="C31" s="537"/>
    </row>
    <row r="34" spans="1:37" s="532" customFormat="1">
      <c r="A34" s="345"/>
      <c r="B34" s="345"/>
      <c r="C34" s="346"/>
      <c r="D34" s="347"/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  <c r="Y34" s="347"/>
      <c r="Z34" s="347"/>
      <c r="AA34" s="347"/>
      <c r="AB34" s="346"/>
      <c r="AC34" s="345"/>
      <c r="AD34" s="343"/>
      <c r="AE34" s="343"/>
      <c r="AF34" s="343"/>
      <c r="AG34" s="343"/>
      <c r="AH34" s="343"/>
      <c r="AI34" s="343"/>
      <c r="AJ34" s="343"/>
      <c r="AK34" s="343"/>
    </row>
    <row r="35" spans="1:37" s="532" customFormat="1">
      <c r="A35" s="345"/>
      <c r="B35" s="345"/>
      <c r="C35" s="346"/>
      <c r="D35" s="347"/>
      <c r="E35" s="347"/>
      <c r="F35" s="347"/>
      <c r="G35" s="347"/>
      <c r="H35" s="347"/>
      <c r="I35" s="347"/>
      <c r="J35" s="347"/>
      <c r="K35" s="347"/>
      <c r="L35" s="347"/>
      <c r="M35" s="347"/>
      <c r="N35" s="347"/>
      <c r="O35" s="347"/>
      <c r="P35" s="347"/>
      <c r="Q35" s="347"/>
      <c r="R35" s="347"/>
      <c r="S35" s="347"/>
      <c r="T35" s="347"/>
      <c r="U35" s="347"/>
      <c r="V35" s="347"/>
      <c r="W35" s="347"/>
      <c r="X35" s="347"/>
      <c r="Y35" s="347"/>
      <c r="Z35" s="347"/>
      <c r="AA35" s="347"/>
      <c r="AB35" s="346"/>
      <c r="AC35" s="345"/>
      <c r="AD35" s="343"/>
      <c r="AE35" s="343"/>
      <c r="AF35" s="343"/>
      <c r="AG35" s="343"/>
      <c r="AH35" s="343"/>
      <c r="AI35" s="343"/>
      <c r="AJ35" s="343"/>
      <c r="AK35" s="343"/>
    </row>
    <row r="36" spans="1:37" s="532" customFormat="1">
      <c r="A36" s="345"/>
      <c r="B36" s="345"/>
      <c r="C36" s="346"/>
      <c r="D36" s="347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347"/>
      <c r="AA36" s="347"/>
      <c r="AB36" s="346"/>
      <c r="AC36" s="345"/>
      <c r="AD36" s="343"/>
      <c r="AE36" s="343"/>
      <c r="AF36" s="343"/>
      <c r="AG36" s="343"/>
      <c r="AH36" s="343"/>
      <c r="AI36" s="343"/>
      <c r="AJ36" s="343"/>
      <c r="AK36" s="343"/>
    </row>
    <row r="37" spans="1:37" s="532" customFormat="1">
      <c r="A37" s="345"/>
      <c r="B37" s="345"/>
      <c r="C37" s="346"/>
      <c r="D37" s="347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  <c r="X37" s="347"/>
      <c r="Y37" s="347"/>
      <c r="Z37" s="347"/>
      <c r="AA37" s="347"/>
      <c r="AB37" s="346"/>
      <c r="AC37" s="345"/>
      <c r="AD37" s="343"/>
      <c r="AE37" s="343"/>
      <c r="AF37" s="343"/>
      <c r="AG37" s="343"/>
      <c r="AH37" s="343"/>
      <c r="AI37" s="343"/>
      <c r="AJ37" s="343"/>
      <c r="AK37" s="343"/>
    </row>
    <row r="38" spans="1:37" s="532" customFormat="1">
      <c r="A38" s="345"/>
      <c r="B38" s="345"/>
      <c r="C38" s="346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6"/>
      <c r="AC38" s="345"/>
      <c r="AD38" s="343"/>
      <c r="AE38" s="343"/>
      <c r="AF38" s="343"/>
      <c r="AG38" s="343"/>
      <c r="AH38" s="343"/>
      <c r="AI38" s="343"/>
      <c r="AJ38" s="343"/>
      <c r="AK38" s="343"/>
    </row>
    <row r="39" spans="1:37" s="532" customFormat="1">
      <c r="A39" s="345"/>
      <c r="B39" s="345"/>
      <c r="C39" s="346"/>
      <c r="D39" s="347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347"/>
      <c r="AA39" s="347"/>
      <c r="AB39" s="346"/>
      <c r="AC39" s="345"/>
      <c r="AD39" s="343"/>
      <c r="AE39" s="343"/>
      <c r="AF39" s="343"/>
      <c r="AG39" s="343"/>
      <c r="AH39" s="343"/>
      <c r="AI39" s="343"/>
      <c r="AJ39" s="343"/>
      <c r="AK39" s="343"/>
    </row>
    <row r="40" spans="1:37" s="532" customFormat="1">
      <c r="A40" s="345"/>
      <c r="B40" s="345"/>
      <c r="C40" s="346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347"/>
      <c r="AA40" s="347"/>
      <c r="AB40" s="346"/>
      <c r="AC40" s="345"/>
      <c r="AD40" s="343"/>
      <c r="AE40" s="343"/>
      <c r="AF40" s="343"/>
      <c r="AG40" s="343"/>
      <c r="AH40" s="343"/>
      <c r="AI40" s="343"/>
      <c r="AJ40" s="343"/>
      <c r="AK40" s="343"/>
    </row>
  </sheetData>
  <sheetProtection formatCells="0" formatColumns="0" formatRows="0" insertColumns="0" insertRows="0" insertHyperlinks="0" deleteColumns="0" deleteRows="0" sort="0" autoFilter="0" pivotTables="0"/>
  <conditionalFormatting sqref="A1:W2 AL1:XFD2 Z1:AC1 Z2:AA2 AC2">
    <cfRule type="cellIs" dxfId="146" priority="40" operator="equal">
      <formula>0</formula>
    </cfRule>
  </conditionalFormatting>
  <conditionalFormatting sqref="AB4">
    <cfRule type="cellIs" dxfId="145" priority="39" operator="equal">
      <formula>0</formula>
    </cfRule>
  </conditionalFormatting>
  <conditionalFormatting sqref="X1:X2">
    <cfRule type="cellIs" dxfId="144" priority="38" operator="equal">
      <formula>0</formula>
    </cfRule>
  </conditionalFormatting>
  <conditionalFormatting sqref="AB2">
    <cfRule type="cellIs" dxfId="143" priority="37" operator="equal">
      <formula>0</formula>
    </cfRule>
  </conditionalFormatting>
  <conditionalFormatting sqref="Y1:Y2">
    <cfRule type="cellIs" dxfId="142" priority="36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K40"/>
  <sheetViews>
    <sheetView showZeros="0" rightToLeft="1" zoomScaleNormal="100" workbookViewId="0">
      <pane xSplit="3" ySplit="4" topLeftCell="D25" activePane="bottomRight" state="frozen"/>
      <selection activeCell="E41" sqref="E41"/>
      <selection pane="topRight" activeCell="E41" sqref="E41"/>
      <selection pane="bottomLeft" activeCell="E41" sqref="E41"/>
      <selection pane="bottomRight" activeCell="E41" sqref="E41"/>
    </sheetView>
  </sheetViews>
  <sheetFormatPr defaultColWidth="8.28515625" defaultRowHeight="15"/>
  <cols>
    <col min="1" max="1" width="3.28515625" style="345" customWidth="1"/>
    <col min="2" max="2" width="5.42578125" style="345" customWidth="1"/>
    <col min="3" max="3" width="20.28515625" style="785" customWidth="1"/>
    <col min="4" max="4" width="10.42578125" style="347" customWidth="1"/>
    <col min="5" max="5" width="11.28515625" style="347" hidden="1" customWidth="1"/>
    <col min="6" max="6" width="9.42578125" style="347" hidden="1" customWidth="1"/>
    <col min="7" max="7" width="10.7109375" style="347" hidden="1" customWidth="1"/>
    <col min="8" max="8" width="11.28515625" style="347" hidden="1" customWidth="1"/>
    <col min="9" max="11" width="9.42578125" style="347" hidden="1" customWidth="1"/>
    <col min="12" max="14" width="9.5703125" style="347" customWidth="1"/>
    <col min="15" max="15" width="10.28515625" style="347" customWidth="1"/>
    <col min="16" max="19" width="14" style="347" hidden="1" customWidth="1"/>
    <col min="20" max="20" width="8" style="347" customWidth="1"/>
    <col min="21" max="21" width="10.28515625" style="345" customWidth="1"/>
    <col min="22" max="22" width="9.42578125" style="345" customWidth="1"/>
    <col min="23" max="23" width="10.42578125" style="345" customWidth="1"/>
    <col min="24" max="26" width="14" style="345" hidden="1" customWidth="1"/>
    <col min="27" max="27" width="9.42578125" style="345" customWidth="1"/>
    <col min="28" max="28" width="33.7109375" style="346" customWidth="1"/>
    <col min="29" max="29" width="7.28515625" style="345" customWidth="1"/>
    <col min="30" max="30" width="22.85546875" style="531" hidden="1" customWidth="1"/>
    <col min="31" max="32" width="23.5703125" style="532" hidden="1" customWidth="1"/>
    <col min="33" max="34" width="18" style="532" hidden="1" customWidth="1"/>
    <col min="35" max="35" width="23.5703125" style="674" hidden="1" customWidth="1"/>
    <col min="36" max="36" width="12.85546875" style="532" hidden="1" customWidth="1"/>
    <col min="37" max="37" width="18" style="532" hidden="1" customWidth="1"/>
    <col min="38" max="38" width="12.28515625" style="345" customWidth="1"/>
    <col min="39" max="16384" width="8.28515625" style="345"/>
  </cols>
  <sheetData>
    <row r="1" spans="1:37" s="533" customFormat="1" ht="13.15" customHeight="1">
      <c r="A1" s="526"/>
      <c r="B1" s="526"/>
      <c r="C1" s="784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8"/>
      <c r="Y1" s="528"/>
      <c r="Z1" s="528"/>
      <c r="AA1" s="529"/>
      <c r="AB1" s="530"/>
      <c r="AC1" s="529"/>
      <c r="AD1" s="531"/>
      <c r="AE1" s="532"/>
      <c r="AF1" s="532"/>
      <c r="AG1" s="532"/>
      <c r="AH1" s="532"/>
      <c r="AI1" s="674"/>
      <c r="AJ1" s="532"/>
      <c r="AK1" s="532"/>
    </row>
    <row r="2" spans="1:37" s="533" customFormat="1" ht="18.75">
      <c r="A2" s="526" t="s">
        <v>284</v>
      </c>
      <c r="B2" s="526"/>
      <c r="C2" s="784"/>
      <c r="D2" s="526"/>
      <c r="E2" s="534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32"/>
      <c r="Y2" s="532"/>
      <c r="Z2" s="532"/>
      <c r="AA2" s="532"/>
      <c r="AB2" s="532"/>
      <c r="AC2" s="532"/>
      <c r="AD2" s="531"/>
      <c r="AE2" s="532"/>
      <c r="AF2" s="532"/>
      <c r="AG2" s="532"/>
      <c r="AH2" s="532"/>
      <c r="AI2" s="674"/>
      <c r="AJ2" s="532"/>
      <c r="AK2" s="532"/>
    </row>
    <row r="3" spans="1:37" ht="20.45" customHeight="1"/>
    <row r="4" spans="1:37" s="343" customFormat="1" ht="86.25" customHeight="1">
      <c r="A4" s="151" t="s">
        <v>0</v>
      </c>
      <c r="B4" s="342" t="s">
        <v>1</v>
      </c>
      <c r="C4" s="342" t="s">
        <v>2</v>
      </c>
      <c r="D4" s="342" t="s">
        <v>3</v>
      </c>
      <c r="E4" s="342" t="s">
        <v>4</v>
      </c>
      <c r="F4" s="342" t="s">
        <v>5</v>
      </c>
      <c r="G4" s="342" t="s">
        <v>6</v>
      </c>
      <c r="H4" s="342" t="s">
        <v>7</v>
      </c>
      <c r="I4" s="342" t="s">
        <v>9</v>
      </c>
      <c r="J4" s="342" t="s">
        <v>153</v>
      </c>
      <c r="K4" s="342" t="s">
        <v>10</v>
      </c>
      <c r="L4" s="342" t="s">
        <v>11</v>
      </c>
      <c r="M4" s="2" t="s">
        <v>891</v>
      </c>
      <c r="N4" s="2" t="s">
        <v>892</v>
      </c>
      <c r="O4" s="2" t="s">
        <v>893</v>
      </c>
      <c r="P4" s="2" t="s">
        <v>12</v>
      </c>
      <c r="Q4" s="2" t="s">
        <v>894</v>
      </c>
      <c r="R4" s="2" t="s">
        <v>895</v>
      </c>
      <c r="S4" s="2" t="s">
        <v>896</v>
      </c>
      <c r="T4" s="2" t="s">
        <v>897</v>
      </c>
      <c r="U4" s="2" t="s">
        <v>898</v>
      </c>
      <c r="V4" s="342" t="s">
        <v>13</v>
      </c>
      <c r="W4" s="342" t="s">
        <v>14</v>
      </c>
      <c r="X4" s="342" t="s">
        <v>15</v>
      </c>
      <c r="Y4" s="342" t="s">
        <v>265</v>
      </c>
      <c r="Z4" s="342" t="s">
        <v>749</v>
      </c>
      <c r="AA4" s="342" t="s">
        <v>84</v>
      </c>
      <c r="AB4" s="535" t="s">
        <v>304</v>
      </c>
      <c r="AC4" s="342" t="s">
        <v>16</v>
      </c>
      <c r="AD4" s="342" t="s">
        <v>1819</v>
      </c>
      <c r="AE4" s="342" t="s">
        <v>936</v>
      </c>
      <c r="AF4" s="525" t="s">
        <v>938</v>
      </c>
      <c r="AG4" s="9" t="s">
        <v>2223</v>
      </c>
      <c r="AH4" s="9" t="s">
        <v>2224</v>
      </c>
      <c r="AI4" s="658" t="s">
        <v>2216</v>
      </c>
      <c r="AJ4" s="658" t="s">
        <v>2220</v>
      </c>
      <c r="AK4" s="9" t="s">
        <v>2226</v>
      </c>
    </row>
    <row r="5" spans="1:37" s="341" customFormat="1" ht="75">
      <c r="A5" s="338">
        <v>1</v>
      </c>
      <c r="B5" s="338">
        <f>'תקציב אגף חינוך 2022'!B5</f>
        <v>1776</v>
      </c>
      <c r="C5" s="412" t="str">
        <f>'תקציב אגף חינוך 2022'!C5</f>
        <v>הצטידות כיתות חדשות בי"ס</v>
      </c>
      <c r="D5" s="339">
        <f>'תקציב אגף חינוך 2022'!D5</f>
        <v>2465000</v>
      </c>
      <c r="E5" s="339">
        <f>'תקציב אגף חינוך 2022'!E5</f>
        <v>2100000</v>
      </c>
      <c r="F5" s="339">
        <f>'תקציב אגף חינוך 2022'!F5</f>
        <v>365000</v>
      </c>
      <c r="G5" s="339">
        <f>'תקציב אגף חינוך 2022'!G5</f>
        <v>1555000</v>
      </c>
      <c r="H5" s="339">
        <f>'תקציב אגף חינוך 2022'!H5</f>
        <v>1165623</v>
      </c>
      <c r="I5" s="339">
        <f>'תקציב אגף חינוך 2022'!I5</f>
        <v>0</v>
      </c>
      <c r="J5" s="339">
        <f>'תקציב אגף חינוך 2022'!J5</f>
        <v>248387</v>
      </c>
      <c r="K5" s="339">
        <f>'תקציב אגף חינוך 2022'!K5</f>
        <v>248387</v>
      </c>
      <c r="L5" s="339">
        <f>'תקציב אגף חינוך 2022'!L5</f>
        <v>1414010</v>
      </c>
      <c r="M5" s="339">
        <f>'תקציב אגף חינוך 2022'!M5</f>
        <v>440990</v>
      </c>
      <c r="N5" s="339">
        <f>'תקציב אגף חינוך 2022'!N5</f>
        <v>510000</v>
      </c>
      <c r="O5" s="339">
        <f>'תקציב אגף חינוך 2022'!O5</f>
        <v>100000</v>
      </c>
      <c r="P5" s="339">
        <f>'תקציב אגף חינוך 2022'!P5</f>
        <v>140990</v>
      </c>
      <c r="Q5" s="339">
        <f>'תקציב אגף חינוך 2022'!Q5</f>
        <v>300000</v>
      </c>
      <c r="R5" s="339">
        <f>'תקציב אגף חינוך 2022'!R5</f>
        <v>0</v>
      </c>
      <c r="S5" s="339">
        <f>'תקציב אגף חינוך 2022'!S5</f>
        <v>300000</v>
      </c>
      <c r="T5" s="339">
        <f>'תקציב אגף חינוך 2022'!T5</f>
        <v>0</v>
      </c>
      <c r="U5" s="339">
        <f>'תקציב אגף חינוך 2022'!U5</f>
        <v>510000</v>
      </c>
      <c r="V5" s="339">
        <f>'תקציב אגף חינוך 2022'!V5</f>
        <v>0</v>
      </c>
      <c r="W5" s="339">
        <f>'תקציב אגף חינוך 2022'!W5</f>
        <v>510000</v>
      </c>
      <c r="X5" s="339">
        <f>'תקציב אגף חינוך 2022'!X5</f>
        <v>0</v>
      </c>
      <c r="Y5" s="339">
        <f>'תקציב אגף חינוך 2022'!Y5</f>
        <v>0</v>
      </c>
      <c r="Z5" s="339">
        <f>'תקציב אגף חינוך 2022'!Z5</f>
        <v>0</v>
      </c>
      <c r="AA5" s="339">
        <f>'תקציב אגף חינוך 2022'!AA5</f>
        <v>0</v>
      </c>
      <c r="AB5" s="413" t="str">
        <f>'תקציב אגף חינוך 2022'!AB5</f>
        <v>הצטיידות חדשה: כיתות חדשות בעקבות גידול עפ"י צפי במס' תלמידים ופתיחת כיתות במקום החדש , שיפוץ כיתות קיימות בביצוע אגף תבל. סל מסגרת.</v>
      </c>
      <c r="AC5" s="338">
        <f>'תקציב אגף חינוך 2022'!AC5</f>
        <v>810000</v>
      </c>
      <c r="AD5" s="536" t="s">
        <v>1820</v>
      </c>
      <c r="AE5" s="536" t="s">
        <v>1821</v>
      </c>
      <c r="AF5" s="536" t="s">
        <v>1821</v>
      </c>
      <c r="AG5" s="339">
        <v>-100000</v>
      </c>
      <c r="AH5" s="339">
        <v>-100000</v>
      </c>
      <c r="AI5" s="675"/>
      <c r="AJ5" s="675"/>
      <c r="AK5" s="339">
        <v>-100000</v>
      </c>
    </row>
    <row r="6" spans="1:37" s="341" customFormat="1" ht="45">
      <c r="A6" s="338">
        <f t="shared" ref="A6:A27" si="0">A5+1</f>
        <v>2</v>
      </c>
      <c r="B6" s="338">
        <f>'תקציב אגף חינוך 2022'!B6</f>
        <v>1930</v>
      </c>
      <c r="C6" s="412" t="str">
        <f>'תקציב אגף חינוך 2022'!C6</f>
        <v>הצטיידות גנ"י חדשים ח"ר,ח"מ</v>
      </c>
      <c r="D6" s="339">
        <f>'תקציב אגף חינוך 2022'!D6</f>
        <v>1676000</v>
      </c>
      <c r="E6" s="339">
        <f>'תקציב אגף חינוך 2022'!E6</f>
        <v>2530000</v>
      </c>
      <c r="F6" s="339">
        <f>'תקציב אגף חינוך 2022'!F6</f>
        <v>-854000</v>
      </c>
      <c r="G6" s="339">
        <f>'תקציב אגף חינוך 2022'!G6</f>
        <v>1596000</v>
      </c>
      <c r="H6" s="339">
        <f>'תקציב אגף חינוך 2022'!H6</f>
        <v>1093753</v>
      </c>
      <c r="I6" s="339">
        <f>'תקציב אגף חינוך 2022'!I6</f>
        <v>0</v>
      </c>
      <c r="J6" s="339">
        <f>'תקציב אגף חינוך 2022'!J6</f>
        <v>476554</v>
      </c>
      <c r="K6" s="339">
        <f>'תקציב אגף חינוך 2022'!K6</f>
        <v>476554</v>
      </c>
      <c r="L6" s="339">
        <f>'תקציב אגף חינוך 2022'!L6</f>
        <v>1570307</v>
      </c>
      <c r="M6" s="339">
        <f>'תקציב אגף חינוך 2022'!M6</f>
        <v>105693</v>
      </c>
      <c r="N6" s="339">
        <f>'תקציב אגף חינוך 2022'!N6</f>
        <v>0</v>
      </c>
      <c r="O6" s="339">
        <f>'תקציב אגף חינוך 2022'!O6</f>
        <v>0</v>
      </c>
      <c r="P6" s="339">
        <f>'תקציב אגף חינוך 2022'!P6</f>
        <v>25693</v>
      </c>
      <c r="Q6" s="339">
        <f>'תקציב אגף חינוך 2022'!Q6</f>
        <v>0</v>
      </c>
      <c r="R6" s="339">
        <f>'תקציב אגף חינוך 2022'!R6</f>
        <v>80000</v>
      </c>
      <c r="S6" s="339">
        <f>'תקציב אגף חינוך 2022'!S6</f>
        <v>80000</v>
      </c>
      <c r="T6" s="339">
        <f>'תקציב אגף חינוך 2022'!T6</f>
        <v>0</v>
      </c>
      <c r="U6" s="339">
        <f>'תקציב אגף חינוך 2022'!U6</f>
        <v>0</v>
      </c>
      <c r="V6" s="339">
        <f>'תקציב אגף חינוך 2022'!V6</f>
        <v>0</v>
      </c>
      <c r="W6" s="339">
        <f>'תקציב אגף חינוך 2022'!W6</f>
        <v>0</v>
      </c>
      <c r="X6" s="339">
        <f>'תקציב אגף חינוך 2022'!X6</f>
        <v>0</v>
      </c>
      <c r="Y6" s="339">
        <f>'תקציב אגף חינוך 2022'!Y6</f>
        <v>0</v>
      </c>
      <c r="Z6" s="339">
        <f>'תקציב אגף חינוך 2022'!Z6</f>
        <v>0</v>
      </c>
      <c r="AA6" s="339">
        <f>'תקציב אגף חינוך 2022'!AA6</f>
        <v>0</v>
      </c>
      <c r="AB6" s="413" t="str">
        <f>'תקציב אגף חינוך 2022'!AB6</f>
        <v xml:space="preserve">הצטיידות  גנים חדשים כולל  ח"מ במקביל לבניה ופתיחת גנים במבנים קיימים . </v>
      </c>
      <c r="AC6" s="338">
        <f>'תקציב אגף חינוך 2022'!AC6</f>
        <v>810000</v>
      </c>
      <c r="AD6" s="536" t="s">
        <v>1822</v>
      </c>
      <c r="AE6" s="536" t="s">
        <v>2211</v>
      </c>
      <c r="AF6" s="536" t="s">
        <v>2211</v>
      </c>
      <c r="AG6" s="339"/>
      <c r="AH6" s="339">
        <v>-50000</v>
      </c>
      <c r="AI6" s="675"/>
      <c r="AJ6" s="675"/>
      <c r="AK6" s="339">
        <v>-50000</v>
      </c>
    </row>
    <row r="7" spans="1:37" s="341" customFormat="1" ht="75">
      <c r="A7" s="338">
        <f t="shared" si="0"/>
        <v>3</v>
      </c>
      <c r="B7" s="338">
        <f>'תקציב אגף חינוך 2022'!B7</f>
        <v>1977</v>
      </c>
      <c r="C7" s="412" t="str">
        <f>'תקציב אגף חינוך 2022'!C7</f>
        <v>הצטידות חדשה בי"ס לב טוב</v>
      </c>
      <c r="D7" s="339">
        <f>'תקציב אגף חינוך 2022'!D7</f>
        <v>44100</v>
      </c>
      <c r="E7" s="339">
        <f>'תקציב אגף חינוך 2022'!E7</f>
        <v>44100</v>
      </c>
      <c r="F7" s="339">
        <f>'תקציב אגף חינוך 2022'!F7</f>
        <v>0</v>
      </c>
      <c r="G7" s="339">
        <f>'תקציב אגף חינוך 2022'!G7</f>
        <v>44100</v>
      </c>
      <c r="H7" s="339">
        <f>'תקציב אגף חינוך 2022'!H7</f>
        <v>43807</v>
      </c>
      <c r="I7" s="339">
        <f>'תקציב אגף חינוך 2022'!I7</f>
        <v>0</v>
      </c>
      <c r="J7" s="339">
        <f>'תקציב אגף חינוך 2022'!J7</f>
        <v>0</v>
      </c>
      <c r="K7" s="339">
        <f>'תקציב אגף חינוך 2022'!K7</f>
        <v>0</v>
      </c>
      <c r="L7" s="339">
        <f>'תקציב אגף חינוך 2022'!L7</f>
        <v>43807</v>
      </c>
      <c r="M7" s="339">
        <f>'תקציב אגף חינוך 2022'!M7</f>
        <v>293</v>
      </c>
      <c r="N7" s="339">
        <f>'תקציב אגף חינוך 2022'!N7</f>
        <v>0</v>
      </c>
      <c r="O7" s="339">
        <f>'תקציב אגף חינוך 2022'!O7</f>
        <v>0</v>
      </c>
      <c r="P7" s="339">
        <f>'תקציב אגף חינוך 2022'!P7</f>
        <v>293</v>
      </c>
      <c r="Q7" s="339">
        <f>'תקציב אגף חינוך 2022'!Q7</f>
        <v>0</v>
      </c>
      <c r="R7" s="339">
        <f>'תקציב אגף חינוך 2022'!R7</f>
        <v>0</v>
      </c>
      <c r="S7" s="339">
        <f>'תקציב אגף חינוך 2022'!S7</f>
        <v>0</v>
      </c>
      <c r="T7" s="339">
        <f>'תקציב אגף חינוך 2022'!T7</f>
        <v>0</v>
      </c>
      <c r="U7" s="339">
        <f>'תקציב אגף חינוך 2022'!U7</f>
        <v>0</v>
      </c>
      <c r="V7" s="339">
        <f>'תקציב אגף חינוך 2022'!V7</f>
        <v>0</v>
      </c>
      <c r="W7" s="339">
        <f>'תקציב אגף חינוך 2022'!W7</f>
        <v>44100</v>
      </c>
      <c r="X7" s="339">
        <f>'תקציב אגף חינוך 2022'!X7</f>
        <v>0</v>
      </c>
      <c r="Y7" s="339">
        <f>'תקציב אגף חינוך 2022'!Y7</f>
        <v>0</v>
      </c>
      <c r="Z7" s="339">
        <f>'תקציב אגף חינוך 2022'!Z7</f>
        <v>0</v>
      </c>
      <c r="AA7" s="339">
        <f>'תקציב אגף חינוך 2022'!AA7</f>
        <v>-44100</v>
      </c>
      <c r="AB7" s="413" t="str">
        <f>'תקציב אגף חינוך 2022'!AB7</f>
        <v>מימון מ. החינוך. שינוי מימון. התב"ר לסגירה.</v>
      </c>
      <c r="AC7" s="338">
        <f>'תקציב אגף חינוך 2022'!AC7</f>
        <v>810000</v>
      </c>
      <c r="AD7" s="536" t="s">
        <v>1823</v>
      </c>
      <c r="AE7" s="536" t="s">
        <v>1824</v>
      </c>
      <c r="AF7" s="536" t="s">
        <v>1824</v>
      </c>
      <c r="AG7" s="339"/>
      <c r="AH7" s="339"/>
      <c r="AI7" s="675"/>
      <c r="AJ7" s="675"/>
      <c r="AK7" s="339"/>
    </row>
    <row r="8" spans="1:37" s="341" customFormat="1" ht="30" customHeight="1">
      <c r="A8" s="338">
        <f t="shared" si="0"/>
        <v>4</v>
      </c>
      <c r="B8" s="338">
        <f>'תקציב אגף חינוך 2022'!B8</f>
        <v>1987</v>
      </c>
      <c r="C8" s="412" t="str">
        <f>'תקציב אגף חינוך 2022'!C8</f>
        <v>נגישות אקוסטית בי"ס</v>
      </c>
      <c r="D8" s="339">
        <f>'תקציב אגף חינוך 2022'!D8</f>
        <v>120000</v>
      </c>
      <c r="E8" s="339">
        <f>'תקציב אגף חינוך 2022'!E8</f>
        <v>120000</v>
      </c>
      <c r="F8" s="339">
        <f>'תקציב אגף חינוך 2022'!F8</f>
        <v>0</v>
      </c>
      <c r="G8" s="339">
        <f>'תקציב אגף חינוך 2022'!G8</f>
        <v>120000</v>
      </c>
      <c r="H8" s="339">
        <f>'תקציב אגף חינוך 2022'!H8</f>
        <v>77677</v>
      </c>
      <c r="I8" s="339">
        <f>'תקציב אגף חינוך 2022'!I8</f>
        <v>0</v>
      </c>
      <c r="J8" s="339">
        <f>'תקציב אגף חינוך 2022'!J8</f>
        <v>0</v>
      </c>
      <c r="K8" s="339">
        <f>'תקציב אגף חינוך 2022'!K8</f>
        <v>0</v>
      </c>
      <c r="L8" s="339">
        <f>'תקציב אגף חינוך 2022'!L8</f>
        <v>77677</v>
      </c>
      <c r="M8" s="339">
        <f>'תקציב אגף חינוך 2022'!M8</f>
        <v>42323</v>
      </c>
      <c r="N8" s="339">
        <f>'תקציב אגף חינוך 2022'!N8</f>
        <v>0</v>
      </c>
      <c r="O8" s="339">
        <f>'תקציב אגף חינוך 2022'!O8</f>
        <v>0</v>
      </c>
      <c r="P8" s="339">
        <f>'תקציב אגף חינוך 2022'!P8</f>
        <v>42323</v>
      </c>
      <c r="Q8" s="339">
        <f>'תקציב אגף חינוך 2022'!Q8</f>
        <v>0</v>
      </c>
      <c r="R8" s="339">
        <f>'תקציב אגף חינוך 2022'!R8</f>
        <v>0</v>
      </c>
      <c r="S8" s="339">
        <f>'תקציב אגף חינוך 2022'!S8</f>
        <v>0</v>
      </c>
      <c r="T8" s="339">
        <f>'תקציב אגף חינוך 2022'!T8</f>
        <v>0</v>
      </c>
      <c r="U8" s="339">
        <f>'תקציב אגף חינוך 2022'!U8</f>
        <v>0</v>
      </c>
      <c r="V8" s="339">
        <f>'תקציב אגף חינוך 2022'!V8</f>
        <v>0</v>
      </c>
      <c r="W8" s="339">
        <f>'תקציב אגף חינוך 2022'!W8</f>
        <v>0</v>
      </c>
      <c r="X8" s="339">
        <f>'תקציב אגף חינוך 2022'!X8</f>
        <v>0</v>
      </c>
      <c r="Y8" s="339">
        <f>'תקציב אגף חינוך 2022'!Y8</f>
        <v>0</v>
      </c>
      <c r="Z8" s="339">
        <f>'תקציב אגף חינוך 2022'!Z8</f>
        <v>0</v>
      </c>
      <c r="AA8" s="339">
        <f>'תקציב אגף חינוך 2022'!AA8</f>
        <v>0</v>
      </c>
      <c r="AB8" s="413" t="str">
        <f>'תקציב אגף חינוך 2022'!AB8</f>
        <v>ייסגר עם קבלת תקבולי מ. החינוך.</v>
      </c>
      <c r="AC8" s="338">
        <f>'תקציב אגף חינוך 2022'!AC8</f>
        <v>810000</v>
      </c>
      <c r="AD8" s="536" t="s">
        <v>1825</v>
      </c>
      <c r="AE8" s="536"/>
      <c r="AF8" s="536"/>
      <c r="AG8" s="339"/>
      <c r="AH8" s="339"/>
      <c r="AI8" s="675"/>
      <c r="AJ8" s="675"/>
      <c r="AK8" s="339"/>
    </row>
    <row r="9" spans="1:37" s="341" customFormat="1" ht="30" customHeight="1">
      <c r="A9" s="338">
        <f t="shared" si="0"/>
        <v>5</v>
      </c>
      <c r="B9" s="338">
        <f>'תקציב אגף חינוך 2022'!B9</f>
        <v>2033</v>
      </c>
      <c r="C9" s="412" t="str">
        <f>'תקציב אגף חינוך 2022'!C9</f>
        <v>הצטיידות בר אילן לאחר שיפוץ</v>
      </c>
      <c r="D9" s="339">
        <f>'תקציב אגף חינוך 2022'!D9</f>
        <v>700000</v>
      </c>
      <c r="E9" s="339">
        <f>'תקציב אגף חינוך 2022'!E9</f>
        <v>900000</v>
      </c>
      <c r="F9" s="339">
        <f>'תקציב אגף חינוך 2022'!F9</f>
        <v>-200000</v>
      </c>
      <c r="G9" s="339">
        <f>'תקציב אגף חינוך 2022'!G9</f>
        <v>900000</v>
      </c>
      <c r="H9" s="339">
        <f>'תקציב אגף חינוך 2022'!H9</f>
        <v>655856</v>
      </c>
      <c r="I9" s="339">
        <f>'תקציב אגף חינוך 2022'!I9</f>
        <v>0</v>
      </c>
      <c r="J9" s="339">
        <f>'תקציב אגף חינוך 2022'!J9</f>
        <v>0</v>
      </c>
      <c r="K9" s="339">
        <f>'תקציב אגף חינוך 2022'!K9</f>
        <v>0</v>
      </c>
      <c r="L9" s="339">
        <f>'תקציב אגף חינוך 2022'!L9</f>
        <v>655856</v>
      </c>
      <c r="M9" s="339">
        <f>'תקציב אגף חינוך 2022'!M9</f>
        <v>44144</v>
      </c>
      <c r="N9" s="339">
        <f>'תקציב אגף חינוך 2022'!N9</f>
        <v>0</v>
      </c>
      <c r="O9" s="339">
        <f>'תקציב אגף חינוך 2022'!O9</f>
        <v>0</v>
      </c>
      <c r="P9" s="339">
        <f>'תקציב אגף חינוך 2022'!P9</f>
        <v>244144</v>
      </c>
      <c r="Q9" s="339">
        <f>'תקציב אגף חינוך 2022'!Q9</f>
        <v>0</v>
      </c>
      <c r="R9" s="339">
        <f>'תקציב אגף חינוך 2022'!R9</f>
        <v>0</v>
      </c>
      <c r="S9" s="339">
        <f>'תקציב אגף חינוך 2022'!S9</f>
        <v>0</v>
      </c>
      <c r="T9" s="339">
        <f>'תקציב אגף חינוך 2022'!T9</f>
        <v>200000</v>
      </c>
      <c r="U9" s="339">
        <f>'תקציב אגף חינוך 2022'!U9</f>
        <v>-200000</v>
      </c>
      <c r="V9" s="339">
        <f>'תקציב אגף חינוך 2022'!V9</f>
        <v>0</v>
      </c>
      <c r="W9" s="339">
        <f>'תקציב אגף חינוך 2022'!W9</f>
        <v>-200000</v>
      </c>
      <c r="X9" s="339">
        <f>'תקציב אגף חינוך 2022'!X9</f>
        <v>0</v>
      </c>
      <c r="Y9" s="339">
        <f>'תקציב אגף חינוך 2022'!Y9</f>
        <v>0</v>
      </c>
      <c r="Z9" s="339">
        <f>'תקציב אגף חינוך 2022'!Z9</f>
        <v>0</v>
      </c>
      <c r="AA9" s="339">
        <f>'תקציב אגף חינוך 2022'!AA9</f>
        <v>0</v>
      </c>
      <c r="AB9" s="413" t="str">
        <f>'תקציב אגף חינוך 2022'!AB9</f>
        <v>הצטיידות בי"ס בר אילן אחרי השיפוץ.</v>
      </c>
      <c r="AC9" s="338">
        <f>'תקציב אגף חינוך 2022'!AC9</f>
        <v>810000</v>
      </c>
      <c r="AD9" s="536" t="s">
        <v>1826</v>
      </c>
      <c r="AE9" s="536" t="s">
        <v>645</v>
      </c>
      <c r="AF9" s="536" t="s">
        <v>645</v>
      </c>
      <c r="AG9" s="339"/>
      <c r="AH9" s="339"/>
      <c r="AI9" s="675"/>
      <c r="AJ9" s="675"/>
      <c r="AK9" s="339"/>
    </row>
    <row r="10" spans="1:37" s="341" customFormat="1" ht="42" customHeight="1">
      <c r="A10" s="338">
        <f t="shared" si="0"/>
        <v>6</v>
      </c>
      <c r="B10" s="338">
        <f>'תקציב אגף חינוך 2022'!B10</f>
        <v>2034</v>
      </c>
      <c r="C10" s="412" t="str">
        <f>'תקציב אגף חינוך 2022'!C10</f>
        <v>הצטיידות בי"ס יצחק נבון אלתרמן</v>
      </c>
      <c r="D10" s="339">
        <f>'תקציב אגף חינוך 2022'!D10</f>
        <v>2900000</v>
      </c>
      <c r="E10" s="339">
        <f>'תקציב אגף חינוך 2022'!E10</f>
        <v>3670000</v>
      </c>
      <c r="F10" s="339">
        <f>'תקציב אגף חינוך 2022'!F10</f>
        <v>-770000</v>
      </c>
      <c r="G10" s="339">
        <f>'תקציב אגף חינוך 2022'!G10</f>
        <v>3000000</v>
      </c>
      <c r="H10" s="339">
        <f>'תקציב אגף חינוך 2022'!H10</f>
        <v>2361271</v>
      </c>
      <c r="I10" s="339">
        <f>'תקציב אגף חינוך 2022'!I10</f>
        <v>0</v>
      </c>
      <c r="J10" s="339">
        <f>'תקציב אגף חינוך 2022'!J10</f>
        <v>274260</v>
      </c>
      <c r="K10" s="339">
        <f>'תקציב אגף חינוך 2022'!K10</f>
        <v>274260</v>
      </c>
      <c r="L10" s="339">
        <f>'תקציב אגף חינוך 2022'!L10</f>
        <v>2635531</v>
      </c>
      <c r="M10" s="339">
        <f>'תקציב אגף חינוך 2022'!M10</f>
        <v>264469</v>
      </c>
      <c r="N10" s="339">
        <f>'תקציב אגף חינוך 2022'!N10</f>
        <v>0</v>
      </c>
      <c r="O10" s="339">
        <f>'תקציב אגף חינוך 2022'!O10</f>
        <v>0</v>
      </c>
      <c r="P10" s="339">
        <f>'תקציב אגף חינוך 2022'!P10</f>
        <v>364469</v>
      </c>
      <c r="Q10" s="339">
        <f>'תקציב אגף חינוך 2022'!Q10</f>
        <v>0</v>
      </c>
      <c r="R10" s="339">
        <f>'תקציב אגף חינוך 2022'!R10</f>
        <v>-100000</v>
      </c>
      <c r="S10" s="339">
        <f>'תקציב אגף חינוך 2022'!S10</f>
        <v>-100000</v>
      </c>
      <c r="T10" s="339">
        <f>'תקציב אגף חינוך 2022'!T10</f>
        <v>0</v>
      </c>
      <c r="U10" s="339">
        <f>'תקציב אגף חינוך 2022'!U10</f>
        <v>0</v>
      </c>
      <c r="V10" s="339">
        <f>'תקציב אגף חינוך 2022'!V10</f>
        <v>0</v>
      </c>
      <c r="W10" s="339">
        <f>'תקציב אגף חינוך 2022'!W10</f>
        <v>0</v>
      </c>
      <c r="X10" s="339">
        <f>'תקציב אגף חינוך 2022'!X10</f>
        <v>0</v>
      </c>
      <c r="Y10" s="339">
        <f>'תקציב אגף חינוך 2022'!Y10</f>
        <v>0</v>
      </c>
      <c r="Z10" s="339">
        <f>'תקציב אגף חינוך 2022'!Z10</f>
        <v>0</v>
      </c>
      <c r="AA10" s="339">
        <f>'תקציב אגף חינוך 2022'!AA10</f>
        <v>0</v>
      </c>
      <c r="AB10" s="413" t="str">
        <f>'תקציב אגף חינוך 2022'!AB10</f>
        <v xml:space="preserve">המשך הצטיידות ומיחשוב בי"ס החדש  יצחק נבון כולל בגין תוספת 6 כיתות . </v>
      </c>
      <c r="AC10" s="338">
        <f>'תקציב אגף חינוך 2022'!AC10</f>
        <v>810000</v>
      </c>
      <c r="AD10" s="536" t="s">
        <v>1828</v>
      </c>
      <c r="AE10" s="536"/>
      <c r="AF10" s="536"/>
      <c r="AG10" s="339"/>
      <c r="AH10" s="339"/>
      <c r="AI10" s="675"/>
      <c r="AJ10" s="675"/>
      <c r="AK10" s="339"/>
    </row>
    <row r="11" spans="1:37" s="341" customFormat="1" ht="30" customHeight="1">
      <c r="A11" s="338">
        <f t="shared" si="0"/>
        <v>7</v>
      </c>
      <c r="B11" s="338">
        <f>'תקציב אגף חינוך 2022'!B11</f>
        <v>2070</v>
      </c>
      <c r="C11" s="412" t="str">
        <f>'תקציב אגף חינוך 2022'!C11</f>
        <v>הצטידות גנ"י חדשים  גליל ים מגרש301/2</v>
      </c>
      <c r="D11" s="339">
        <f>'תקציב אגף חינוך 2022'!D11</f>
        <v>500000</v>
      </c>
      <c r="E11" s="339">
        <f>'תקציב אגף חינוך 2022'!E11</f>
        <v>500000</v>
      </c>
      <c r="F11" s="339">
        <f>'תקציב אגף חינוך 2022'!F11</f>
        <v>0</v>
      </c>
      <c r="G11" s="339">
        <f>'תקציב אגף חינוך 2022'!G11</f>
        <v>500000</v>
      </c>
      <c r="H11" s="339">
        <f>'תקציב אגף חינוך 2022'!H11</f>
        <v>454742</v>
      </c>
      <c r="I11" s="339">
        <f>'תקציב אגף חינוך 2022'!I11</f>
        <v>0</v>
      </c>
      <c r="J11" s="339">
        <f>'תקציב אגף חינוך 2022'!J11</f>
        <v>9187</v>
      </c>
      <c r="K11" s="339">
        <f>'תקציב אגף חינוך 2022'!K11</f>
        <v>9187</v>
      </c>
      <c r="L11" s="339">
        <f>'תקציב אגף חינוך 2022'!L11</f>
        <v>463929</v>
      </c>
      <c r="M11" s="339">
        <f>'תקציב אגף חינוך 2022'!M11</f>
        <v>36071</v>
      </c>
      <c r="N11" s="339">
        <f>'תקציב אגף חינוך 2022'!N11</f>
        <v>0</v>
      </c>
      <c r="O11" s="339">
        <f>'תקציב אגף חינוך 2022'!O11</f>
        <v>0</v>
      </c>
      <c r="P11" s="339">
        <f>'תקציב אגף חינוך 2022'!P11</f>
        <v>36071</v>
      </c>
      <c r="Q11" s="339">
        <f>'תקציב אגף חינוך 2022'!Q11</f>
        <v>0</v>
      </c>
      <c r="R11" s="339">
        <f>'תקציב אגף חינוך 2022'!R11</f>
        <v>0</v>
      </c>
      <c r="S11" s="339">
        <f>'תקציב אגף חינוך 2022'!S11</f>
        <v>0</v>
      </c>
      <c r="T11" s="339">
        <f>'תקציב אגף חינוך 2022'!T11</f>
        <v>0</v>
      </c>
      <c r="U11" s="339">
        <f>'תקציב אגף חינוך 2022'!U11</f>
        <v>0</v>
      </c>
      <c r="V11" s="339">
        <f>'תקציב אגף חינוך 2022'!V11</f>
        <v>0</v>
      </c>
      <c r="W11" s="339">
        <f>'תקציב אגף חינוך 2022'!W11</f>
        <v>0</v>
      </c>
      <c r="X11" s="339">
        <f>'תקציב אגף חינוך 2022'!X11</f>
        <v>0</v>
      </c>
      <c r="Y11" s="339">
        <f>'תקציב אגף חינוך 2022'!Y11</f>
        <v>0</v>
      </c>
      <c r="Z11" s="339">
        <f>'תקציב אגף חינוך 2022'!Z11</f>
        <v>0</v>
      </c>
      <c r="AA11" s="339">
        <f>'תקציב אגף חינוך 2022'!AA11</f>
        <v>0</v>
      </c>
      <c r="AB11" s="413" t="str">
        <f>'תקציב אגף חינוך 2022'!AB11</f>
        <v>לקראת סגירה.</v>
      </c>
      <c r="AC11" s="338">
        <f>'תקציב אגף חינוך 2022'!AC11</f>
        <v>810000</v>
      </c>
      <c r="AD11" s="536" t="s">
        <v>1830</v>
      </c>
      <c r="AE11" s="536" t="s">
        <v>645</v>
      </c>
      <c r="AF11" s="536" t="s">
        <v>645</v>
      </c>
      <c r="AG11" s="339"/>
      <c r="AH11" s="339"/>
      <c r="AI11" s="675"/>
      <c r="AJ11" s="675"/>
      <c r="AK11" s="339"/>
    </row>
    <row r="12" spans="1:37" s="341" customFormat="1" ht="30" customHeight="1">
      <c r="A12" s="338">
        <f t="shared" si="0"/>
        <v>8</v>
      </c>
      <c r="B12" s="338">
        <f>'תקציב אגף חינוך 2022'!B12</f>
        <v>2090</v>
      </c>
      <c r="C12" s="412" t="str">
        <f>'תקציב אגף חינוך 2022'!C12</f>
        <v>סדנת רובוטיקה בהנדסאים</v>
      </c>
      <c r="D12" s="339">
        <f>'תקציב אגף חינוך 2022'!D12</f>
        <v>350000</v>
      </c>
      <c r="E12" s="339">
        <f>'תקציב אגף חינוך 2022'!E12</f>
        <v>350000</v>
      </c>
      <c r="F12" s="339">
        <f>'תקציב אגף חינוך 2022'!F12</f>
        <v>0</v>
      </c>
      <c r="G12" s="339">
        <f>'תקציב אגף חינוך 2022'!G12</f>
        <v>350000</v>
      </c>
      <c r="H12" s="339">
        <f>'תקציב אגף חינוך 2022'!H12</f>
        <v>261240</v>
      </c>
      <c r="I12" s="339">
        <f>'תקציב אגף חינוך 2022'!I12</f>
        <v>0</v>
      </c>
      <c r="J12" s="339">
        <f>'תקציב אגף חינוך 2022'!J12</f>
        <v>5903</v>
      </c>
      <c r="K12" s="339">
        <f>'תקציב אגף חינוך 2022'!K12</f>
        <v>5903</v>
      </c>
      <c r="L12" s="339">
        <f>'תקציב אגף חינוך 2022'!L12</f>
        <v>267143</v>
      </c>
      <c r="M12" s="339">
        <f>'תקציב אגף חינוך 2022'!M12</f>
        <v>82857</v>
      </c>
      <c r="N12" s="339">
        <f>'תקציב אגף חינוך 2022'!N12</f>
        <v>0</v>
      </c>
      <c r="O12" s="339">
        <f>'תקציב אגף חינוך 2022'!O12</f>
        <v>0</v>
      </c>
      <c r="P12" s="339">
        <f>'תקציב אגף חינוך 2022'!P12</f>
        <v>82857</v>
      </c>
      <c r="Q12" s="339">
        <f>'תקציב אגף חינוך 2022'!Q12</f>
        <v>0</v>
      </c>
      <c r="R12" s="339">
        <f>'תקציב אגף חינוך 2022'!R12</f>
        <v>0</v>
      </c>
      <c r="S12" s="339">
        <f>'תקציב אגף חינוך 2022'!S12</f>
        <v>0</v>
      </c>
      <c r="T12" s="339">
        <f>'תקציב אגף חינוך 2022'!T12</f>
        <v>0</v>
      </c>
      <c r="U12" s="339">
        <f>'תקציב אגף חינוך 2022'!U12</f>
        <v>0</v>
      </c>
      <c r="V12" s="339">
        <f>'תקציב אגף חינוך 2022'!V12</f>
        <v>0</v>
      </c>
      <c r="W12" s="339">
        <f>'תקציב אגף חינוך 2022'!W12</f>
        <v>0</v>
      </c>
      <c r="X12" s="339">
        <f>'תקציב אגף חינוך 2022'!X12</f>
        <v>0</v>
      </c>
      <c r="Y12" s="339">
        <f>'תקציב אגף חינוך 2022'!Y12</f>
        <v>0</v>
      </c>
      <c r="Z12" s="339">
        <f>'תקציב אגף חינוך 2022'!Z12</f>
        <v>0</v>
      </c>
      <c r="AA12" s="339">
        <f>'תקציב אגף חינוך 2022'!AA12</f>
        <v>0</v>
      </c>
      <c r="AB12" s="413" t="str">
        <f>'תקציב אגף חינוך 2022'!AB12</f>
        <v xml:space="preserve">הצטיידות מעבדה בהנדסאים . </v>
      </c>
      <c r="AC12" s="338">
        <f>'תקציב אגף חינוך 2022'!AC12</f>
        <v>810000</v>
      </c>
      <c r="AD12" s="536"/>
      <c r="AE12" s="536"/>
      <c r="AF12" s="536"/>
      <c r="AG12" s="339"/>
      <c r="AH12" s="339"/>
      <c r="AI12" s="675"/>
      <c r="AJ12" s="675"/>
      <c r="AK12" s="339"/>
    </row>
    <row r="13" spans="1:37" s="341" customFormat="1" ht="60">
      <c r="A13" s="338">
        <f t="shared" si="0"/>
        <v>9</v>
      </c>
      <c r="B13" s="338">
        <f>'תקציב אגף חינוך 2022'!B13</f>
        <v>2091</v>
      </c>
      <c r="C13" s="412" t="str">
        <f>'תקציב אגף חינוך 2022'!C13</f>
        <v>מרחבי למידה</v>
      </c>
      <c r="D13" s="339">
        <f>'תקציב אגף חינוך 2022'!D13</f>
        <v>1120000</v>
      </c>
      <c r="E13" s="339">
        <f>'תקציב אגף חינוך 2022'!E13</f>
        <v>1500000</v>
      </c>
      <c r="F13" s="339">
        <f>'תקציב אגף חינוך 2022'!F13</f>
        <v>-380000</v>
      </c>
      <c r="G13" s="339">
        <f>'תקציב אגף חינוך 2022'!G13</f>
        <v>80000</v>
      </c>
      <c r="H13" s="339">
        <f>'תקציב אגף חינוך 2022'!H13</f>
        <v>0</v>
      </c>
      <c r="I13" s="339">
        <f>'תקציב אגף חינוך 2022'!I13</f>
        <v>0</v>
      </c>
      <c r="J13" s="339">
        <f>'תקציב אגף חינוך 2022'!J13</f>
        <v>0</v>
      </c>
      <c r="K13" s="339">
        <f>'תקציב אגף חינוך 2022'!K13</f>
        <v>0</v>
      </c>
      <c r="L13" s="339">
        <f>'תקציב אגף חינוך 2022'!L13</f>
        <v>0</v>
      </c>
      <c r="M13" s="339">
        <f>'תקציב אגף חינוך 2022'!M13</f>
        <v>80000</v>
      </c>
      <c r="N13" s="339">
        <f>'תקציב אגף חינוך 2022'!N13</f>
        <v>1040000</v>
      </c>
      <c r="O13" s="339">
        <f>'תקציב אגף חינוך 2022'!O13</f>
        <v>0</v>
      </c>
      <c r="P13" s="339">
        <f>'תקציב אגף חינוך 2022'!P13</f>
        <v>80000</v>
      </c>
      <c r="Q13" s="339">
        <f>'תקציב אגף חינוך 2022'!Q13</f>
        <v>0</v>
      </c>
      <c r="R13" s="339">
        <f>'תקציב אגף חינוך 2022'!R13</f>
        <v>0</v>
      </c>
      <c r="S13" s="339">
        <f>'תקציב אגף חינוך 2022'!S13</f>
        <v>0</v>
      </c>
      <c r="T13" s="339">
        <f>'תקציב אגף חינוך 2022'!T13</f>
        <v>0</v>
      </c>
      <c r="U13" s="339">
        <f>'תקציב אגף חינוך 2022'!U13</f>
        <v>1040000</v>
      </c>
      <c r="V13" s="339">
        <f>'תקציב אגף חינוך 2022'!V13</f>
        <v>0</v>
      </c>
      <c r="W13" s="339">
        <f>'תקציב אגף חינוך 2022'!W13</f>
        <v>0</v>
      </c>
      <c r="X13" s="339">
        <f>'תקציב אגף חינוך 2022'!X13</f>
        <v>0</v>
      </c>
      <c r="Y13" s="339">
        <f>'תקציב אגף חינוך 2022'!Y13</f>
        <v>0</v>
      </c>
      <c r="Z13" s="339">
        <f>'תקציב אגף חינוך 2022'!Z13</f>
        <v>0</v>
      </c>
      <c r="AA13" s="339">
        <f>'תקציב אגף חינוך 2022'!AA13</f>
        <v>1040000</v>
      </c>
      <c r="AB13" s="413" t="str">
        <f>'תקציב אגף חינוך 2022'!AB13</f>
        <v xml:space="preserve">בניית מרחבי למידה  ב - 14 בי"ס . מימון מ. החינוך. </v>
      </c>
      <c r="AC13" s="338">
        <f>'תקציב אגף חינוך 2022'!AC13</f>
        <v>810000</v>
      </c>
      <c r="AD13" s="536" t="s">
        <v>1831</v>
      </c>
      <c r="AE13" s="536" t="s">
        <v>1832</v>
      </c>
      <c r="AF13" s="536" t="s">
        <v>1832</v>
      </c>
      <c r="AG13" s="339"/>
      <c r="AH13" s="339"/>
      <c r="AI13" s="675"/>
      <c r="AJ13" s="675"/>
      <c r="AK13" s="339"/>
    </row>
    <row r="14" spans="1:37" s="341" customFormat="1" ht="30">
      <c r="A14" s="338">
        <f t="shared" si="0"/>
        <v>10</v>
      </c>
      <c r="B14" s="338">
        <f>'תקציב אגף חינוך 2022'!B14</f>
        <v>2092</v>
      </c>
      <c r="C14" s="412" t="str">
        <f>'תקציב אגף חינוך 2022'!C14</f>
        <v>פרויקט לווינים - ישראל 70</v>
      </c>
      <c r="D14" s="339">
        <f>'תקציב אגף חינוך 2022'!D14</f>
        <v>4050720</v>
      </c>
      <c r="E14" s="339">
        <f>'תקציב אגף חינוך 2022'!E14</f>
        <v>4050720</v>
      </c>
      <c r="F14" s="339">
        <f>'תקציב אגף חינוך 2022'!F14</f>
        <v>0</v>
      </c>
      <c r="G14" s="339">
        <f>'תקציב אגף חינוך 2022'!G14</f>
        <v>4050720</v>
      </c>
      <c r="H14" s="339">
        <f>'תקציב אגף חינוך 2022'!H14</f>
        <v>3121181</v>
      </c>
      <c r="I14" s="339">
        <f>'תקציב אגף חינוך 2022'!I14</f>
        <v>173897</v>
      </c>
      <c r="J14" s="339">
        <f>'תקציב אגף חינוך 2022'!J14</f>
        <v>27304</v>
      </c>
      <c r="K14" s="339">
        <f>'תקציב אגף חינוך 2022'!K14</f>
        <v>201201</v>
      </c>
      <c r="L14" s="339">
        <f>'תקציב אגף חינוך 2022'!L14</f>
        <v>3322382</v>
      </c>
      <c r="M14" s="339">
        <f>'תקציב אגף חינוך 2022'!M14</f>
        <v>728338</v>
      </c>
      <c r="N14" s="339">
        <f>'תקציב אגף חינוך 2022'!N14</f>
        <v>0</v>
      </c>
      <c r="O14" s="339">
        <f>'תקציב אגף חינוך 2022'!O14</f>
        <v>0</v>
      </c>
      <c r="P14" s="339">
        <f>'תקציב אגף חינוך 2022'!P14</f>
        <v>728338</v>
      </c>
      <c r="Q14" s="339">
        <f>'תקציב אגף חינוך 2022'!Q14</f>
        <v>0</v>
      </c>
      <c r="R14" s="339">
        <f>'תקציב אגף חינוך 2022'!R14</f>
        <v>0</v>
      </c>
      <c r="S14" s="339">
        <f>'תקציב אגף חינוך 2022'!S14</f>
        <v>0</v>
      </c>
      <c r="T14" s="339">
        <f>'תקציב אגף חינוך 2022'!T14</f>
        <v>0</v>
      </c>
      <c r="U14" s="339">
        <f>'תקציב אגף חינוך 2022'!U14</f>
        <v>0</v>
      </c>
      <c r="V14" s="339">
        <f>'תקציב אגף חינוך 2022'!V14</f>
        <v>0</v>
      </c>
      <c r="W14" s="339">
        <f>'תקציב אגף חינוך 2022'!W14</f>
        <v>0</v>
      </c>
      <c r="X14" s="339">
        <f>'תקציב אגף חינוך 2022'!X14</f>
        <v>0</v>
      </c>
      <c r="Y14" s="339">
        <f>'תקציב אגף חינוך 2022'!Y14</f>
        <v>0</v>
      </c>
      <c r="Z14" s="339">
        <f>'תקציב אגף חינוך 2022'!Z14</f>
        <v>0</v>
      </c>
      <c r="AA14" s="339">
        <f>'תקציב אגף חינוך 2022'!AA14</f>
        <v>0</v>
      </c>
      <c r="AB14" s="413" t="str">
        <f>'תקציב אגף חינוך 2022'!AB14</f>
        <v>פרויקט שיגור 70 לווינים בשיתוף עם 70 ערים ומועצות עירוניות. מימון מ. המדע.</v>
      </c>
      <c r="AC14" s="338">
        <f>'תקציב אגף חינוך 2022'!AC14</f>
        <v>810000</v>
      </c>
      <c r="AD14" s="536"/>
      <c r="AE14" s="536"/>
      <c r="AF14" s="536"/>
      <c r="AG14" s="339"/>
      <c r="AH14" s="339"/>
      <c r="AI14" s="675"/>
      <c r="AJ14" s="675"/>
      <c r="AK14" s="339"/>
    </row>
    <row r="15" spans="1:37" s="341" customFormat="1" ht="30">
      <c r="A15" s="338">
        <f t="shared" si="0"/>
        <v>11</v>
      </c>
      <c r="B15" s="338">
        <f>'תקציב אגף חינוך 2022'!B15</f>
        <v>2135</v>
      </c>
      <c r="C15" s="412" t="str">
        <f>'תקציב אגף חינוך 2022'!C15</f>
        <v>חידוש ריהוט בי"ס</v>
      </c>
      <c r="D15" s="339">
        <f>'תקציב אגף חינוך 2022'!D15</f>
        <v>23000000</v>
      </c>
      <c r="E15" s="339">
        <f>'תקציב אגף חינוך 2022'!E15</f>
        <v>23000000</v>
      </c>
      <c r="F15" s="339">
        <f>'תקציב אגף חינוך 2022'!F15</f>
        <v>0</v>
      </c>
      <c r="G15" s="339">
        <f>'תקציב אגף חינוך 2022'!G15</f>
        <v>0</v>
      </c>
      <c r="H15" s="339">
        <f>'תקציב אגף חינוך 2022'!H15</f>
        <v>0</v>
      </c>
      <c r="I15" s="339">
        <f>'תקציב אגף חינוך 2022'!I15</f>
        <v>0</v>
      </c>
      <c r="J15" s="339">
        <f>'תקציב אגף חינוך 2022'!J15</f>
        <v>0</v>
      </c>
      <c r="K15" s="339">
        <f>'תקציב אגף חינוך 2022'!K15</f>
        <v>0</v>
      </c>
      <c r="L15" s="339">
        <f>'תקציב אגף חינוך 2022'!L15</f>
        <v>0</v>
      </c>
      <c r="M15" s="339">
        <f>'תקציב אגף חינוך 2022'!M15</f>
        <v>0</v>
      </c>
      <c r="N15" s="339">
        <f>'תקציב אגף חינוך 2022'!N15</f>
        <v>1000000</v>
      </c>
      <c r="O15" s="339">
        <f>'תקציב אגף חינוך 2022'!O15</f>
        <v>22000000</v>
      </c>
      <c r="P15" s="339">
        <f>'תקציב אגף חינוך 2022'!P15</f>
        <v>0</v>
      </c>
      <c r="Q15" s="339">
        <f>'תקציב אגף חינוך 2022'!Q15</f>
        <v>0</v>
      </c>
      <c r="R15" s="339">
        <f>'תקציב אגף חינוך 2022'!R15</f>
        <v>0</v>
      </c>
      <c r="S15" s="339">
        <f>'תקציב אגף חינוך 2022'!S15</f>
        <v>0</v>
      </c>
      <c r="T15" s="339">
        <f>'תקציב אגף חינוך 2022'!T15</f>
        <v>0</v>
      </c>
      <c r="U15" s="339">
        <f>'תקציב אגף חינוך 2022'!U15</f>
        <v>1000000</v>
      </c>
      <c r="V15" s="339">
        <f>'תקציב אגף חינוך 2022'!V15</f>
        <v>0</v>
      </c>
      <c r="W15" s="339">
        <f>'תקציב אגף חינוך 2022'!W15</f>
        <v>1000000</v>
      </c>
      <c r="X15" s="339">
        <f>'תקציב אגף חינוך 2022'!X15</f>
        <v>0</v>
      </c>
      <c r="Y15" s="339">
        <f>'תקציב אגף חינוך 2022'!Y15</f>
        <v>0</v>
      </c>
      <c r="Z15" s="339">
        <f>'תקציב אגף חינוך 2022'!Z15</f>
        <v>0</v>
      </c>
      <c r="AA15" s="339">
        <f>'תקציב אגף חינוך 2022'!AA15</f>
        <v>0</v>
      </c>
      <c r="AB15" s="413" t="str">
        <f>'תקציב אגף חינוך 2022'!AB15</f>
        <v>פרויקט החלפת ריהוט המותאם למאה ה - 21  בכל ביה"ס. תוכנית רב שנתית.</v>
      </c>
      <c r="AC15" s="338">
        <f>'תקציב אגף חינוך 2022'!AC15</f>
        <v>810000</v>
      </c>
      <c r="AD15" s="536" t="s">
        <v>1833</v>
      </c>
      <c r="AE15" s="536"/>
      <c r="AF15" s="536"/>
      <c r="AG15" s="339">
        <v>-5792000</v>
      </c>
      <c r="AH15" s="339">
        <v>-1000000</v>
      </c>
      <c r="AI15" s="675">
        <v>2500000</v>
      </c>
      <c r="AJ15" s="675">
        <f>AI15-N15</f>
        <v>1500000</v>
      </c>
      <c r="AK15" s="339">
        <v>-1000000</v>
      </c>
    </row>
    <row r="16" spans="1:37" s="341" customFormat="1" ht="45">
      <c r="A16" s="338">
        <f t="shared" si="0"/>
        <v>12</v>
      </c>
      <c r="B16" s="338">
        <f>'תקציב אגף חינוך 2022'!B16</f>
        <v>2159</v>
      </c>
      <c r="C16" s="412" t="str">
        <f>'תקציב אגף חינוך 2022'!C16</f>
        <v>הצטיידות מעבדות תיכון ראשונים</v>
      </c>
      <c r="D16" s="339">
        <f>'תקציב אגף חינוך 2022'!D16</f>
        <v>200000</v>
      </c>
      <c r="E16" s="339">
        <f>'תקציב אגף חינוך 2022'!E16</f>
        <v>200000</v>
      </c>
      <c r="F16" s="339">
        <f>'תקציב אגף חינוך 2022'!F16</f>
        <v>0</v>
      </c>
      <c r="G16" s="339">
        <f>'תקציב אגף חינוך 2022'!G16</f>
        <v>200000</v>
      </c>
      <c r="H16" s="339">
        <f>'תקציב אגף חינוך 2022'!H16</f>
        <v>122945</v>
      </c>
      <c r="I16" s="339">
        <f>'תקציב אגף חינוך 2022'!I16</f>
        <v>0</v>
      </c>
      <c r="J16" s="339">
        <f>'תקציב אגף חינוך 2022'!J16</f>
        <v>53787</v>
      </c>
      <c r="K16" s="339">
        <f>'תקציב אגף חינוך 2022'!K16</f>
        <v>53787</v>
      </c>
      <c r="L16" s="339">
        <f>'תקציב אגף חינוך 2022'!L16</f>
        <v>176732</v>
      </c>
      <c r="M16" s="339">
        <f>'תקציב אגף חינוך 2022'!M16</f>
        <v>23268</v>
      </c>
      <c r="N16" s="339">
        <f>'תקציב אגף חינוך 2022'!N16</f>
        <v>0</v>
      </c>
      <c r="O16" s="339">
        <f>'תקציב אגף חינוך 2022'!O16</f>
        <v>0</v>
      </c>
      <c r="P16" s="339">
        <f>'תקציב אגף חינוך 2022'!P16</f>
        <v>23268</v>
      </c>
      <c r="Q16" s="339">
        <f>'תקציב אגף חינוך 2022'!Q16</f>
        <v>0</v>
      </c>
      <c r="R16" s="339">
        <f>'תקציב אגף חינוך 2022'!R16</f>
        <v>0</v>
      </c>
      <c r="S16" s="339">
        <f>'תקציב אגף חינוך 2022'!S16</f>
        <v>0</v>
      </c>
      <c r="T16" s="339">
        <f>'תקציב אגף חינוך 2022'!T16</f>
        <v>0</v>
      </c>
      <c r="U16" s="339">
        <f>'תקציב אגף חינוך 2022'!U16</f>
        <v>0</v>
      </c>
      <c r="V16" s="339">
        <f>'תקציב אגף חינוך 2022'!V16</f>
        <v>0</v>
      </c>
      <c r="W16" s="339">
        <f>'תקציב אגף חינוך 2022'!W16</f>
        <v>0</v>
      </c>
      <c r="X16" s="339">
        <f>'תקציב אגף חינוך 2022'!X16</f>
        <v>0</v>
      </c>
      <c r="Y16" s="339">
        <f>'תקציב אגף חינוך 2022'!Y16</f>
        <v>0</v>
      </c>
      <c r="Z16" s="339">
        <f>'תקציב אגף חינוך 2022'!Z16</f>
        <v>0</v>
      </c>
      <c r="AA16" s="339">
        <f>'תקציב אגף חינוך 2022'!AA16</f>
        <v>0</v>
      </c>
      <c r="AB16" s="413" t="str">
        <f>'תקציב אגף חינוך 2022'!AB16</f>
        <v>הצטיידות חדשה של מעבדות בתיכון ראשונים עקב גידול משמעותי במספר התלמידים ומספר הפעילויות .</v>
      </c>
      <c r="AC16" s="338">
        <f>'תקציב אגף חינוך 2022'!AC16</f>
        <v>810000</v>
      </c>
      <c r="AD16" s="536"/>
      <c r="AE16" s="536"/>
      <c r="AF16" s="536"/>
      <c r="AG16" s="339"/>
      <c r="AH16" s="339"/>
      <c r="AI16" s="675"/>
      <c r="AJ16" s="675"/>
      <c r="AK16" s="339"/>
    </row>
    <row r="17" spans="1:37" s="341" customFormat="1" ht="45">
      <c r="A17" s="338">
        <f t="shared" si="0"/>
        <v>13</v>
      </c>
      <c r="B17" s="338">
        <f>'תקציב אגף חינוך 2022'!B17</f>
        <v>2160</v>
      </c>
      <c r="C17" s="412" t="str">
        <f>'תקציב אגף חינוך 2022'!C17</f>
        <v xml:space="preserve">עיצוב חדשני של כיתות האם </v>
      </c>
      <c r="D17" s="339">
        <f>'תקציב אגף חינוך 2022'!D17</f>
        <v>210000</v>
      </c>
      <c r="E17" s="339">
        <f>'תקציב אגף חינוך 2022'!E17</f>
        <v>180000</v>
      </c>
      <c r="F17" s="339">
        <f>'תקציב אגף חינוך 2022'!F17</f>
        <v>30000</v>
      </c>
      <c r="G17" s="339">
        <f>'תקציב אגף חינוך 2022'!G17</f>
        <v>0</v>
      </c>
      <c r="H17" s="339">
        <f>'תקציב אגף חינוך 2022'!H17</f>
        <v>0</v>
      </c>
      <c r="I17" s="339">
        <f>'תקציב אגף חינוך 2022'!I17</f>
        <v>0</v>
      </c>
      <c r="J17" s="339">
        <f>'תקציב אגף חינוך 2022'!J17</f>
        <v>0</v>
      </c>
      <c r="K17" s="339">
        <f>'תקציב אגף חינוך 2022'!K17</f>
        <v>0</v>
      </c>
      <c r="L17" s="339">
        <f>'תקציב אגף חינוך 2022'!L17</f>
        <v>0</v>
      </c>
      <c r="M17" s="339">
        <f>'תקציב אגף חינוך 2022'!M17</f>
        <v>0</v>
      </c>
      <c r="N17" s="339">
        <f>'תקציב אגף חינוך 2022'!N17</f>
        <v>210000</v>
      </c>
      <c r="O17" s="339">
        <f>'תקציב אגף חינוך 2022'!O17</f>
        <v>0</v>
      </c>
      <c r="P17" s="339">
        <f>'תקציב אגף חינוך 2022'!P17</f>
        <v>0</v>
      </c>
      <c r="Q17" s="339">
        <f>'תקציב אגף חינוך 2022'!Q17</f>
        <v>0</v>
      </c>
      <c r="R17" s="339">
        <f>'תקציב אגף חינוך 2022'!R17</f>
        <v>0</v>
      </c>
      <c r="S17" s="339">
        <f>'תקציב אגף חינוך 2022'!S17</f>
        <v>0</v>
      </c>
      <c r="T17" s="339">
        <f>'תקציב אגף חינוך 2022'!T17</f>
        <v>0</v>
      </c>
      <c r="U17" s="339">
        <f>'תקציב אגף חינוך 2022'!U17</f>
        <v>210000</v>
      </c>
      <c r="V17" s="339">
        <f>'תקציב אגף חינוך 2022'!V17</f>
        <v>0</v>
      </c>
      <c r="W17" s="339">
        <f>'תקציב אגף חינוך 2022'!W17</f>
        <v>210000</v>
      </c>
      <c r="X17" s="339">
        <f>'תקציב אגף חינוך 2022'!X17</f>
        <v>0</v>
      </c>
      <c r="Y17" s="339">
        <f>'תקציב אגף חינוך 2022'!Y17</f>
        <v>0</v>
      </c>
      <c r="Z17" s="339">
        <f>'תקציב אגף חינוך 2022'!Z17</f>
        <v>0</v>
      </c>
      <c r="AA17" s="339">
        <f>'תקציב אגף חינוך 2022'!AA17</f>
        <v>0</v>
      </c>
      <c r="AB17" s="413" t="str">
        <f>'תקציב אגף חינוך 2022'!AB17</f>
        <v>הקמת מרחבי למידה חדשניים בשכבת כיתות ז' בחט"ב רעות הכולל ריהוט ועיצוב פנים.</v>
      </c>
      <c r="AC17" s="338">
        <f>'תקציב אגף חינוך 2022'!AC17</f>
        <v>810000</v>
      </c>
      <c r="AD17" s="536" t="s">
        <v>1834</v>
      </c>
      <c r="AE17" s="536" t="s">
        <v>1835</v>
      </c>
      <c r="AF17" s="536" t="s">
        <v>1835</v>
      </c>
      <c r="AG17" s="339"/>
      <c r="AH17" s="339"/>
      <c r="AI17" s="675"/>
      <c r="AJ17" s="675"/>
      <c r="AK17" s="339"/>
    </row>
    <row r="18" spans="1:37" s="341" customFormat="1" ht="45">
      <c r="A18" s="338">
        <f t="shared" si="0"/>
        <v>14</v>
      </c>
      <c r="B18" s="338">
        <f>'תקציב אגף חינוך 2022'!B18</f>
        <v>2179</v>
      </c>
      <c r="C18" s="412" t="str">
        <f>'תקציב אגף חינוך 2022'!C18</f>
        <v>עיצוב מרחבי למידה מוס"ח מ.חינוך</v>
      </c>
      <c r="D18" s="339">
        <f>'תקציב אגף חינוך 2022'!D18</f>
        <v>390000</v>
      </c>
      <c r="E18" s="339">
        <f>'תקציב אגף חינוך 2022'!E18</f>
        <v>460000</v>
      </c>
      <c r="F18" s="339">
        <f>'תקציב אגף חינוך 2022'!F18</f>
        <v>-70000</v>
      </c>
      <c r="G18" s="339">
        <f>'תקציב אגף חינוך 2022'!G18</f>
        <v>460000</v>
      </c>
      <c r="H18" s="339">
        <f>'תקציב אגף חינוך 2022'!H18</f>
        <v>363521</v>
      </c>
      <c r="I18" s="339">
        <f>'תקציב אגף חינוך 2022'!I18</f>
        <v>0</v>
      </c>
      <c r="J18" s="339">
        <f>'תקציב אגף חינוך 2022'!J18</f>
        <v>9788</v>
      </c>
      <c r="K18" s="339">
        <f>'תקציב אגף חינוך 2022'!K18</f>
        <v>9788</v>
      </c>
      <c r="L18" s="339">
        <f>'תקציב אגף חינוך 2022'!L18</f>
        <v>373309</v>
      </c>
      <c r="M18" s="339">
        <f>'תקציב אגף חינוך 2022'!M18</f>
        <v>16691</v>
      </c>
      <c r="N18" s="339">
        <f>'תקציב אגף חינוך 2022'!N18</f>
        <v>0</v>
      </c>
      <c r="O18" s="339">
        <f>'תקציב אגף חינוך 2022'!O18</f>
        <v>0</v>
      </c>
      <c r="P18" s="339">
        <f>'תקציב אגף חינוך 2022'!P18</f>
        <v>86691</v>
      </c>
      <c r="Q18" s="339">
        <f>'תקציב אגף חינוך 2022'!Q18</f>
        <v>0</v>
      </c>
      <c r="R18" s="339">
        <f>'תקציב אגף חינוך 2022'!R18</f>
        <v>0</v>
      </c>
      <c r="S18" s="339">
        <f>'תקציב אגף חינוך 2022'!S18</f>
        <v>0</v>
      </c>
      <c r="T18" s="339">
        <f>'תקציב אגף חינוך 2022'!T18</f>
        <v>70000</v>
      </c>
      <c r="U18" s="339">
        <f>'תקציב אגף חינוך 2022'!U18</f>
        <v>-70000</v>
      </c>
      <c r="V18" s="339">
        <f>'תקציב אגף חינוך 2022'!V18</f>
        <v>0</v>
      </c>
      <c r="W18" s="339">
        <f>'תקציב אגף חינוך 2022'!W18</f>
        <v>0</v>
      </c>
      <c r="X18" s="339">
        <f>'תקציב אגף חינוך 2022'!X18</f>
        <v>0</v>
      </c>
      <c r="Y18" s="339">
        <f>'תקציב אגף חינוך 2022'!Y18</f>
        <v>0</v>
      </c>
      <c r="Z18" s="339">
        <f>'תקציב אגף חינוך 2022'!Z18</f>
        <v>0</v>
      </c>
      <c r="AA18" s="339">
        <f>'תקציב אגף חינוך 2022'!AA18</f>
        <v>-70000</v>
      </c>
      <c r="AB18" s="413" t="str">
        <f>'תקציב אגף חינוך 2022'!AB18</f>
        <v xml:space="preserve">מימון מ. החינוך. הקטנת תקציב . מרחב למידה הנדיב לא לביצוע. </v>
      </c>
      <c r="AC18" s="338">
        <f>'תקציב אגף חינוך 2022'!AC18</f>
        <v>810000</v>
      </c>
      <c r="AD18" s="536" t="s">
        <v>1836</v>
      </c>
      <c r="AE18" s="536" t="s">
        <v>1836</v>
      </c>
      <c r="AF18" s="536" t="s">
        <v>1836</v>
      </c>
      <c r="AG18" s="339"/>
      <c r="AH18" s="339"/>
      <c r="AI18" s="675"/>
      <c r="AJ18" s="675"/>
      <c r="AK18" s="339"/>
    </row>
    <row r="19" spans="1:37" s="341" customFormat="1" ht="60">
      <c r="A19" s="338">
        <f t="shared" si="0"/>
        <v>15</v>
      </c>
      <c r="B19" s="338">
        <f>'תקציב אגף חינוך 2022'!B19</f>
        <v>2217</v>
      </c>
      <c r="C19" s="412" t="str">
        <f>'תקציב אגף חינוך 2022'!C19</f>
        <v>הצטיידות גנ"י ילדים גליל ים עדכון (*) (מגרשים 303,302,404,406,408)</v>
      </c>
      <c r="D19" s="339">
        <f>'תקציב אגף חינוך 2022'!D19</f>
        <v>2650000</v>
      </c>
      <c r="E19" s="339">
        <f>'תקציב אגף חינוך 2022'!E19</f>
        <v>1210000</v>
      </c>
      <c r="F19" s="339">
        <f>'תקציב אגף חינוך 2022'!F19</f>
        <v>1440000</v>
      </c>
      <c r="G19" s="339">
        <f>'תקציב אגף חינוך 2022'!G19</f>
        <v>950000</v>
      </c>
      <c r="H19" s="339">
        <f>'תקציב אגף חינוך 2022'!H19</f>
        <v>0</v>
      </c>
      <c r="I19" s="339">
        <f>'תקציב אגף חינוך 2022'!I19</f>
        <v>0</v>
      </c>
      <c r="J19" s="339">
        <f>'תקציב אגף חינוך 2022'!J19</f>
        <v>950000</v>
      </c>
      <c r="K19" s="339">
        <f>'תקציב אגף חינוך 2022'!K19</f>
        <v>950000</v>
      </c>
      <c r="L19" s="339">
        <f>'תקציב אגף חינוך 2022'!L19</f>
        <v>950000</v>
      </c>
      <c r="M19" s="339">
        <f>'תקציב אגף חינוך 2022'!M19</f>
        <v>260000</v>
      </c>
      <c r="N19" s="339">
        <f>'תקציב אגף חינוך 2022'!N19</f>
        <v>1440000</v>
      </c>
      <c r="O19" s="339">
        <f>'תקציב אגף חינוך 2022'!O19</f>
        <v>0</v>
      </c>
      <c r="P19" s="339">
        <f>'תקציב אגף חינוך 2022'!P19</f>
        <v>0</v>
      </c>
      <c r="Q19" s="339">
        <f>'תקציב אגף חינוך 2022'!Q19</f>
        <v>0</v>
      </c>
      <c r="R19" s="339">
        <f>'תקציב אגף חינוך 2022'!R19</f>
        <v>260000</v>
      </c>
      <c r="S19" s="339">
        <f>'תקציב אגף חינוך 2022'!S19</f>
        <v>260000</v>
      </c>
      <c r="T19" s="339">
        <f>'תקציב אגף חינוך 2022'!T19</f>
        <v>0</v>
      </c>
      <c r="U19" s="339">
        <f>'תקציב אגף חינוך 2022'!U19</f>
        <v>1440000</v>
      </c>
      <c r="V19" s="339">
        <f>'תקציב אגף חינוך 2022'!V19</f>
        <v>0</v>
      </c>
      <c r="W19" s="339">
        <f>'תקציב אגף חינוך 2022'!W19</f>
        <v>1440000</v>
      </c>
      <c r="X19" s="339">
        <f>'תקציב אגף חינוך 2022'!X19</f>
        <v>0</v>
      </c>
      <c r="Y19" s="339">
        <f>'תקציב אגף חינוך 2022'!Y19</f>
        <v>0</v>
      </c>
      <c r="Z19" s="339">
        <f>'תקציב אגף חינוך 2022'!Z19</f>
        <v>0</v>
      </c>
      <c r="AA19" s="339">
        <f>'תקציב אגף חינוך 2022'!AA19</f>
        <v>0</v>
      </c>
      <c r="AB19" s="413" t="str">
        <f>'תקציב אגף חינוך 2022'!AB19</f>
        <v>הצטיידות 20 גנ"י ח"ר וח"מ  במגרשים 303,302,404. במקביל לבנית גנ"י בביצוע של החב. לפיתוח. תוספת למגרשים 406 ו-408.</v>
      </c>
      <c r="AC19" s="338">
        <f>'תקציב אגף חינוך 2022'!AC19</f>
        <v>810000</v>
      </c>
      <c r="AD19" s="536"/>
      <c r="AE19" s="536" t="s">
        <v>1837</v>
      </c>
      <c r="AF19" s="536" t="s">
        <v>1837</v>
      </c>
      <c r="AG19" s="339">
        <v>-500000</v>
      </c>
      <c r="AH19" s="339">
        <v>-500000</v>
      </c>
      <c r="AI19" s="675"/>
      <c r="AJ19" s="675"/>
      <c r="AK19" s="339">
        <v>-500000</v>
      </c>
    </row>
    <row r="20" spans="1:37" s="341" customFormat="1" ht="45">
      <c r="A20" s="338">
        <f t="shared" si="0"/>
        <v>16</v>
      </c>
      <c r="B20" s="338">
        <f>'תקציב אגף חינוך 2022'!B20</f>
        <v>2218</v>
      </c>
      <c r="C20" s="412" t="str">
        <f>'תקציב אגף חינוך 2022'!C20</f>
        <v>הצטיידות בית ספר חלופי</v>
      </c>
      <c r="D20" s="339">
        <f>'תקציב אגף חינוך 2022'!D20</f>
        <v>1400000</v>
      </c>
      <c r="E20" s="339">
        <f>'תקציב אגף חינוך 2022'!E20</f>
        <v>2300000</v>
      </c>
      <c r="F20" s="339">
        <f>'תקציב אגף חינוך 2022'!F20</f>
        <v>-900000</v>
      </c>
      <c r="G20" s="339">
        <f>'תקציב אגף חינוך 2022'!G20</f>
        <v>1500000</v>
      </c>
      <c r="H20" s="339">
        <f>'תקציב אגף חינוך 2022'!H20</f>
        <v>24336</v>
      </c>
      <c r="I20" s="339">
        <f>'תקציב אגף חינוך 2022'!I20</f>
        <v>0</v>
      </c>
      <c r="J20" s="339">
        <f>'תקציב אגף חינוך 2022'!J20</f>
        <v>902285</v>
      </c>
      <c r="K20" s="339">
        <f>'תקציב אגף חינוך 2022'!K20</f>
        <v>902285</v>
      </c>
      <c r="L20" s="339">
        <f>'תקציב אגף חינוך 2022'!L20</f>
        <v>926621</v>
      </c>
      <c r="M20" s="339">
        <f>'תקציב אגף חינוך 2022'!M20</f>
        <v>473379</v>
      </c>
      <c r="N20" s="339">
        <f>'תקציב אגף חינוך 2022'!N20</f>
        <v>0</v>
      </c>
      <c r="O20" s="339">
        <f>'תקציב אגף חינוך 2022'!O20</f>
        <v>0</v>
      </c>
      <c r="P20" s="339">
        <f>'תקציב אגף חינוך 2022'!P20</f>
        <v>573379</v>
      </c>
      <c r="Q20" s="339">
        <f>'תקציב אגף חינוך 2022'!Q20</f>
        <v>0</v>
      </c>
      <c r="R20" s="339">
        <f>'תקציב אגף חינוך 2022'!R20</f>
        <v>-100000</v>
      </c>
      <c r="S20" s="339">
        <f>'תקציב אגף חינוך 2022'!S20</f>
        <v>-100000</v>
      </c>
      <c r="T20" s="339">
        <f>'תקציב אגף חינוך 2022'!T20</f>
        <v>0</v>
      </c>
      <c r="U20" s="339">
        <f>'תקציב אגף חינוך 2022'!U20</f>
        <v>0</v>
      </c>
      <c r="V20" s="339">
        <f>'תקציב אגף חינוך 2022'!V20</f>
        <v>0</v>
      </c>
      <c r="W20" s="339">
        <f>'תקציב אגף חינוך 2022'!W20</f>
        <v>0</v>
      </c>
      <c r="X20" s="339">
        <f>'תקציב אגף חינוך 2022'!X20</f>
        <v>0</v>
      </c>
      <c r="Y20" s="339">
        <f>'תקציב אגף חינוך 2022'!Y20</f>
        <v>0</v>
      </c>
      <c r="Z20" s="339">
        <f>'תקציב אגף חינוך 2022'!Z20</f>
        <v>0</v>
      </c>
      <c r="AA20" s="339">
        <f>'תקציב אגף חינוך 2022'!AA20</f>
        <v>0</v>
      </c>
      <c r="AB20" s="413" t="str">
        <f>'תקציב אגף חינוך 2022'!AB20</f>
        <v>הצטיידות ריהוט ומיחשוב 40 מרחבי למידה כולל 20  כיתות אם . מימון מ. הפיס.</v>
      </c>
      <c r="AC20" s="338">
        <f>'תקציב אגף חינוך 2022'!AC20</f>
        <v>810000</v>
      </c>
      <c r="AD20" s="536" t="s">
        <v>1838</v>
      </c>
      <c r="AE20" s="536"/>
      <c r="AF20" s="536"/>
      <c r="AG20" s="339"/>
      <c r="AH20" s="339"/>
      <c r="AI20" s="675"/>
      <c r="AJ20" s="675"/>
      <c r="AK20" s="339"/>
    </row>
    <row r="21" spans="1:37" s="341" customFormat="1" ht="45">
      <c r="A21" s="338">
        <f t="shared" si="0"/>
        <v>17</v>
      </c>
      <c r="B21" s="338">
        <f>'תקציב אגף חינוך 2022'!B21</f>
        <v>2219</v>
      </c>
      <c r="C21" s="412" t="str">
        <f>'תקציב אגף חינוך 2022'!C21</f>
        <v>הצטיידות בי"ס דמוקרטי</v>
      </c>
      <c r="D21" s="339">
        <f>'תקציב אגף חינוך 2022'!D21</f>
        <v>750000</v>
      </c>
      <c r="E21" s="339">
        <f>'תקציב אגף חינוך 2022'!E21</f>
        <v>750000</v>
      </c>
      <c r="F21" s="339">
        <f>'תקציב אגף חינוך 2022'!F21</f>
        <v>0</v>
      </c>
      <c r="G21" s="339">
        <f>'תקציב אגף חינוך 2022'!G21</f>
        <v>680000</v>
      </c>
      <c r="H21" s="339">
        <f>'תקציב אגף חינוך 2022'!H21</f>
        <v>57</v>
      </c>
      <c r="I21" s="339">
        <f>'תקציב אגף חינוך 2022'!I21</f>
        <v>0</v>
      </c>
      <c r="J21" s="339">
        <f>'תקציב אגף חינוך 2022'!J21</f>
        <v>222063</v>
      </c>
      <c r="K21" s="339">
        <f>'תקציב אגף חינוך 2022'!K21</f>
        <v>222063</v>
      </c>
      <c r="L21" s="339">
        <f>'תקציב אגף חינוך 2022'!L21</f>
        <v>222120</v>
      </c>
      <c r="M21" s="339">
        <f>'תקציב אגף חינוך 2022'!M21</f>
        <v>317880</v>
      </c>
      <c r="N21" s="339">
        <f>'תקציב אגף חינוך 2022'!N21</f>
        <v>210000</v>
      </c>
      <c r="O21" s="339">
        <f>'תקציב אגף חינוך 2022'!O21</f>
        <v>0</v>
      </c>
      <c r="P21" s="339">
        <f>'תקציב אגף חינוך 2022'!P21</f>
        <v>457880</v>
      </c>
      <c r="Q21" s="339">
        <f>'תקציב אגף חינוך 2022'!Q21</f>
        <v>0</v>
      </c>
      <c r="R21" s="339">
        <f>'תקציב אגף חינוך 2022'!R21</f>
        <v>-140000</v>
      </c>
      <c r="S21" s="339">
        <f>'תקציב אגף חינוך 2022'!S21</f>
        <v>-140000</v>
      </c>
      <c r="T21" s="339">
        <f>'תקציב אגף חינוך 2022'!T21</f>
        <v>0</v>
      </c>
      <c r="U21" s="339">
        <f>'תקציב אגף חינוך 2022'!U21</f>
        <v>210000</v>
      </c>
      <c r="V21" s="339">
        <f>'תקציב אגף חינוך 2022'!V21</f>
        <v>0</v>
      </c>
      <c r="W21" s="339">
        <f>'תקציב אגף חינוך 2022'!W21</f>
        <v>210000</v>
      </c>
      <c r="X21" s="339">
        <f>'תקציב אגף חינוך 2022'!X21</f>
        <v>0</v>
      </c>
      <c r="Y21" s="339">
        <f>'תקציב אגף חינוך 2022'!Y21</f>
        <v>0</v>
      </c>
      <c r="Z21" s="339">
        <f>'תקציב אגף חינוך 2022'!Z21</f>
        <v>0</v>
      </c>
      <c r="AA21" s="339">
        <f>'תקציב אגף חינוך 2022'!AA21</f>
        <v>0</v>
      </c>
      <c r="AB21" s="413" t="str">
        <f>'תקציב אגף חינוך 2022'!AB21</f>
        <v>הצטיידות ריהוט ומיחשוב מבנה  בי"ס דמוקרטי בפארק.</v>
      </c>
      <c r="AC21" s="338">
        <f>'תקציב אגף חינוך 2022'!AC21</f>
        <v>810000</v>
      </c>
      <c r="AD21" s="536" t="s">
        <v>1840</v>
      </c>
      <c r="AE21" s="536"/>
      <c r="AF21" s="536"/>
      <c r="AG21" s="339"/>
      <c r="AH21" s="339"/>
      <c r="AI21" s="675"/>
      <c r="AJ21" s="675"/>
      <c r="AK21" s="339"/>
    </row>
    <row r="22" spans="1:37" s="341" customFormat="1" ht="30" customHeight="1">
      <c r="A22" s="338">
        <f t="shared" si="0"/>
        <v>18</v>
      </c>
      <c r="B22" s="338">
        <f>'תקציב אגף חינוך 2022'!B22</f>
        <v>2224</v>
      </c>
      <c r="C22" s="412" t="str">
        <f>'תקציב אגף חינוך 2022'!C22</f>
        <v>הצטיידות בי"ס מפתן ארז</v>
      </c>
      <c r="D22" s="339">
        <f>'תקציב אגף חינוך 2022'!D22</f>
        <v>230000</v>
      </c>
      <c r="E22" s="339">
        <f>'תקציב אגף חינוך 2022'!E22</f>
        <v>230000</v>
      </c>
      <c r="F22" s="339">
        <f>'תקציב אגף חינוך 2022'!F22</f>
        <v>0</v>
      </c>
      <c r="G22" s="339">
        <f>'תקציב אגף חינוך 2022'!G22</f>
        <v>230000</v>
      </c>
      <c r="H22" s="339">
        <f>'תקציב אגף חינוך 2022'!H22</f>
        <v>0</v>
      </c>
      <c r="I22" s="339">
        <f>'תקציב אגף חינוך 2022'!I22</f>
        <v>0</v>
      </c>
      <c r="J22" s="339">
        <f>'תקציב אגף חינוך 2022'!J22</f>
        <v>0</v>
      </c>
      <c r="K22" s="339">
        <f>'תקציב אגף חינוך 2022'!K22</f>
        <v>0</v>
      </c>
      <c r="L22" s="339">
        <f>'תקציב אגף חינוך 2022'!L22</f>
        <v>0</v>
      </c>
      <c r="M22" s="339">
        <f>'תקציב אגף חינוך 2022'!M22</f>
        <v>230000</v>
      </c>
      <c r="N22" s="339">
        <f>'תקציב אגף חינוך 2022'!N22</f>
        <v>0</v>
      </c>
      <c r="O22" s="339">
        <f>'תקציב אגף חינוך 2022'!O22</f>
        <v>0</v>
      </c>
      <c r="P22" s="339">
        <f>'תקציב אגף חינוך 2022'!P22</f>
        <v>230000</v>
      </c>
      <c r="Q22" s="339">
        <f>'תקציב אגף חינוך 2022'!Q22</f>
        <v>0</v>
      </c>
      <c r="R22" s="339">
        <f>'תקציב אגף חינוך 2022'!R22</f>
        <v>0</v>
      </c>
      <c r="S22" s="339">
        <f>'תקציב אגף חינוך 2022'!S22</f>
        <v>0</v>
      </c>
      <c r="T22" s="339">
        <f>'תקציב אגף חינוך 2022'!T22</f>
        <v>0</v>
      </c>
      <c r="U22" s="339">
        <f>'תקציב אגף חינוך 2022'!U22</f>
        <v>0</v>
      </c>
      <c r="V22" s="339">
        <f>'תקציב אגף חינוך 2022'!V22</f>
        <v>0</v>
      </c>
      <c r="W22" s="339">
        <f>'תקציב אגף חינוך 2022'!W22</f>
        <v>0</v>
      </c>
      <c r="X22" s="339">
        <f>'תקציב אגף חינוך 2022'!X22</f>
        <v>0</v>
      </c>
      <c r="Y22" s="339">
        <f>'תקציב אגף חינוך 2022'!Y22</f>
        <v>0</v>
      </c>
      <c r="Z22" s="339">
        <f>'תקציב אגף חינוך 2022'!Z22</f>
        <v>0</v>
      </c>
      <c r="AA22" s="339">
        <f>'תקציב אגף חינוך 2022'!AA22</f>
        <v>0</v>
      </c>
      <c r="AB22" s="413" t="str">
        <f>'תקציב אגף חינוך 2022'!AB22</f>
        <v>הצטיידות .מימון חלקי מ. הרווחה.</v>
      </c>
      <c r="AC22" s="338">
        <f>'תקציב אגף חינוך 2022'!AC22</f>
        <v>810000</v>
      </c>
      <c r="AD22" s="536" t="s">
        <v>1842</v>
      </c>
      <c r="AE22" s="536" t="s">
        <v>1842</v>
      </c>
      <c r="AF22" s="536" t="s">
        <v>1842</v>
      </c>
      <c r="AG22" s="339"/>
      <c r="AH22" s="339"/>
      <c r="AI22" s="675"/>
      <c r="AJ22" s="675"/>
      <c r="AK22" s="339"/>
    </row>
    <row r="23" spans="1:37" s="341" customFormat="1" ht="30" customHeight="1">
      <c r="A23" s="338">
        <f t="shared" si="0"/>
        <v>19</v>
      </c>
      <c r="B23" s="338">
        <f>'תקציב אגף חינוך 2022'!B23</f>
        <v>2227</v>
      </c>
      <c r="C23" s="412" t="str">
        <f>'תקציב אגף חינוך 2022'!C23</f>
        <v>שיפוץ חדר מורים תיכון הנדסאים</v>
      </c>
      <c r="D23" s="339">
        <f>'תקציב אגף חינוך 2022'!D23</f>
        <v>100000</v>
      </c>
      <c r="E23" s="339">
        <f>'תקציב אגף חינוך 2022'!E23</f>
        <v>100000</v>
      </c>
      <c r="F23" s="339">
        <f>'תקציב אגף חינוך 2022'!F23</f>
        <v>0</v>
      </c>
      <c r="G23" s="339">
        <f>'תקציב אגף חינוך 2022'!G23</f>
        <v>100000</v>
      </c>
      <c r="H23" s="339">
        <f>'תקציב אגף חינוך 2022'!H23</f>
        <v>0</v>
      </c>
      <c r="I23" s="339">
        <f>'תקציב אגף חינוך 2022'!I23</f>
        <v>0</v>
      </c>
      <c r="J23" s="339">
        <f>'תקציב אגף חינוך 2022'!J23</f>
        <v>0</v>
      </c>
      <c r="K23" s="339">
        <f>'תקציב אגף חינוך 2022'!K23</f>
        <v>0</v>
      </c>
      <c r="L23" s="339">
        <f>'תקציב אגף חינוך 2022'!L23</f>
        <v>0</v>
      </c>
      <c r="M23" s="339">
        <f>'תקציב אגף חינוך 2022'!M23</f>
        <v>100000</v>
      </c>
      <c r="N23" s="339">
        <f>'תקציב אגף חינוך 2022'!N23</f>
        <v>0</v>
      </c>
      <c r="O23" s="339">
        <f>'תקציב אגף חינוך 2022'!O23</f>
        <v>0</v>
      </c>
      <c r="P23" s="339">
        <f>'תקציב אגף חינוך 2022'!P23</f>
        <v>100000</v>
      </c>
      <c r="Q23" s="339">
        <f>'תקציב אגף חינוך 2022'!Q23</f>
        <v>0</v>
      </c>
      <c r="R23" s="339">
        <f>'תקציב אגף חינוך 2022'!R23</f>
        <v>0</v>
      </c>
      <c r="S23" s="339">
        <f>'תקציב אגף חינוך 2022'!S23</f>
        <v>0</v>
      </c>
      <c r="T23" s="339">
        <f>'תקציב אגף חינוך 2022'!T23</f>
        <v>0</v>
      </c>
      <c r="U23" s="339">
        <f>'תקציב אגף חינוך 2022'!U23</f>
        <v>0</v>
      </c>
      <c r="V23" s="339">
        <f>'תקציב אגף חינוך 2022'!V23</f>
        <v>0</v>
      </c>
      <c r="W23" s="339">
        <f>'תקציב אגף חינוך 2022'!W23</f>
        <v>0</v>
      </c>
      <c r="X23" s="339">
        <f>'תקציב אגף חינוך 2022'!X23</f>
        <v>0</v>
      </c>
      <c r="Y23" s="339">
        <f>'תקציב אגף חינוך 2022'!Y23</f>
        <v>0</v>
      </c>
      <c r="Z23" s="339">
        <f>'תקציב אגף חינוך 2022'!Z23</f>
        <v>0</v>
      </c>
      <c r="AA23" s="339">
        <f>'תקציב אגף חינוך 2022'!AA23</f>
        <v>0</v>
      </c>
      <c r="AB23" s="413" t="str">
        <f>'תקציב אגף חינוך 2022'!AB23</f>
        <v>שיפוץ והצטיידות תיכון הנדסאים. מ. החינוך.</v>
      </c>
      <c r="AC23" s="338">
        <f>'תקציב אגף חינוך 2022'!AC23</f>
        <v>810000</v>
      </c>
      <c r="AD23" s="536" t="s">
        <v>1843</v>
      </c>
      <c r="AE23" s="536" t="s">
        <v>1843</v>
      </c>
      <c r="AF23" s="536" t="s">
        <v>1843</v>
      </c>
      <c r="AG23" s="339"/>
      <c r="AH23" s="339"/>
      <c r="AI23" s="675"/>
      <c r="AJ23" s="675"/>
      <c r="AK23" s="339"/>
    </row>
    <row r="24" spans="1:37" s="341" customFormat="1" ht="34.9" customHeight="1">
      <c r="A24" s="338">
        <f t="shared" si="0"/>
        <v>20</v>
      </c>
      <c r="B24" s="338">
        <f>'תקציב אגף חינוך 2022'!B24</f>
        <v>20041</v>
      </c>
      <c r="C24" s="412" t="str">
        <f>'תקציב אגף חינוך 2022'!C24</f>
        <v>שיפוץ פינות חי נוף ים</v>
      </c>
      <c r="D24" s="339">
        <f>'תקציב אגף חינוך 2022'!D24</f>
        <v>100000</v>
      </c>
      <c r="E24" s="339">
        <f>'תקציב אגף חינוך 2022'!E24</f>
        <v>0</v>
      </c>
      <c r="F24" s="339">
        <f>'תקציב אגף חינוך 2022'!F24</f>
        <v>100000</v>
      </c>
      <c r="G24" s="339">
        <f>'תקציב אגף חינוך 2022'!G24</f>
        <v>0</v>
      </c>
      <c r="H24" s="339">
        <f>'תקציב אגף חינוך 2022'!H24</f>
        <v>0</v>
      </c>
      <c r="I24" s="339">
        <f>'תקציב אגף חינוך 2022'!I24</f>
        <v>0</v>
      </c>
      <c r="J24" s="339">
        <f>'תקציב אגף חינוך 2022'!J24</f>
        <v>0</v>
      </c>
      <c r="K24" s="339">
        <f>'תקציב אגף חינוך 2022'!K24</f>
        <v>0</v>
      </c>
      <c r="L24" s="339">
        <f>'תקציב אגף חינוך 2022'!L24</f>
        <v>0</v>
      </c>
      <c r="M24" s="339">
        <f>'תקציב אגף חינוך 2022'!M24</f>
        <v>0</v>
      </c>
      <c r="N24" s="339">
        <f>'תקציב אגף חינוך 2022'!N24</f>
        <v>100000</v>
      </c>
      <c r="O24" s="339">
        <f>'תקציב אגף חינוך 2022'!O24</f>
        <v>0</v>
      </c>
      <c r="P24" s="339">
        <f>'תקציב אגף חינוך 2022'!P24</f>
        <v>0</v>
      </c>
      <c r="Q24" s="339">
        <f>'תקציב אגף חינוך 2022'!Q24</f>
        <v>0</v>
      </c>
      <c r="R24" s="339">
        <f>'תקציב אגף חינוך 2022'!R24</f>
        <v>0</v>
      </c>
      <c r="S24" s="339">
        <f>'תקציב אגף חינוך 2022'!S24</f>
        <v>0</v>
      </c>
      <c r="T24" s="339">
        <f>'תקציב אגף חינוך 2022'!T24</f>
        <v>0</v>
      </c>
      <c r="U24" s="339">
        <f>'תקציב אגף חינוך 2022'!U24</f>
        <v>100000</v>
      </c>
      <c r="V24" s="339">
        <f>'תקציב אגף חינוך 2022'!V24</f>
        <v>0</v>
      </c>
      <c r="W24" s="339">
        <f>'תקציב אגף חינוך 2022'!W24</f>
        <v>100000</v>
      </c>
      <c r="X24" s="339">
        <f>'תקציב אגף חינוך 2022'!X24</f>
        <v>0</v>
      </c>
      <c r="Y24" s="339">
        <f>'תקציב אגף חינוך 2022'!Y24</f>
        <v>0</v>
      </c>
      <c r="Z24" s="339">
        <f>'תקציב אגף חינוך 2022'!Z24</f>
        <v>0</v>
      </c>
      <c r="AA24" s="339">
        <f>'תקציב אגף חינוך 2022'!AA24</f>
        <v>0</v>
      </c>
      <c r="AB24" s="413" t="str">
        <f>'תקציב אגף חינוך 2022'!AB24</f>
        <v>שיפוץ ובינוי כולל עיצוב והצטיידות  פינת חי בבי"ס נוף ים.</v>
      </c>
      <c r="AC24" s="338">
        <f>'תקציב אגף חינוך 2022'!AC24</f>
        <v>810000</v>
      </c>
      <c r="AD24" s="278" t="s">
        <v>1537</v>
      </c>
      <c r="AE24" s="374"/>
      <c r="AF24" s="374"/>
      <c r="AG24" s="339"/>
      <c r="AH24" s="339"/>
      <c r="AI24" s="676"/>
      <c r="AJ24" s="675"/>
      <c r="AK24" s="339"/>
    </row>
    <row r="25" spans="1:37" s="341" customFormat="1" ht="60">
      <c r="A25" s="338">
        <f t="shared" si="0"/>
        <v>21</v>
      </c>
      <c r="B25" s="338">
        <f>'תקציב אגף חינוך 2022'!B25</f>
        <v>20042</v>
      </c>
      <c r="C25" s="412" t="str">
        <f>'תקציב אגף חינוך 2022'!C25</f>
        <v>הצטיידות בי"ס יסודי מגרש 406</v>
      </c>
      <c r="D25" s="339">
        <f>'תקציב אגף חינוך 2022'!D25</f>
        <v>1300000</v>
      </c>
      <c r="E25" s="339">
        <f>'תקציב אגף חינוך 2022'!E25</f>
        <v>0</v>
      </c>
      <c r="F25" s="339">
        <f>'תקציב אגף חינוך 2022'!F25</f>
        <v>1300000</v>
      </c>
      <c r="G25" s="339">
        <f>'תקציב אגף חינוך 2022'!G25</f>
        <v>0</v>
      </c>
      <c r="H25" s="339">
        <f>'תקציב אגף חינוך 2022'!H25</f>
        <v>0</v>
      </c>
      <c r="I25" s="339">
        <f>'תקציב אגף חינוך 2022'!I25</f>
        <v>0</v>
      </c>
      <c r="J25" s="339">
        <f>'תקציב אגף חינוך 2022'!J25</f>
        <v>0</v>
      </c>
      <c r="K25" s="339">
        <f>'תקציב אגף חינוך 2022'!K25</f>
        <v>0</v>
      </c>
      <c r="L25" s="339">
        <f>'תקציב אגף חינוך 2022'!L25</f>
        <v>0</v>
      </c>
      <c r="M25" s="339">
        <f>'תקציב אגף חינוך 2022'!M25</f>
        <v>0</v>
      </c>
      <c r="N25" s="339">
        <f>'תקציב אגף חינוך 2022'!N25</f>
        <v>650000</v>
      </c>
      <c r="O25" s="339">
        <f>'תקציב אגף חינוך 2022'!O25</f>
        <v>650000</v>
      </c>
      <c r="P25" s="339">
        <f>'תקציב אגף חינוך 2022'!P25</f>
        <v>0</v>
      </c>
      <c r="Q25" s="339">
        <f>'תקציב אגף חינוך 2022'!Q25</f>
        <v>0</v>
      </c>
      <c r="R25" s="339">
        <f>'תקציב אגף חינוך 2022'!R25</f>
        <v>0</v>
      </c>
      <c r="S25" s="339">
        <f>'תקציב אגף חינוך 2022'!S25</f>
        <v>0</v>
      </c>
      <c r="T25" s="339">
        <f>'תקציב אגף חינוך 2022'!T25</f>
        <v>0</v>
      </c>
      <c r="U25" s="339">
        <f>'תקציב אגף חינוך 2022'!U25</f>
        <v>650000</v>
      </c>
      <c r="V25" s="339">
        <f>'תקציב אגף חינוך 2022'!V25</f>
        <v>0</v>
      </c>
      <c r="W25" s="339">
        <f>'תקציב אגף חינוך 2022'!W25</f>
        <v>350000</v>
      </c>
      <c r="X25" s="339">
        <f>'תקציב אגף חינוך 2022'!X25</f>
        <v>0</v>
      </c>
      <c r="Y25" s="339">
        <f>'תקציב אגף חינוך 2022'!Y25</f>
        <v>0</v>
      </c>
      <c r="Z25" s="339">
        <f>'תקציב אגף חינוך 2022'!Z25</f>
        <v>0</v>
      </c>
      <c r="AA25" s="339">
        <f>'תקציב אגף חינוך 2022'!AA25</f>
        <v>300000</v>
      </c>
      <c r="AB25" s="413" t="str">
        <f>'תקציב אגף חינוך 2022'!AB25</f>
        <v>ראה תבר בניה בחברה לפיתוח הרצליה. מ. הפיס.</v>
      </c>
      <c r="AC25" s="338">
        <f>'תקציב אגף חינוך 2022'!AC25</f>
        <v>810000</v>
      </c>
      <c r="AD25" s="278" t="s">
        <v>1847</v>
      </c>
      <c r="AE25" s="374"/>
      <c r="AF25" s="374"/>
      <c r="AG25" s="339">
        <v>-150000</v>
      </c>
      <c r="AH25" s="339">
        <v>-150000</v>
      </c>
      <c r="AI25" s="676"/>
      <c r="AJ25" s="675"/>
      <c r="AK25" s="339">
        <v>-150000</v>
      </c>
    </row>
    <row r="26" spans="1:37" s="341" customFormat="1" ht="60">
      <c r="A26" s="338">
        <f t="shared" si="0"/>
        <v>22</v>
      </c>
      <c r="B26" s="338">
        <f>'תקציב אגף חינוך 2022'!B26</f>
        <v>20043</v>
      </c>
      <c r="C26" s="412" t="str">
        <f>'תקציב אגף חינוך 2022'!C26</f>
        <v>הצטיידות בי"ס יסודי מגרש 408</v>
      </c>
      <c r="D26" s="339">
        <f>'תקציב אגף חינוך 2022'!D26</f>
        <v>1300000</v>
      </c>
      <c r="E26" s="339">
        <f>'תקציב אגף חינוך 2022'!E26</f>
        <v>0</v>
      </c>
      <c r="F26" s="339">
        <f>'תקציב אגף חינוך 2022'!F26</f>
        <v>1300000</v>
      </c>
      <c r="G26" s="339">
        <f>'תקציב אגף חינוך 2022'!G26</f>
        <v>0</v>
      </c>
      <c r="H26" s="339">
        <f>'תקציב אגף חינוך 2022'!H26</f>
        <v>0</v>
      </c>
      <c r="I26" s="339">
        <f>'תקציב אגף חינוך 2022'!I26</f>
        <v>0</v>
      </c>
      <c r="J26" s="339">
        <f>'תקציב אגף חינוך 2022'!J26</f>
        <v>0</v>
      </c>
      <c r="K26" s="339">
        <f>'תקציב אגף חינוך 2022'!K26</f>
        <v>0</v>
      </c>
      <c r="L26" s="339">
        <f>'תקציב אגף חינוך 2022'!L26</f>
        <v>0</v>
      </c>
      <c r="M26" s="339">
        <f>'תקציב אגף חינוך 2022'!M26</f>
        <v>0</v>
      </c>
      <c r="N26" s="339">
        <f>'תקציב אגף חינוך 2022'!N26</f>
        <v>850000</v>
      </c>
      <c r="O26" s="339">
        <f>'תקציב אגף חינוך 2022'!O26</f>
        <v>450000</v>
      </c>
      <c r="P26" s="339">
        <f>'תקציב אגף חינוך 2022'!P26</f>
        <v>0</v>
      </c>
      <c r="Q26" s="339">
        <f>'תקציב אגף חינוך 2022'!Q26</f>
        <v>0</v>
      </c>
      <c r="R26" s="339">
        <f>'תקציב אגף חינוך 2022'!R26</f>
        <v>0</v>
      </c>
      <c r="S26" s="339">
        <f>'תקציב אגף חינוך 2022'!S26</f>
        <v>0</v>
      </c>
      <c r="T26" s="339">
        <f>'תקציב אגף חינוך 2022'!T26</f>
        <v>0</v>
      </c>
      <c r="U26" s="339">
        <f>'תקציב אגף חינוך 2022'!U26</f>
        <v>850000</v>
      </c>
      <c r="V26" s="339">
        <f>'תקציב אגף חינוך 2022'!V26</f>
        <v>0</v>
      </c>
      <c r="W26" s="339">
        <f>'תקציב אגף חינוך 2022'!W26</f>
        <v>450000</v>
      </c>
      <c r="X26" s="339">
        <f>'תקציב אגף חינוך 2022'!X26</f>
        <v>0</v>
      </c>
      <c r="Y26" s="339">
        <f>'תקציב אגף חינוך 2022'!Y26</f>
        <v>0</v>
      </c>
      <c r="Z26" s="339">
        <f>'תקציב אגף חינוך 2022'!Z26</f>
        <v>0</v>
      </c>
      <c r="AA26" s="339">
        <f>'תקציב אגף חינוך 2022'!AA26</f>
        <v>400000</v>
      </c>
      <c r="AB26" s="413" t="str">
        <f>'תקציב אגף חינוך 2022'!AB26</f>
        <v>ראה תבר בניה בחברה לפיתוח הרצליה. מ. הפיס.</v>
      </c>
      <c r="AC26" s="338">
        <f>'תקציב אגף חינוך 2022'!AC26</f>
        <v>810000</v>
      </c>
      <c r="AD26" s="278" t="s">
        <v>1847</v>
      </c>
      <c r="AE26" s="374"/>
      <c r="AF26" s="374"/>
      <c r="AG26" s="339">
        <v>-150000</v>
      </c>
      <c r="AH26" s="339">
        <v>-150000</v>
      </c>
      <c r="AI26" s="676"/>
      <c r="AJ26" s="675"/>
      <c r="AK26" s="339">
        <v>-150000</v>
      </c>
    </row>
    <row r="27" spans="1:37" s="341" customFormat="1" ht="60">
      <c r="A27" s="338">
        <f t="shared" si="0"/>
        <v>23</v>
      </c>
      <c r="B27" s="338">
        <f>'תקציב אגף חינוך 2022'!B27</f>
        <v>20044</v>
      </c>
      <c r="C27" s="412" t="str">
        <f>'תקציב אגף חינוך 2022'!C27</f>
        <v>הצטיידות גנ"י חדשים ח"ר,ח"מ</v>
      </c>
      <c r="D27" s="339">
        <f>'תקציב אגף חינוך 2022'!D27</f>
        <v>476000</v>
      </c>
      <c r="E27" s="339">
        <f>'תקציב אגף חינוך 2022'!E27</f>
        <v>0</v>
      </c>
      <c r="F27" s="339">
        <f>'תקציב אגף חינוך 2022'!F27</f>
        <v>476000</v>
      </c>
      <c r="G27" s="339">
        <f>'תקציב אגף חינוך 2022'!G27</f>
        <v>0</v>
      </c>
      <c r="H27" s="339">
        <f>'תקציב אגף חינוך 2022'!H27</f>
        <v>0</v>
      </c>
      <c r="I27" s="339">
        <f>'תקציב אגף חינוך 2022'!I27</f>
        <v>0</v>
      </c>
      <c r="J27" s="339">
        <f>'תקציב אגף חינוך 2022'!J27</f>
        <v>0</v>
      </c>
      <c r="K27" s="339">
        <f>'תקציב אגף חינוך 2022'!K27</f>
        <v>0</v>
      </c>
      <c r="L27" s="339">
        <f>'תקציב אגף חינוך 2022'!L27</f>
        <v>0</v>
      </c>
      <c r="M27" s="339">
        <f>'תקציב אגף חינוך 2022'!M27</f>
        <v>0</v>
      </c>
      <c r="N27" s="339">
        <f>'תקציב אגף חינוך 2022'!N27</f>
        <v>476000</v>
      </c>
      <c r="O27" s="339">
        <f>'תקציב אגף חינוך 2022'!O27</f>
        <v>0</v>
      </c>
      <c r="P27" s="339">
        <f>'תקציב אגף חינוך 2022'!P27</f>
        <v>0</v>
      </c>
      <c r="Q27" s="339">
        <f>'תקציב אגף חינוך 2022'!Q27</f>
        <v>0</v>
      </c>
      <c r="R27" s="339">
        <f>'תקציב אגף חינוך 2022'!R27</f>
        <v>0</v>
      </c>
      <c r="S27" s="339">
        <f>'תקציב אגף חינוך 2022'!S27</f>
        <v>0</v>
      </c>
      <c r="T27" s="339">
        <f>'תקציב אגף חינוך 2022'!T27</f>
        <v>0</v>
      </c>
      <c r="U27" s="339">
        <f>'תקציב אגף חינוך 2022'!U27</f>
        <v>476000</v>
      </c>
      <c r="V27" s="339">
        <f>'תקציב אגף חינוך 2022'!V27</f>
        <v>0</v>
      </c>
      <c r="W27" s="339">
        <f>'תקציב אגף חינוך 2022'!W27</f>
        <v>476000</v>
      </c>
      <c r="X27" s="339">
        <f>'תקציב אגף חינוך 2022'!X27</f>
        <v>0</v>
      </c>
      <c r="Y27" s="339">
        <f>'תקציב אגף חינוך 2022'!Y27</f>
        <v>0</v>
      </c>
      <c r="Z27" s="339">
        <f>'תקציב אגף חינוך 2022'!Z27</f>
        <v>0</v>
      </c>
      <c r="AA27" s="339">
        <f>'תקציב אגף חינוך 2022'!AA27</f>
        <v>0</v>
      </c>
      <c r="AB27" s="338" t="str">
        <f>'תקציב אגף חינוך 2022'!AB27</f>
        <v>הצטיידות  גנ"י חדשים  כולל  ח"מ במקביל לבניה .  פתיחת גנים במבנים קיימים , כולל שינוי הנובע מייחודיות גנ"י.</v>
      </c>
      <c r="AC27" s="338">
        <f>'תקציב אגף חינוך 2022'!AC27</f>
        <v>810000</v>
      </c>
      <c r="AD27" s="278"/>
      <c r="AE27" s="374"/>
      <c r="AF27" s="374"/>
      <c r="AG27" s="339"/>
      <c r="AH27" s="339"/>
      <c r="AI27" s="676"/>
      <c r="AJ27" s="675"/>
      <c r="AK27" s="339"/>
    </row>
    <row r="28" spans="1:37" s="392" customFormat="1" ht="25.15" customHeight="1">
      <c r="A28" s="390">
        <f>A27</f>
        <v>23</v>
      </c>
      <c r="B28" s="390"/>
      <c r="C28" s="786" t="s">
        <v>2322</v>
      </c>
      <c r="D28" s="391">
        <f>SUM(D5:D27)</f>
        <v>46031820</v>
      </c>
      <c r="E28" s="391">
        <f t="shared" ref="E28:AA28" si="1">SUM(E5:E27)</f>
        <v>44194820</v>
      </c>
      <c r="F28" s="391">
        <f t="shared" si="1"/>
        <v>1837000</v>
      </c>
      <c r="G28" s="391">
        <f t="shared" si="1"/>
        <v>16315820</v>
      </c>
      <c r="H28" s="391">
        <f t="shared" si="1"/>
        <v>9746009</v>
      </c>
      <c r="I28" s="391">
        <f t="shared" si="1"/>
        <v>173897</v>
      </c>
      <c r="J28" s="391">
        <f t="shared" si="1"/>
        <v>3179518</v>
      </c>
      <c r="K28" s="391">
        <f t="shared" si="1"/>
        <v>3353415</v>
      </c>
      <c r="L28" s="391">
        <f t="shared" si="1"/>
        <v>13099424</v>
      </c>
      <c r="M28" s="391">
        <f t="shared" si="1"/>
        <v>3246396</v>
      </c>
      <c r="N28" s="391">
        <f t="shared" si="1"/>
        <v>6486000</v>
      </c>
      <c r="O28" s="391">
        <f t="shared" si="1"/>
        <v>23200000</v>
      </c>
      <c r="P28" s="391">
        <f t="shared" si="1"/>
        <v>3216396</v>
      </c>
      <c r="Q28" s="391">
        <f t="shared" si="1"/>
        <v>300000</v>
      </c>
      <c r="R28" s="391">
        <f t="shared" si="1"/>
        <v>0</v>
      </c>
      <c r="S28" s="391">
        <f t="shared" si="1"/>
        <v>300000</v>
      </c>
      <c r="T28" s="391">
        <f t="shared" si="1"/>
        <v>270000</v>
      </c>
      <c r="U28" s="391">
        <f t="shared" si="1"/>
        <v>6216000</v>
      </c>
      <c r="V28" s="391">
        <f t="shared" si="1"/>
        <v>0</v>
      </c>
      <c r="W28" s="391">
        <f t="shared" si="1"/>
        <v>4590100</v>
      </c>
      <c r="X28" s="391">
        <f t="shared" si="1"/>
        <v>0</v>
      </c>
      <c r="Y28" s="391">
        <f t="shared" si="1"/>
        <v>0</v>
      </c>
      <c r="Z28" s="391">
        <f t="shared" si="1"/>
        <v>0</v>
      </c>
      <c r="AA28" s="391">
        <f t="shared" si="1"/>
        <v>1625900</v>
      </c>
      <c r="AB28" s="391"/>
      <c r="AC28" s="338"/>
      <c r="AD28" s="536"/>
      <c r="AE28" s="536"/>
      <c r="AF28" s="536"/>
      <c r="AG28" s="391">
        <f>SUM(AG5:AG26)</f>
        <v>-6692000</v>
      </c>
      <c r="AH28" s="391">
        <f>SUM(AH5:AH26)</f>
        <v>-1950000</v>
      </c>
      <c r="AI28" s="391">
        <f>SUM(AI5:AI26)</f>
        <v>2500000</v>
      </c>
      <c r="AJ28" s="391">
        <f>SUM(AJ5:AJ26)</f>
        <v>1500000</v>
      </c>
      <c r="AK28" s="391">
        <f>SUM(AK5:AK26)</f>
        <v>-1950000</v>
      </c>
    </row>
    <row r="29" spans="1:37">
      <c r="L29" s="347">
        <f>K28+H28</f>
        <v>13099424</v>
      </c>
      <c r="P29" s="347">
        <f>G28-L29</f>
        <v>3216396</v>
      </c>
      <c r="Q29" s="347" t="s">
        <v>1425</v>
      </c>
      <c r="R29" s="347" t="s">
        <v>1425</v>
      </c>
    </row>
    <row r="30" spans="1:37">
      <c r="AD30" s="346"/>
    </row>
    <row r="31" spans="1:37" ht="15.75">
      <c r="C31" s="787"/>
    </row>
    <row r="34" spans="1:35" s="532" customFormat="1">
      <c r="A34" s="345"/>
      <c r="B34" s="345"/>
      <c r="C34" s="785"/>
      <c r="D34" s="347"/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  <c r="Y34" s="347"/>
      <c r="Z34" s="347"/>
      <c r="AA34" s="347"/>
      <c r="AB34" s="346"/>
      <c r="AC34" s="345"/>
      <c r="AD34" s="531"/>
      <c r="AI34" s="674"/>
    </row>
    <row r="35" spans="1:35" s="532" customFormat="1">
      <c r="A35" s="345"/>
      <c r="B35" s="345"/>
      <c r="C35" s="785"/>
      <c r="D35" s="347"/>
      <c r="E35" s="347"/>
      <c r="F35" s="347"/>
      <c r="G35" s="347"/>
      <c r="H35" s="347"/>
      <c r="I35" s="347"/>
      <c r="J35" s="347"/>
      <c r="K35" s="347"/>
      <c r="L35" s="347"/>
      <c r="M35" s="347"/>
      <c r="N35" s="347"/>
      <c r="O35" s="347"/>
      <c r="P35" s="347"/>
      <c r="Q35" s="347"/>
      <c r="R35" s="347"/>
      <c r="S35" s="347"/>
      <c r="T35" s="347"/>
      <c r="U35" s="347"/>
      <c r="V35" s="347"/>
      <c r="W35" s="347"/>
      <c r="X35" s="347"/>
      <c r="Y35" s="347"/>
      <c r="Z35" s="347"/>
      <c r="AA35" s="347"/>
      <c r="AB35" s="346"/>
      <c r="AC35" s="345"/>
      <c r="AD35" s="531"/>
      <c r="AI35" s="674"/>
    </row>
    <row r="36" spans="1:35" s="532" customFormat="1">
      <c r="A36" s="345"/>
      <c r="B36" s="345"/>
      <c r="C36" s="785"/>
      <c r="D36" s="347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347"/>
      <c r="AA36" s="347"/>
      <c r="AB36" s="346"/>
      <c r="AC36" s="345"/>
      <c r="AD36" s="531"/>
      <c r="AI36" s="674"/>
    </row>
    <row r="37" spans="1:35" s="532" customFormat="1">
      <c r="A37" s="345"/>
      <c r="B37" s="345"/>
      <c r="C37" s="785"/>
      <c r="D37" s="347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  <c r="X37" s="347"/>
      <c r="Y37" s="347"/>
      <c r="Z37" s="347"/>
      <c r="AA37" s="347"/>
      <c r="AB37" s="346"/>
      <c r="AC37" s="345"/>
      <c r="AD37" s="531"/>
      <c r="AI37" s="674"/>
    </row>
    <row r="38" spans="1:35" s="532" customFormat="1">
      <c r="A38" s="345"/>
      <c r="B38" s="345"/>
      <c r="C38" s="785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6"/>
      <c r="AC38" s="345"/>
      <c r="AD38" s="531"/>
      <c r="AI38" s="674"/>
    </row>
    <row r="39" spans="1:35" s="532" customFormat="1">
      <c r="A39" s="345"/>
      <c r="B39" s="345"/>
      <c r="C39" s="785"/>
      <c r="D39" s="347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347"/>
      <c r="AA39" s="347"/>
      <c r="AB39" s="346"/>
      <c r="AC39" s="345"/>
      <c r="AD39" s="531"/>
      <c r="AI39" s="674"/>
    </row>
    <row r="40" spans="1:35" s="532" customFormat="1">
      <c r="A40" s="345"/>
      <c r="B40" s="345"/>
      <c r="C40" s="785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347"/>
      <c r="AA40" s="347"/>
      <c r="AB40" s="346"/>
      <c r="AC40" s="345"/>
      <c r="AD40" s="531"/>
      <c r="AI40" s="674"/>
    </row>
  </sheetData>
  <sheetProtection formatCells="0" formatColumns="0" formatRows="0" insertColumns="0" insertRows="0" insertHyperlinks="0" deleteColumns="0" deleteRows="0" sort="0" autoFilter="0" pivotTables="0"/>
  <conditionalFormatting sqref="A1:W2 AL1:XFD2 Z1:AC1 Z2:AA2 AC2 AD1:AE3 AD28:AD29 AD31:AE1048576 AE28:AE30 AD5:AD20 AE7:AE21 AG1:AG3 AG29:AG1048576 AJ1:AJ3 AJ29:AJ1048576">
    <cfRule type="cellIs" dxfId="141" priority="26" operator="equal">
      <formula>0</formula>
    </cfRule>
  </conditionalFormatting>
  <conditionalFormatting sqref="AB4">
    <cfRule type="cellIs" dxfId="140" priority="25" operator="equal">
      <formula>0</formula>
    </cfRule>
  </conditionalFormatting>
  <conditionalFormatting sqref="X1:X2">
    <cfRule type="cellIs" dxfId="139" priority="24" operator="equal">
      <formula>0</formula>
    </cfRule>
  </conditionalFormatting>
  <conditionalFormatting sqref="AB2">
    <cfRule type="cellIs" dxfId="138" priority="23" operator="equal">
      <formula>0</formula>
    </cfRule>
  </conditionalFormatting>
  <conditionalFormatting sqref="Y1:Y2">
    <cfRule type="cellIs" dxfId="137" priority="22" operator="equal">
      <formula>0</formula>
    </cfRule>
  </conditionalFormatting>
  <conditionalFormatting sqref="AD21">
    <cfRule type="cellIs" dxfId="136" priority="21" operator="equal">
      <formula>0</formula>
    </cfRule>
  </conditionalFormatting>
  <conditionalFormatting sqref="AD22:AD23">
    <cfRule type="cellIs" dxfId="135" priority="20" operator="equal">
      <formula>0</formula>
    </cfRule>
  </conditionalFormatting>
  <conditionalFormatting sqref="AE5">
    <cfRule type="cellIs" dxfId="134" priority="19" operator="equal">
      <formula>0</formula>
    </cfRule>
  </conditionalFormatting>
  <conditionalFormatting sqref="AE6">
    <cfRule type="cellIs" dxfId="133" priority="18" operator="equal">
      <formula>0</formula>
    </cfRule>
  </conditionalFormatting>
  <conditionalFormatting sqref="AE22">
    <cfRule type="cellIs" dxfId="132" priority="17" operator="equal">
      <formula>0</formula>
    </cfRule>
  </conditionalFormatting>
  <conditionalFormatting sqref="AE23">
    <cfRule type="cellIs" dxfId="131" priority="16" operator="equal">
      <formula>0</formula>
    </cfRule>
  </conditionalFormatting>
  <conditionalFormatting sqref="AF1:AF3 AF28:AF1048576 AF7:AF21">
    <cfRule type="cellIs" dxfId="130" priority="15" operator="equal">
      <formula>0</formula>
    </cfRule>
  </conditionalFormatting>
  <conditionalFormatting sqref="AF5">
    <cfRule type="cellIs" dxfId="129" priority="14" operator="equal">
      <formula>0</formula>
    </cfRule>
  </conditionalFormatting>
  <conditionalFormatting sqref="AF6">
    <cfRule type="cellIs" dxfId="128" priority="13" operator="equal">
      <formula>0</formula>
    </cfRule>
  </conditionalFormatting>
  <conditionalFormatting sqref="AF22">
    <cfRule type="cellIs" dxfId="127" priority="12" operator="equal">
      <formula>0</formula>
    </cfRule>
  </conditionalFormatting>
  <conditionalFormatting sqref="AF23">
    <cfRule type="cellIs" dxfId="126" priority="11" operator="equal">
      <formula>0</formula>
    </cfRule>
  </conditionalFormatting>
  <conditionalFormatting sqref="AF4">
    <cfRule type="cellIs" dxfId="125" priority="10" operator="equal">
      <formula>0</formula>
    </cfRule>
  </conditionalFormatting>
  <conditionalFormatting sqref="AI1:AI3 AI29:AI1048576 AI7:AI21">
    <cfRule type="cellIs" dxfId="124" priority="9" operator="equal">
      <formula>0</formula>
    </cfRule>
  </conditionalFormatting>
  <conditionalFormatting sqref="AI5">
    <cfRule type="cellIs" dxfId="123" priority="8" operator="equal">
      <formula>0</formula>
    </cfRule>
  </conditionalFormatting>
  <conditionalFormatting sqref="AI6">
    <cfRule type="cellIs" dxfId="122" priority="7" operator="equal">
      <formula>0</formula>
    </cfRule>
  </conditionalFormatting>
  <conditionalFormatting sqref="AI22">
    <cfRule type="cellIs" dxfId="121" priority="6" operator="equal">
      <formula>0</formula>
    </cfRule>
  </conditionalFormatting>
  <conditionalFormatting sqref="AI23">
    <cfRule type="cellIs" dxfId="120" priority="5" operator="equal">
      <formula>0</formula>
    </cfRule>
  </conditionalFormatting>
  <conditionalFormatting sqref="AJ5:AJ23">
    <cfRule type="cellIs" dxfId="119" priority="4" operator="equal">
      <formula>0</formula>
    </cfRule>
  </conditionalFormatting>
  <conditionalFormatting sqref="AH1:AH3 AH29:AH1048576">
    <cfRule type="cellIs" dxfId="118" priority="3" operator="equal">
      <formula>0</formula>
    </cfRule>
  </conditionalFormatting>
  <conditionalFormatting sqref="AJ24:AJ27">
    <cfRule type="cellIs" dxfId="117" priority="2" operator="equal">
      <formula>0</formula>
    </cfRule>
  </conditionalFormatting>
  <conditionalFormatting sqref="AK1:AK3 AK29:AK1048576">
    <cfRule type="cellIs" dxfId="116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3:Q24"/>
  <sheetViews>
    <sheetView showZeros="0" rightToLeft="1" workbookViewId="0">
      <selection activeCell="C55" sqref="C55"/>
    </sheetView>
  </sheetViews>
  <sheetFormatPr defaultColWidth="9.140625" defaultRowHeight="14.25"/>
  <cols>
    <col min="1" max="3" width="4.140625" style="213" customWidth="1"/>
    <col min="4" max="4" width="34.85546875" style="213" customWidth="1"/>
    <col min="5" max="5" width="30.42578125" style="213" customWidth="1"/>
    <col min="6" max="6" width="10.85546875" style="213" customWidth="1"/>
    <col min="7" max="7" width="5.5703125" style="213" customWidth="1"/>
    <col min="8" max="9" width="12.140625" style="213" customWidth="1"/>
    <col min="10" max="10" width="7.85546875" style="213" customWidth="1"/>
    <col min="11" max="16384" width="9.140625" style="213"/>
  </cols>
  <sheetData>
    <row r="3" spans="1:17" ht="20.25">
      <c r="A3" s="212"/>
      <c r="C3" s="214" t="s">
        <v>381</v>
      </c>
      <c r="D3" s="212"/>
      <c r="E3" s="212"/>
      <c r="F3" s="212"/>
      <c r="G3" s="212"/>
      <c r="H3" s="212"/>
      <c r="I3" s="212"/>
      <c r="J3" s="212"/>
      <c r="K3" s="212"/>
      <c r="L3" s="212"/>
    </row>
    <row r="4" spans="1:17" ht="21" thickBot="1">
      <c r="A4" s="212"/>
      <c r="C4" s="214"/>
      <c r="D4" s="212"/>
      <c r="E4" s="212"/>
      <c r="F4" s="212"/>
      <c r="G4" s="212"/>
      <c r="H4" s="212"/>
      <c r="I4" s="212"/>
      <c r="J4" s="212"/>
      <c r="K4" s="212"/>
      <c r="L4" s="212"/>
    </row>
    <row r="5" spans="1:17" ht="16.5" thickBot="1">
      <c r="A5" s="212"/>
      <c r="B5" s="215" t="s">
        <v>160</v>
      </c>
      <c r="C5" s="212" t="s">
        <v>2389</v>
      </c>
      <c r="D5" s="212"/>
      <c r="E5" s="212"/>
      <c r="F5" s="216">
        <f>'תקציב אגף תנוס 2022 '!U15</f>
        <v>2970000</v>
      </c>
      <c r="I5" s="212"/>
      <c r="J5" s="212"/>
      <c r="K5" s="212"/>
      <c r="L5" s="212"/>
    </row>
    <row r="6" spans="1:17" ht="21" thickBot="1">
      <c r="A6" s="212"/>
      <c r="C6" s="214"/>
      <c r="D6" s="212"/>
      <c r="E6" s="212"/>
      <c r="F6" s="212"/>
      <c r="H6" s="212"/>
      <c r="I6" s="212"/>
      <c r="J6" s="212"/>
      <c r="K6" s="212"/>
      <c r="L6" s="212"/>
    </row>
    <row r="7" spans="1:17" ht="16.5" thickBot="1">
      <c r="B7" s="215" t="s">
        <v>160</v>
      </c>
      <c r="C7" s="212" t="s">
        <v>283</v>
      </c>
      <c r="D7" s="212"/>
      <c r="F7" s="216">
        <f>'תקציב אגף תנוס 2022 '!A15</f>
        <v>10</v>
      </c>
      <c r="I7" s="212"/>
      <c r="J7" s="212"/>
      <c r="K7" s="212"/>
      <c r="L7" s="212"/>
      <c r="M7" s="212"/>
      <c r="N7" s="212"/>
      <c r="O7" s="212"/>
      <c r="P7" s="212"/>
      <c r="Q7" s="212"/>
    </row>
    <row r="8" spans="1:17" ht="15.75">
      <c r="B8" s="215"/>
      <c r="C8" s="212"/>
      <c r="D8" s="212"/>
      <c r="E8" s="212"/>
      <c r="F8" s="212"/>
      <c r="H8" s="212"/>
      <c r="I8" s="212"/>
      <c r="J8" s="212"/>
      <c r="K8" s="212"/>
      <c r="L8" s="212"/>
      <c r="M8" s="212"/>
      <c r="N8" s="212"/>
      <c r="O8" s="212"/>
      <c r="P8" s="212"/>
      <c r="Q8" s="212"/>
    </row>
    <row r="9" spans="1:17" ht="15.75">
      <c r="B9" s="215" t="s">
        <v>160</v>
      </c>
      <c r="C9" s="212" t="s">
        <v>273</v>
      </c>
      <c r="D9" s="212"/>
      <c r="E9" s="212"/>
      <c r="F9" s="212"/>
      <c r="G9" s="212"/>
      <c r="H9" s="212"/>
      <c r="I9" s="212"/>
      <c r="J9" s="212"/>
      <c r="K9" s="212"/>
      <c r="L9" s="212"/>
    </row>
    <row r="10" spans="1:17" ht="16.5" thickBot="1"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</row>
    <row r="11" spans="1:17" ht="15.75">
      <c r="D11" s="225" t="s">
        <v>274</v>
      </c>
      <c r="E11" s="226" t="s">
        <v>275</v>
      </c>
      <c r="F11" s="227" t="s">
        <v>277</v>
      </c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</row>
    <row r="12" spans="1:17" ht="15.75">
      <c r="D12" s="219" t="s">
        <v>13</v>
      </c>
      <c r="E12" s="362">
        <f>'תקציב אגף תנוס 2022 '!V15</f>
        <v>210000</v>
      </c>
      <c r="F12" s="229">
        <f>E12/$E$14</f>
        <v>7.0707070707070704E-2</v>
      </c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</row>
    <row r="13" spans="1:17" ht="15.75">
      <c r="C13" s="215"/>
      <c r="D13" s="219" t="s">
        <v>14</v>
      </c>
      <c r="E13" s="228">
        <f>'תקציב אגף תנוס 2022 '!W15</f>
        <v>2760000</v>
      </c>
      <c r="F13" s="229">
        <f>E13/$E$14</f>
        <v>0.92929292929292928</v>
      </c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</row>
    <row r="14" spans="1:17" ht="16.5" thickBot="1">
      <c r="C14" s="215"/>
      <c r="D14" s="222" t="s">
        <v>94</v>
      </c>
      <c r="E14" s="303">
        <f>SUM(E12:E13)</f>
        <v>2970000</v>
      </c>
      <c r="F14" s="304">
        <f>SUM(F12:F13)</f>
        <v>1</v>
      </c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</row>
    <row r="15" spans="1:17" ht="15.75">
      <c r="B15" s="215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</row>
    <row r="16" spans="1:17" ht="15.75">
      <c r="B16" s="215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</row>
    <row r="17" spans="1:17" ht="15.75">
      <c r="B17" s="215"/>
      <c r="C17" s="212"/>
      <c r="D17" s="212"/>
      <c r="F17" s="212"/>
      <c r="H17" s="221"/>
      <c r="I17" s="212"/>
      <c r="J17" s="212"/>
      <c r="K17" s="212"/>
      <c r="L17" s="212"/>
      <c r="M17" s="212"/>
      <c r="N17" s="212"/>
      <c r="O17" s="212"/>
      <c r="P17" s="212"/>
      <c r="Q17" s="212"/>
    </row>
    <row r="18" spans="1:17" ht="15.75">
      <c r="B18" s="215" t="s">
        <v>160</v>
      </c>
      <c r="C18" s="212" t="s">
        <v>2400</v>
      </c>
      <c r="D18" s="212"/>
      <c r="F18" s="212"/>
      <c r="H18" s="221"/>
      <c r="I18" s="212"/>
      <c r="J18" s="212"/>
      <c r="K18" s="212"/>
      <c r="L18" s="212"/>
      <c r="M18" s="212"/>
      <c r="N18" s="212"/>
      <c r="O18" s="212"/>
      <c r="P18" s="212"/>
      <c r="Q18" s="212"/>
    </row>
    <row r="19" spans="1:17" ht="15.75">
      <c r="B19" s="215"/>
      <c r="C19" s="212" t="s">
        <v>2401</v>
      </c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</row>
    <row r="22" spans="1:17" s="295" customFormat="1" ht="15.75">
      <c r="C22" s="297"/>
      <c r="D22" s="294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</row>
    <row r="23" spans="1:17" s="295" customFormat="1" ht="15.75">
      <c r="A23" s="294"/>
      <c r="B23" s="294"/>
      <c r="C23" s="294"/>
      <c r="D23" s="294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</row>
    <row r="24" spans="1:17" s="295" customFormat="1" ht="15.75">
      <c r="A24" s="294"/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J25"/>
  <sheetViews>
    <sheetView showZeros="0" rightToLeft="1" zoomScaleNormal="100" workbookViewId="0">
      <pane xSplit="3" ySplit="4" topLeftCell="D11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9.140625" defaultRowHeight="15"/>
  <cols>
    <col min="1" max="1" width="3.42578125" style="28" customWidth="1"/>
    <col min="2" max="2" width="6.140625" style="12" customWidth="1"/>
    <col min="3" max="3" width="22.5703125" style="12" customWidth="1"/>
    <col min="4" max="4" width="10.140625" style="14" bestFit="1" customWidth="1"/>
    <col min="5" max="6" width="10.140625" style="14" customWidth="1"/>
    <col min="7" max="8" width="10.140625" style="14" hidden="1" customWidth="1"/>
    <col min="9" max="11" width="9.7109375" style="14" hidden="1" customWidth="1"/>
    <col min="12" max="12" width="10.140625" style="14" customWidth="1"/>
    <col min="13" max="13" width="9.140625" style="14" customWidth="1"/>
    <col min="14" max="15" width="10.140625" style="14" customWidth="1"/>
    <col min="16" max="19" width="9.7109375" style="14" hidden="1" customWidth="1"/>
    <col min="20" max="20" width="9.140625" style="14" customWidth="1"/>
    <col min="21" max="23" width="9.140625" style="12" customWidth="1"/>
    <col min="24" max="27" width="8.7109375" style="12" hidden="1" customWidth="1"/>
    <col min="28" max="28" width="34.85546875" style="28" customWidth="1"/>
    <col min="29" max="29" width="7.85546875" style="12" hidden="1" customWidth="1"/>
    <col min="30" max="30" width="24.7109375" style="540" customWidth="1"/>
    <col min="31" max="31" width="17.140625" style="540" customWidth="1"/>
    <col min="32" max="32" width="3.42578125" style="540" customWidth="1"/>
    <col min="33" max="34" width="11" style="540" customWidth="1"/>
    <col min="35" max="35" width="22.42578125" style="540" customWidth="1"/>
    <col min="36" max="36" width="12.28515625" style="540" customWidth="1"/>
    <col min="37" max="16384" width="9.140625" style="12"/>
  </cols>
  <sheetData>
    <row r="1" spans="1:36" s="540" customFormat="1" ht="18.75">
      <c r="A1" s="538"/>
      <c r="B1" s="538"/>
      <c r="C1" s="538"/>
      <c r="D1" s="539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</row>
    <row r="2" spans="1:36" s="540" customFormat="1" ht="18.75">
      <c r="A2" s="538" t="s">
        <v>381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538"/>
      <c r="AC2" s="538"/>
    </row>
    <row r="3" spans="1:36" ht="20.45" customHeight="1"/>
    <row r="4" spans="1:36" s="24" customFormat="1" ht="86.25" customHeight="1">
      <c r="A4" s="151" t="s">
        <v>0</v>
      </c>
      <c r="B4" s="16" t="s">
        <v>587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9</v>
      </c>
      <c r="J4" s="16" t="s">
        <v>153</v>
      </c>
      <c r="K4" s="16" t="s">
        <v>10</v>
      </c>
      <c r="L4" s="16" t="s">
        <v>11</v>
      </c>
      <c r="M4" s="9" t="s">
        <v>891</v>
      </c>
      <c r="N4" s="9" t="s">
        <v>892</v>
      </c>
      <c r="O4" s="9" t="s">
        <v>893</v>
      </c>
      <c r="P4" s="9" t="s">
        <v>12</v>
      </c>
      <c r="Q4" s="9" t="s">
        <v>894</v>
      </c>
      <c r="R4" s="9" t="s">
        <v>895</v>
      </c>
      <c r="S4" s="9" t="s">
        <v>896</v>
      </c>
      <c r="T4" s="9" t="s">
        <v>897</v>
      </c>
      <c r="U4" s="9" t="s">
        <v>898</v>
      </c>
      <c r="V4" s="16" t="s">
        <v>13</v>
      </c>
      <c r="W4" s="16" t="s">
        <v>14</v>
      </c>
      <c r="X4" s="16" t="s">
        <v>15</v>
      </c>
      <c r="Y4" s="16" t="s">
        <v>265</v>
      </c>
      <c r="Z4" s="16" t="s">
        <v>749</v>
      </c>
      <c r="AA4" s="16" t="s">
        <v>84</v>
      </c>
      <c r="AB4" s="16" t="s">
        <v>304</v>
      </c>
      <c r="AC4" s="16" t="s">
        <v>16</v>
      </c>
      <c r="AD4" s="540"/>
      <c r="AE4" s="540"/>
      <c r="AF4" s="540"/>
      <c r="AG4" s="540"/>
      <c r="AH4" s="540"/>
      <c r="AI4" s="540"/>
      <c r="AJ4" s="540"/>
    </row>
    <row r="5" spans="1:36" s="5" customFormat="1" ht="30" customHeight="1">
      <c r="A5" s="30">
        <v>1</v>
      </c>
      <c r="B5" s="3">
        <v>1486</v>
      </c>
      <c r="C5" s="3" t="s">
        <v>492</v>
      </c>
      <c r="D5" s="4">
        <v>9110365</v>
      </c>
      <c r="E5" s="4">
        <v>9110365</v>
      </c>
      <c r="F5" s="4">
        <f t="shared" ref="F5:F11" si="0">D5-E5</f>
        <v>0</v>
      </c>
      <c r="G5" s="4">
        <f>5990365+700000</f>
        <v>6690365</v>
      </c>
      <c r="H5" s="4">
        <v>5722633</v>
      </c>
      <c r="I5" s="4">
        <v>0</v>
      </c>
      <c r="J5" s="4">
        <v>682219</v>
      </c>
      <c r="K5" s="4">
        <f t="shared" ref="K5:K11" si="1">I5+J5</f>
        <v>682219</v>
      </c>
      <c r="L5" s="4">
        <f t="shared" ref="L5:L11" si="2">H5+K5</f>
        <v>6404852</v>
      </c>
      <c r="M5" s="4">
        <f t="shared" ref="M5:M11" si="3">P5+S5</f>
        <v>485513</v>
      </c>
      <c r="N5" s="4">
        <f>1800000-300000-300000</f>
        <v>1200000</v>
      </c>
      <c r="O5" s="4">
        <f t="shared" ref="O5:O11" si="4">D5-L5-M5-N5</f>
        <v>1020000</v>
      </c>
      <c r="P5" s="4">
        <f t="shared" ref="P5:P11" si="5">G5-L5</f>
        <v>285513</v>
      </c>
      <c r="Q5" s="4">
        <v>200000</v>
      </c>
      <c r="R5" s="4"/>
      <c r="S5" s="4">
        <f t="shared" ref="S5:S11" si="6">SUM(Q5:R5)</f>
        <v>200000</v>
      </c>
      <c r="T5" s="4">
        <f t="shared" ref="T5:T11" si="7">P5-M5+S5</f>
        <v>0</v>
      </c>
      <c r="U5" s="4">
        <f t="shared" ref="U5:U11" si="8">N5-T5</f>
        <v>1200000</v>
      </c>
      <c r="V5" s="4"/>
      <c r="W5" s="4">
        <f t="shared" ref="W5:W13" si="9">U5-V5-Z5-AA5</f>
        <v>1200000</v>
      </c>
      <c r="X5" s="4"/>
      <c r="Y5" s="4"/>
      <c r="Z5" s="4"/>
      <c r="AA5" s="3"/>
      <c r="AB5" s="3" t="s">
        <v>358</v>
      </c>
      <c r="AC5" s="3">
        <v>930000</v>
      </c>
      <c r="AD5" s="540"/>
      <c r="AE5" s="540"/>
      <c r="AF5" s="540"/>
      <c r="AG5" s="540"/>
      <c r="AH5" s="540"/>
      <c r="AI5" s="540"/>
      <c r="AJ5" s="540"/>
    </row>
    <row r="6" spans="1:36" s="5" customFormat="1" ht="45">
      <c r="A6" s="30">
        <f t="shared" ref="A6:A14" si="10">1+A5</f>
        <v>2</v>
      </c>
      <c r="B6" s="3">
        <v>1582</v>
      </c>
      <c r="C6" s="3" t="s">
        <v>54</v>
      </c>
      <c r="D6" s="4">
        <v>2055000</v>
      </c>
      <c r="E6" s="4">
        <v>2055000</v>
      </c>
      <c r="F6" s="4">
        <f t="shared" si="0"/>
        <v>0</v>
      </c>
      <c r="G6" s="4">
        <v>934000</v>
      </c>
      <c r="H6" s="4">
        <v>929592</v>
      </c>
      <c r="I6" s="4">
        <v>0</v>
      </c>
      <c r="J6" s="4">
        <v>0</v>
      </c>
      <c r="K6" s="4">
        <f t="shared" si="1"/>
        <v>0</v>
      </c>
      <c r="L6" s="4">
        <f t="shared" si="2"/>
        <v>929592</v>
      </c>
      <c r="M6" s="4">
        <f t="shared" si="3"/>
        <v>4408</v>
      </c>
      <c r="N6" s="4">
        <f>1121000-1121000</f>
        <v>0</v>
      </c>
      <c r="O6" s="4">
        <f t="shared" si="4"/>
        <v>1121000</v>
      </c>
      <c r="P6" s="4">
        <f t="shared" si="5"/>
        <v>4408</v>
      </c>
      <c r="Q6" s="4"/>
      <c r="R6" s="4"/>
      <c r="S6" s="4">
        <f t="shared" si="6"/>
        <v>0</v>
      </c>
      <c r="T6" s="4">
        <f t="shared" si="7"/>
        <v>0</v>
      </c>
      <c r="U6" s="4">
        <f t="shared" si="8"/>
        <v>0</v>
      </c>
      <c r="V6" s="4"/>
      <c r="W6" s="4">
        <f t="shared" si="9"/>
        <v>0</v>
      </c>
      <c r="X6" s="4"/>
      <c r="Y6" s="4"/>
      <c r="Z6" s="4"/>
      <c r="AA6" s="3"/>
      <c r="AB6" s="64" t="s">
        <v>1851</v>
      </c>
      <c r="AC6" s="3">
        <v>829000</v>
      </c>
      <c r="AD6" s="540"/>
      <c r="AE6" s="540"/>
      <c r="AF6" s="540"/>
      <c r="AG6" s="540"/>
      <c r="AH6" s="540"/>
      <c r="AI6" s="540"/>
      <c r="AJ6" s="540"/>
    </row>
    <row r="7" spans="1:36" s="5" customFormat="1" ht="30" customHeight="1">
      <c r="A7" s="30">
        <f t="shared" si="10"/>
        <v>3</v>
      </c>
      <c r="B7" s="3">
        <v>1678</v>
      </c>
      <c r="C7" s="3" t="s">
        <v>441</v>
      </c>
      <c r="D7" s="4">
        <f>1910000+100000</f>
        <v>2010000</v>
      </c>
      <c r="E7" s="4">
        <v>1910000</v>
      </c>
      <c r="F7" s="4">
        <f t="shared" si="0"/>
        <v>100000</v>
      </c>
      <c r="G7" s="4">
        <v>1810000</v>
      </c>
      <c r="H7" s="4">
        <v>1632556</v>
      </c>
      <c r="I7" s="4">
        <v>0</v>
      </c>
      <c r="J7" s="4">
        <v>176470</v>
      </c>
      <c r="K7" s="4">
        <f t="shared" si="1"/>
        <v>176470</v>
      </c>
      <c r="L7" s="4">
        <f t="shared" si="2"/>
        <v>1809026</v>
      </c>
      <c r="M7" s="4">
        <f t="shared" si="3"/>
        <v>974</v>
      </c>
      <c r="N7" s="4">
        <v>200000</v>
      </c>
      <c r="O7" s="4">
        <f t="shared" si="4"/>
        <v>0</v>
      </c>
      <c r="P7" s="4">
        <f t="shared" si="5"/>
        <v>974</v>
      </c>
      <c r="Q7" s="4"/>
      <c r="R7" s="4"/>
      <c r="S7" s="4">
        <f t="shared" si="6"/>
        <v>0</v>
      </c>
      <c r="T7" s="4">
        <f t="shared" si="7"/>
        <v>0</v>
      </c>
      <c r="U7" s="4">
        <f t="shared" si="8"/>
        <v>200000</v>
      </c>
      <c r="V7" s="4"/>
      <c r="W7" s="4">
        <f t="shared" si="9"/>
        <v>200000</v>
      </c>
      <c r="X7" s="4"/>
      <c r="Y7" s="4"/>
      <c r="Z7" s="4"/>
      <c r="AA7" s="3"/>
      <c r="AB7" s="3" t="s">
        <v>442</v>
      </c>
      <c r="AC7" s="3">
        <v>829000</v>
      </c>
      <c r="AD7" s="540"/>
      <c r="AE7" s="540"/>
      <c r="AF7" s="540"/>
      <c r="AG7" s="540"/>
      <c r="AH7" s="540"/>
      <c r="AI7" s="540"/>
      <c r="AJ7" s="540"/>
    </row>
    <row r="8" spans="1:36" s="5" customFormat="1" ht="45">
      <c r="A8" s="30">
        <f t="shared" si="10"/>
        <v>4</v>
      </c>
      <c r="B8" s="253">
        <v>2004</v>
      </c>
      <c r="C8" s="3" t="s">
        <v>157</v>
      </c>
      <c r="D8" s="4">
        <f>995000+190000</f>
        <v>1185000</v>
      </c>
      <c r="E8" s="4">
        <v>995000</v>
      </c>
      <c r="F8" s="4">
        <f t="shared" si="0"/>
        <v>190000</v>
      </c>
      <c r="G8" s="4">
        <v>975000</v>
      </c>
      <c r="H8" s="4">
        <v>789543</v>
      </c>
      <c r="I8" s="4"/>
      <c r="J8" s="4">
        <v>185455</v>
      </c>
      <c r="K8" s="4">
        <f t="shared" si="1"/>
        <v>185455</v>
      </c>
      <c r="L8" s="4">
        <f t="shared" si="2"/>
        <v>974998</v>
      </c>
      <c r="M8" s="4">
        <f t="shared" si="3"/>
        <v>2</v>
      </c>
      <c r="N8" s="4">
        <v>210000</v>
      </c>
      <c r="O8" s="4">
        <f t="shared" si="4"/>
        <v>0</v>
      </c>
      <c r="P8" s="4">
        <f t="shared" si="5"/>
        <v>2</v>
      </c>
      <c r="Q8" s="4"/>
      <c r="R8" s="4"/>
      <c r="S8" s="4">
        <f t="shared" si="6"/>
        <v>0</v>
      </c>
      <c r="T8" s="4">
        <f t="shared" si="7"/>
        <v>0</v>
      </c>
      <c r="U8" s="4">
        <f t="shared" si="8"/>
        <v>210000</v>
      </c>
      <c r="V8" s="4"/>
      <c r="W8" s="4">
        <f t="shared" si="9"/>
        <v>210000</v>
      </c>
      <c r="X8" s="4"/>
      <c r="Y8" s="4"/>
      <c r="Z8" s="4"/>
      <c r="AA8" s="3"/>
      <c r="AB8" s="3" t="s">
        <v>1850</v>
      </c>
      <c r="AC8" s="3">
        <v>829000</v>
      </c>
      <c r="AD8" s="540"/>
      <c r="AE8" s="540"/>
      <c r="AF8" s="540"/>
      <c r="AG8" s="540"/>
      <c r="AH8" s="540"/>
      <c r="AI8" s="540"/>
      <c r="AJ8" s="540"/>
    </row>
    <row r="9" spans="1:36" s="5" customFormat="1" ht="30" customHeight="1">
      <c r="A9" s="30">
        <f t="shared" si="10"/>
        <v>5</v>
      </c>
      <c r="B9" s="3">
        <v>2031</v>
      </c>
      <c r="C9" s="3" t="s">
        <v>359</v>
      </c>
      <c r="D9" s="4">
        <v>2700000</v>
      </c>
      <c r="E9" s="4">
        <v>2700000</v>
      </c>
      <c r="F9" s="4">
        <f t="shared" si="0"/>
        <v>0</v>
      </c>
      <c r="G9" s="4">
        <v>2600000</v>
      </c>
      <c r="H9" s="4">
        <v>2050905</v>
      </c>
      <c r="I9" s="4">
        <v>0</v>
      </c>
      <c r="J9" s="4">
        <v>341263</v>
      </c>
      <c r="K9" s="4">
        <f t="shared" si="1"/>
        <v>341263</v>
      </c>
      <c r="L9" s="4">
        <f t="shared" si="2"/>
        <v>2392168</v>
      </c>
      <c r="M9" s="4">
        <f t="shared" si="3"/>
        <v>207832</v>
      </c>
      <c r="N9" s="4">
        <v>100000</v>
      </c>
      <c r="O9" s="4">
        <f t="shared" si="4"/>
        <v>0</v>
      </c>
      <c r="P9" s="4">
        <f t="shared" si="5"/>
        <v>207832</v>
      </c>
      <c r="Q9" s="4"/>
      <c r="R9" s="4"/>
      <c r="S9" s="4">
        <f t="shared" si="6"/>
        <v>0</v>
      </c>
      <c r="T9" s="4">
        <f t="shared" si="7"/>
        <v>0</v>
      </c>
      <c r="U9" s="4">
        <f t="shared" si="8"/>
        <v>100000</v>
      </c>
      <c r="V9" s="4"/>
      <c r="W9" s="4">
        <f t="shared" si="9"/>
        <v>100000</v>
      </c>
      <c r="X9" s="4"/>
      <c r="Y9" s="4"/>
      <c r="Z9" s="4"/>
      <c r="AA9" s="3"/>
      <c r="AB9" s="3" t="s">
        <v>653</v>
      </c>
      <c r="AC9" s="3">
        <v>826000</v>
      </c>
      <c r="AD9" s="540"/>
      <c r="AE9" s="540"/>
      <c r="AF9" s="540"/>
      <c r="AG9" s="540"/>
      <c r="AH9" s="540"/>
      <c r="AI9" s="540"/>
      <c r="AJ9" s="540"/>
    </row>
    <row r="10" spans="1:36" s="5" customFormat="1" ht="45">
      <c r="A10" s="30">
        <f t="shared" si="10"/>
        <v>6</v>
      </c>
      <c r="B10" s="253">
        <v>2060</v>
      </c>
      <c r="C10" s="3" t="s">
        <v>440</v>
      </c>
      <c r="D10" s="4">
        <f>2206000+315000</f>
        <v>2521000</v>
      </c>
      <c r="E10" s="4">
        <v>2206000</v>
      </c>
      <c r="F10" s="4">
        <f t="shared" si="0"/>
        <v>315000</v>
      </c>
      <c r="G10" s="4">
        <v>2206000</v>
      </c>
      <c r="H10" s="4">
        <v>1826000</v>
      </c>
      <c r="I10" s="4">
        <v>0</v>
      </c>
      <c r="J10" s="4">
        <v>379274</v>
      </c>
      <c r="K10" s="4">
        <f t="shared" si="1"/>
        <v>379274</v>
      </c>
      <c r="L10" s="4">
        <f t="shared" si="2"/>
        <v>2205274</v>
      </c>
      <c r="M10" s="4">
        <f t="shared" si="3"/>
        <v>726</v>
      </c>
      <c r="N10" s="4">
        <v>315000</v>
      </c>
      <c r="O10" s="4">
        <f t="shared" si="4"/>
        <v>0</v>
      </c>
      <c r="P10" s="4">
        <f t="shared" si="5"/>
        <v>726</v>
      </c>
      <c r="Q10" s="4"/>
      <c r="R10" s="4"/>
      <c r="S10" s="4">
        <f t="shared" si="6"/>
        <v>0</v>
      </c>
      <c r="T10" s="4">
        <f t="shared" si="7"/>
        <v>0</v>
      </c>
      <c r="U10" s="4">
        <f t="shared" si="8"/>
        <v>315000</v>
      </c>
      <c r="V10" s="4"/>
      <c r="W10" s="4">
        <f t="shared" si="9"/>
        <v>315000</v>
      </c>
      <c r="X10" s="4"/>
      <c r="Y10" s="4"/>
      <c r="Z10" s="4"/>
      <c r="AA10" s="4"/>
      <c r="AB10" s="3" t="s">
        <v>1852</v>
      </c>
      <c r="AC10" s="3">
        <v>829000</v>
      </c>
      <c r="AD10" s="540"/>
      <c r="AE10" s="540"/>
      <c r="AF10" s="540"/>
      <c r="AG10" s="540"/>
      <c r="AH10" s="540"/>
      <c r="AI10" s="540"/>
      <c r="AJ10" s="540"/>
    </row>
    <row r="11" spans="1:36" s="5" customFormat="1" ht="30" customHeight="1">
      <c r="A11" s="30">
        <f t="shared" si="10"/>
        <v>7</v>
      </c>
      <c r="B11" s="349">
        <v>2162</v>
      </c>
      <c r="C11" s="3" t="s">
        <v>549</v>
      </c>
      <c r="D11" s="4">
        <f>540000-100000</f>
        <v>440000</v>
      </c>
      <c r="E11" s="4">
        <v>540000</v>
      </c>
      <c r="F11" s="4">
        <f t="shared" si="0"/>
        <v>-100000</v>
      </c>
      <c r="G11" s="4">
        <v>440000</v>
      </c>
      <c r="H11" s="4">
        <v>0</v>
      </c>
      <c r="I11" s="4">
        <v>0</v>
      </c>
      <c r="J11" s="4">
        <v>439989</v>
      </c>
      <c r="K11" s="4">
        <f t="shared" si="1"/>
        <v>439989</v>
      </c>
      <c r="L11" s="4">
        <f t="shared" si="2"/>
        <v>439989</v>
      </c>
      <c r="M11" s="4">
        <f t="shared" si="3"/>
        <v>11</v>
      </c>
      <c r="N11" s="4"/>
      <c r="O11" s="4">
        <f t="shared" si="4"/>
        <v>0</v>
      </c>
      <c r="P11" s="4">
        <f t="shared" si="5"/>
        <v>11</v>
      </c>
      <c r="Q11" s="4"/>
      <c r="R11" s="4"/>
      <c r="S11" s="4">
        <f t="shared" si="6"/>
        <v>0</v>
      </c>
      <c r="T11" s="4">
        <f t="shared" si="7"/>
        <v>0</v>
      </c>
      <c r="U11" s="4">
        <f t="shared" si="8"/>
        <v>0</v>
      </c>
      <c r="V11" s="4"/>
      <c r="W11" s="4">
        <f t="shared" si="9"/>
        <v>0</v>
      </c>
      <c r="X11" s="4"/>
      <c r="Y11" s="4"/>
      <c r="Z11" s="4"/>
      <c r="AA11" s="4"/>
      <c r="AB11" s="3" t="s">
        <v>2368</v>
      </c>
      <c r="AC11" s="3">
        <v>828000</v>
      </c>
      <c r="AD11" s="540"/>
      <c r="AE11" s="540"/>
      <c r="AF11" s="540"/>
      <c r="AG11" s="540"/>
      <c r="AH11" s="540"/>
      <c r="AI11" s="540"/>
      <c r="AJ11" s="540"/>
    </row>
    <row r="12" spans="1:36" s="5" customFormat="1" ht="30" customHeight="1">
      <c r="A12" s="30">
        <f t="shared" si="10"/>
        <v>8</v>
      </c>
      <c r="B12" s="30">
        <v>20045</v>
      </c>
      <c r="C12" s="3" t="s">
        <v>1853</v>
      </c>
      <c r="D12" s="4">
        <v>370000</v>
      </c>
      <c r="E12" s="4"/>
      <c r="F12" s="4">
        <f>D12-E12</f>
        <v>370000</v>
      </c>
      <c r="G12" s="4">
        <v>0</v>
      </c>
      <c r="H12" s="4">
        <v>0</v>
      </c>
      <c r="I12" s="4">
        <v>0</v>
      </c>
      <c r="J12" s="4">
        <v>0</v>
      </c>
      <c r="K12" s="4">
        <f>SUM(I12:J12)</f>
        <v>0</v>
      </c>
      <c r="L12" s="4">
        <f>H12+K12</f>
        <v>0</v>
      </c>
      <c r="M12" s="4">
        <f>P12+S12</f>
        <v>0</v>
      </c>
      <c r="N12" s="4">
        <v>370000</v>
      </c>
      <c r="O12" s="4">
        <f>D12-L12-M12-N12</f>
        <v>0</v>
      </c>
      <c r="P12" s="4">
        <f>G12-L12</f>
        <v>0</v>
      </c>
      <c r="Q12" s="4"/>
      <c r="R12" s="4"/>
      <c r="S12" s="4">
        <f>SUM(Q12:R12)</f>
        <v>0</v>
      </c>
      <c r="T12" s="4">
        <f>P12-M12+S12</f>
        <v>0</v>
      </c>
      <c r="U12" s="4">
        <f>N12-T12</f>
        <v>370000</v>
      </c>
      <c r="V12" s="4"/>
      <c r="W12" s="4">
        <f t="shared" si="9"/>
        <v>370000</v>
      </c>
      <c r="X12" s="4"/>
      <c r="Y12" s="4"/>
      <c r="Z12" s="4"/>
      <c r="AA12" s="4"/>
      <c r="AB12" s="3" t="s">
        <v>1854</v>
      </c>
      <c r="AC12" s="3">
        <v>829000</v>
      </c>
      <c r="AD12" s="540"/>
      <c r="AE12" s="540"/>
      <c r="AF12" s="540"/>
      <c r="AG12" s="540"/>
      <c r="AH12" s="540"/>
      <c r="AI12" s="540"/>
      <c r="AJ12" s="540"/>
    </row>
    <row r="13" spans="1:36" s="5" customFormat="1" ht="30" customHeight="1">
      <c r="A13" s="30">
        <f t="shared" si="10"/>
        <v>9</v>
      </c>
      <c r="B13" s="30">
        <v>20046</v>
      </c>
      <c r="C13" s="3" t="s">
        <v>1855</v>
      </c>
      <c r="D13" s="4">
        <f>105000+130000</f>
        <v>235000</v>
      </c>
      <c r="E13" s="4"/>
      <c r="F13" s="4">
        <f>D13-E13</f>
        <v>235000</v>
      </c>
      <c r="G13" s="4">
        <v>0</v>
      </c>
      <c r="H13" s="4">
        <v>0</v>
      </c>
      <c r="I13" s="4">
        <v>0</v>
      </c>
      <c r="J13" s="4">
        <v>0</v>
      </c>
      <c r="K13" s="4">
        <f>SUM(I13:J13)</f>
        <v>0</v>
      </c>
      <c r="L13" s="4">
        <f>H13+K13</f>
        <v>0</v>
      </c>
      <c r="M13" s="4">
        <f>P13+S13</f>
        <v>0</v>
      </c>
      <c r="N13" s="4">
        <v>235000</v>
      </c>
      <c r="O13" s="4">
        <f>D13-L13-M13-N13</f>
        <v>0</v>
      </c>
      <c r="P13" s="4">
        <f>G13-L13</f>
        <v>0</v>
      </c>
      <c r="Q13" s="4"/>
      <c r="R13" s="4"/>
      <c r="S13" s="4">
        <f>SUM(Q13:R13)</f>
        <v>0</v>
      </c>
      <c r="T13" s="4">
        <f>P13-M13+S13</f>
        <v>0</v>
      </c>
      <c r="U13" s="4">
        <f>N13-T13</f>
        <v>235000</v>
      </c>
      <c r="V13" s="4"/>
      <c r="W13" s="4">
        <f t="shared" si="9"/>
        <v>235000</v>
      </c>
      <c r="X13" s="4"/>
      <c r="Y13" s="4"/>
      <c r="Z13" s="4"/>
      <c r="AA13" s="4"/>
      <c r="AB13" s="3" t="s">
        <v>1856</v>
      </c>
      <c r="AC13" s="3">
        <v>829000</v>
      </c>
      <c r="AD13" s="540"/>
      <c r="AE13" s="540"/>
      <c r="AF13" s="540"/>
      <c r="AG13" s="540"/>
      <c r="AH13" s="540"/>
      <c r="AI13" s="540"/>
      <c r="AJ13" s="540"/>
    </row>
    <row r="14" spans="1:36" s="5" customFormat="1" ht="30" customHeight="1">
      <c r="A14" s="30">
        <f t="shared" si="10"/>
        <v>10</v>
      </c>
      <c r="B14" s="30">
        <v>20047</v>
      </c>
      <c r="C14" s="3" t="s">
        <v>1857</v>
      </c>
      <c r="D14" s="4">
        <v>340000</v>
      </c>
      <c r="E14" s="4"/>
      <c r="F14" s="4">
        <f>D14-E14</f>
        <v>340000</v>
      </c>
      <c r="G14" s="4">
        <v>0</v>
      </c>
      <c r="H14" s="4">
        <v>0</v>
      </c>
      <c r="I14" s="4">
        <v>0</v>
      </c>
      <c r="J14" s="4">
        <v>0</v>
      </c>
      <c r="K14" s="4">
        <f>SUM(I14:J14)</f>
        <v>0</v>
      </c>
      <c r="L14" s="4">
        <f>H14+K14</f>
        <v>0</v>
      </c>
      <c r="M14" s="4">
        <f>P14+S14</f>
        <v>0</v>
      </c>
      <c r="N14" s="4">
        <v>340000</v>
      </c>
      <c r="O14" s="4">
        <f>D14-L14-M14-N14</f>
        <v>0</v>
      </c>
      <c r="P14" s="4">
        <f>G14-L14</f>
        <v>0</v>
      </c>
      <c r="Q14" s="4"/>
      <c r="R14" s="4"/>
      <c r="S14" s="4">
        <f>SUM(Q14:R14)</f>
        <v>0</v>
      </c>
      <c r="T14" s="4">
        <f>P14-M14+S14</f>
        <v>0</v>
      </c>
      <c r="U14" s="4">
        <f>N14-T14</f>
        <v>340000</v>
      </c>
      <c r="V14" s="4">
        <f>U14-AA14-W14-Z14</f>
        <v>210000</v>
      </c>
      <c r="W14" s="4">
        <v>130000</v>
      </c>
      <c r="X14" s="4"/>
      <c r="Y14" s="4"/>
      <c r="Z14" s="4"/>
      <c r="AA14" s="4"/>
      <c r="AB14" s="3" t="s">
        <v>2369</v>
      </c>
      <c r="AC14" s="3">
        <v>829000</v>
      </c>
      <c r="AD14" s="540"/>
      <c r="AE14" s="540"/>
      <c r="AF14" s="540"/>
      <c r="AG14" s="540"/>
      <c r="AH14" s="540"/>
      <c r="AI14" s="540"/>
      <c r="AJ14" s="540"/>
    </row>
    <row r="15" spans="1:36" s="62" customFormat="1" ht="30" customHeight="1">
      <c r="A15" s="32">
        <f>A14</f>
        <v>10</v>
      </c>
      <c r="B15" s="32"/>
      <c r="C15" s="166" t="s">
        <v>417</v>
      </c>
      <c r="D15" s="65">
        <f>SUM(D5:D14)</f>
        <v>20966365</v>
      </c>
      <c r="E15" s="65">
        <f t="shared" ref="E15:AA15" si="11">SUM(E5:E14)</f>
        <v>19516365</v>
      </c>
      <c r="F15" s="65">
        <f t="shared" si="11"/>
        <v>1450000</v>
      </c>
      <c r="G15" s="65">
        <f t="shared" si="11"/>
        <v>15655365</v>
      </c>
      <c r="H15" s="65">
        <f t="shared" si="11"/>
        <v>12951229</v>
      </c>
      <c r="I15" s="65">
        <f t="shared" si="11"/>
        <v>0</v>
      </c>
      <c r="J15" s="65">
        <f t="shared" si="11"/>
        <v>2204670</v>
      </c>
      <c r="K15" s="65">
        <f t="shared" si="11"/>
        <v>2204670</v>
      </c>
      <c r="L15" s="65">
        <f t="shared" si="11"/>
        <v>15155899</v>
      </c>
      <c r="M15" s="65">
        <f t="shared" si="11"/>
        <v>699466</v>
      </c>
      <c r="N15" s="65">
        <f t="shared" si="11"/>
        <v>2970000</v>
      </c>
      <c r="O15" s="65">
        <f t="shared" si="11"/>
        <v>2141000</v>
      </c>
      <c r="P15" s="65">
        <f t="shared" si="11"/>
        <v>499466</v>
      </c>
      <c r="Q15" s="65">
        <f t="shared" si="11"/>
        <v>200000</v>
      </c>
      <c r="R15" s="65">
        <f t="shared" si="11"/>
        <v>0</v>
      </c>
      <c r="S15" s="65">
        <f t="shared" si="11"/>
        <v>200000</v>
      </c>
      <c r="T15" s="65">
        <f t="shared" si="11"/>
        <v>0</v>
      </c>
      <c r="U15" s="65">
        <f t="shared" si="11"/>
        <v>2970000</v>
      </c>
      <c r="V15" s="65">
        <f t="shared" si="11"/>
        <v>210000</v>
      </c>
      <c r="W15" s="65">
        <f t="shared" si="11"/>
        <v>2760000</v>
      </c>
      <c r="X15" s="65">
        <f t="shared" si="11"/>
        <v>0</v>
      </c>
      <c r="Y15" s="65">
        <f t="shared" si="11"/>
        <v>0</v>
      </c>
      <c r="Z15" s="65">
        <f t="shared" si="11"/>
        <v>0</v>
      </c>
      <c r="AA15" s="65">
        <f t="shared" si="11"/>
        <v>0</v>
      </c>
      <c r="AB15" s="302"/>
      <c r="AC15" s="32"/>
      <c r="AD15" s="540"/>
      <c r="AE15" s="540"/>
      <c r="AF15" s="540"/>
      <c r="AG15" s="540"/>
      <c r="AH15" s="540"/>
      <c r="AI15" s="540"/>
      <c r="AJ15" s="540"/>
    </row>
    <row r="16" spans="1:36" s="5" customFormat="1" hidden="1">
      <c r="A16" s="23"/>
      <c r="B16" s="12"/>
      <c r="C16" s="12"/>
      <c r="D16" s="14"/>
      <c r="E16" s="14"/>
      <c r="F16" s="14"/>
      <c r="G16" s="14"/>
      <c r="H16" s="14"/>
      <c r="I16" s="14"/>
      <c r="J16" s="14"/>
      <c r="K16" s="14"/>
      <c r="L16" s="19">
        <f>K15+H15</f>
        <v>15155899</v>
      </c>
      <c r="M16" s="19">
        <f>P16+S15-T15</f>
        <v>699466</v>
      </c>
      <c r="N16" s="14"/>
      <c r="O16" s="14"/>
      <c r="P16" s="19">
        <f>G15-L16</f>
        <v>499466</v>
      </c>
      <c r="Q16" s="14"/>
      <c r="R16" s="14"/>
      <c r="S16" s="14"/>
      <c r="T16" s="14">
        <f>P16+S15-M15</f>
        <v>0</v>
      </c>
      <c r="U16" s="14">
        <f>N15-T15</f>
        <v>2970000</v>
      </c>
      <c r="V16" s="12"/>
      <c r="W16" s="12"/>
      <c r="X16" s="12"/>
      <c r="Y16" s="12"/>
      <c r="Z16" s="12"/>
      <c r="AA16" s="12"/>
      <c r="AB16" s="12"/>
      <c r="AC16" s="12"/>
      <c r="AD16" s="540"/>
      <c r="AE16" s="540"/>
      <c r="AF16" s="540"/>
      <c r="AG16" s="540"/>
      <c r="AH16" s="540"/>
      <c r="AI16" s="540"/>
      <c r="AJ16" s="540"/>
    </row>
    <row r="17" spans="13:27">
      <c r="M17" s="21"/>
      <c r="N17" s="21"/>
      <c r="O17" s="21"/>
      <c r="P17" s="23"/>
      <c r="Q17" s="21"/>
      <c r="R17" s="21"/>
      <c r="S17" s="21"/>
    </row>
    <row r="18" spans="13:27">
      <c r="M18" s="21"/>
      <c r="N18" s="21"/>
      <c r="O18" s="21"/>
      <c r="P18" s="21"/>
      <c r="Q18" s="21"/>
      <c r="R18" s="21"/>
      <c r="S18" s="21"/>
    </row>
    <row r="19" spans="13:27">
      <c r="M19" s="21"/>
      <c r="N19" s="21"/>
      <c r="U19" s="14"/>
      <c r="V19" s="14"/>
      <c r="W19" s="14"/>
      <c r="X19" s="14"/>
      <c r="Y19" s="14"/>
      <c r="Z19" s="14"/>
      <c r="AA19" s="14"/>
    </row>
    <row r="20" spans="13:27">
      <c r="M20" s="21"/>
      <c r="N20" s="21"/>
      <c r="U20" s="14"/>
      <c r="V20" s="14"/>
      <c r="W20" s="14"/>
      <c r="X20" s="14"/>
      <c r="Y20" s="14"/>
      <c r="Z20" s="14"/>
      <c r="AA20" s="14"/>
    </row>
    <row r="21" spans="13:27">
      <c r="M21" s="21"/>
      <c r="N21" s="21"/>
      <c r="U21" s="14"/>
      <c r="V21" s="14"/>
      <c r="W21" s="14"/>
      <c r="X21" s="14"/>
      <c r="Y21" s="14"/>
      <c r="Z21" s="14"/>
      <c r="AA21" s="14"/>
    </row>
    <row r="22" spans="13:27">
      <c r="U22" s="14"/>
      <c r="V22" s="14"/>
      <c r="W22" s="14"/>
      <c r="X22" s="14"/>
      <c r="Y22" s="14"/>
      <c r="Z22" s="14"/>
      <c r="AA22" s="14"/>
    </row>
    <row r="23" spans="13:27">
      <c r="U23" s="14"/>
      <c r="V23" s="14"/>
      <c r="W23" s="14"/>
      <c r="X23" s="14"/>
      <c r="Y23" s="14"/>
      <c r="Z23" s="14"/>
      <c r="AA23" s="14"/>
    </row>
    <row r="24" spans="13:27">
      <c r="U24" s="14"/>
      <c r="V24" s="14"/>
      <c r="W24" s="14"/>
      <c r="X24" s="14"/>
      <c r="Y24" s="14"/>
      <c r="Z24" s="14"/>
      <c r="AA24" s="14"/>
    </row>
    <row r="25" spans="13:27">
      <c r="U25" s="14"/>
      <c r="V25" s="14"/>
      <c r="W25" s="14"/>
      <c r="X25" s="14"/>
      <c r="Y25" s="14"/>
      <c r="Z25" s="14"/>
      <c r="AA25" s="14"/>
    </row>
  </sheetData>
  <sheetProtection formatCells="0" formatColumns="0" formatRows="0" insertColumns="0" insertRows="0" insertHyperlinks="0" deleteColumns="0" deleteRows="0" sort="0" autoFilter="0" pivotTables="0"/>
  <sortState ref="A5:AH11">
    <sortCondition ref="B5:B11"/>
  </sortState>
  <conditionalFormatting sqref="A1:A2 AJ1:XFD2 AD1:AJ1048576">
    <cfRule type="cellIs" dxfId="115" priority="16" operator="equal">
      <formula>0</formula>
    </cfRule>
  </conditionalFormatting>
  <conditionalFormatting sqref="AE1:AE2">
    <cfRule type="cellIs" dxfId="114" priority="4" operator="equal">
      <formula>0</formula>
    </cfRule>
  </conditionalFormatting>
  <conditionalFormatting sqref="AF1:AF2">
    <cfRule type="cellIs" dxfId="113" priority="3" operator="equal">
      <formula>0</formula>
    </cfRule>
  </conditionalFormatting>
  <conditionalFormatting sqref="AI1:AI2">
    <cfRule type="cellIs" dxfId="112" priority="2" operator="equal">
      <formula>0</formula>
    </cfRule>
  </conditionalFormatting>
  <conditionalFormatting sqref="AH1:AH2">
    <cfRule type="cellIs" dxfId="111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J27"/>
  <sheetViews>
    <sheetView showZeros="0" rightToLeft="1" zoomScaleNormal="100" workbookViewId="0">
      <pane xSplit="3" ySplit="4" topLeftCell="O5" activePane="bottomRight" state="frozen"/>
      <selection activeCell="E41" sqref="E41"/>
      <selection pane="topRight" activeCell="E41" sqref="E41"/>
      <selection pane="bottomLeft" activeCell="E41" sqref="E41"/>
      <selection pane="bottomRight" activeCell="W31" sqref="W31"/>
    </sheetView>
  </sheetViews>
  <sheetFormatPr defaultColWidth="9.140625" defaultRowHeight="15"/>
  <cols>
    <col min="1" max="1" width="3.42578125" style="28" customWidth="1"/>
    <col min="2" max="2" width="6.42578125" style="12" customWidth="1"/>
    <col min="3" max="3" width="22.5703125" style="12" customWidth="1"/>
    <col min="4" max="4" width="10.140625" style="14" bestFit="1" customWidth="1"/>
    <col min="5" max="5" width="10.140625" style="14" hidden="1" customWidth="1"/>
    <col min="6" max="6" width="9.7109375" style="14" hidden="1" customWidth="1"/>
    <col min="7" max="8" width="10.140625" style="14" hidden="1" customWidth="1"/>
    <col min="9" max="11" width="9.7109375" style="14" hidden="1" customWidth="1"/>
    <col min="12" max="12" width="10.140625" style="14" bestFit="1" customWidth="1"/>
    <col min="13" max="13" width="7.42578125" style="14" customWidth="1"/>
    <col min="14" max="14" width="9.7109375" style="14" customWidth="1"/>
    <col min="15" max="15" width="9" style="14" customWidth="1"/>
    <col min="16" max="19" width="9.7109375" style="14" hidden="1" customWidth="1"/>
    <col min="20" max="20" width="9.7109375" style="14" customWidth="1"/>
    <col min="21" max="21" width="9.7109375" style="12" customWidth="1"/>
    <col min="22" max="22" width="7.5703125" style="12" customWidth="1"/>
    <col min="23" max="23" width="9.7109375" style="12" customWidth="1"/>
    <col min="24" max="26" width="8.7109375" style="12" hidden="1" customWidth="1"/>
    <col min="27" max="27" width="8.7109375" style="12" customWidth="1"/>
    <col min="28" max="28" width="34.85546875" style="28" customWidth="1"/>
    <col min="29" max="29" width="7.85546875" style="12" customWidth="1"/>
    <col min="30" max="30" width="24.7109375" style="5" customWidth="1"/>
    <col min="31" max="31" width="17.140625" style="5" customWidth="1"/>
    <col min="32" max="32" width="3.42578125" style="5" customWidth="1"/>
    <col min="33" max="34" width="11" style="5" customWidth="1"/>
    <col min="35" max="35" width="22.42578125" style="5" customWidth="1"/>
    <col min="36" max="36" width="12.28515625" style="5" customWidth="1"/>
    <col min="37" max="16384" width="9.140625" style="12"/>
  </cols>
  <sheetData>
    <row r="1" spans="1:36" s="540" customFormat="1" ht="18.75">
      <c r="A1" s="538"/>
      <c r="B1" s="538"/>
      <c r="C1" s="538"/>
      <c r="D1" s="539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"/>
      <c r="AE1" s="5"/>
      <c r="AF1" s="5"/>
      <c r="AG1" s="5"/>
      <c r="AH1" s="5"/>
      <c r="AI1" s="5"/>
      <c r="AJ1" s="5"/>
    </row>
    <row r="2" spans="1:36" s="540" customFormat="1" ht="18.75">
      <c r="A2" s="538" t="s">
        <v>381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538"/>
      <c r="AC2" s="538"/>
      <c r="AD2" s="5"/>
      <c r="AE2" s="5"/>
      <c r="AF2" s="5"/>
      <c r="AG2" s="5"/>
      <c r="AH2" s="5"/>
      <c r="AI2" s="5"/>
      <c r="AJ2" s="5"/>
    </row>
    <row r="3" spans="1:36" ht="20.45" customHeight="1"/>
    <row r="4" spans="1:36" s="24" customFormat="1" ht="86.25" customHeight="1">
      <c r="A4" s="151" t="s">
        <v>0</v>
      </c>
      <c r="B4" s="16" t="s">
        <v>587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9</v>
      </c>
      <c r="J4" s="16" t="s">
        <v>153</v>
      </c>
      <c r="K4" s="16" t="s">
        <v>10</v>
      </c>
      <c r="L4" s="16" t="s">
        <v>11</v>
      </c>
      <c r="M4" s="9" t="s">
        <v>891</v>
      </c>
      <c r="N4" s="831" t="s">
        <v>892</v>
      </c>
      <c r="O4" s="9" t="s">
        <v>893</v>
      </c>
      <c r="P4" s="9" t="s">
        <v>12</v>
      </c>
      <c r="Q4" s="9" t="s">
        <v>894</v>
      </c>
      <c r="R4" s="9" t="s">
        <v>895</v>
      </c>
      <c r="S4" s="9" t="s">
        <v>896</v>
      </c>
      <c r="T4" s="9" t="s">
        <v>897</v>
      </c>
      <c r="U4" s="9" t="s">
        <v>898</v>
      </c>
      <c r="V4" s="16" t="s">
        <v>13</v>
      </c>
      <c r="W4" s="16" t="s">
        <v>14</v>
      </c>
      <c r="X4" s="16" t="s">
        <v>15</v>
      </c>
      <c r="Y4" s="16" t="s">
        <v>265</v>
      </c>
      <c r="Z4" s="16" t="s">
        <v>749</v>
      </c>
      <c r="AA4" s="16" t="s">
        <v>84</v>
      </c>
      <c r="AB4" s="16" t="s">
        <v>304</v>
      </c>
      <c r="AC4" s="16" t="s">
        <v>16</v>
      </c>
      <c r="AD4" s="5"/>
      <c r="AE4" s="5"/>
      <c r="AF4" s="5"/>
      <c r="AG4" s="5"/>
      <c r="AH4" s="5"/>
      <c r="AI4" s="5"/>
      <c r="AJ4" s="5"/>
    </row>
    <row r="5" spans="1:36" s="5" customFormat="1" ht="30">
      <c r="A5" s="30">
        <v>1</v>
      </c>
      <c r="B5" s="3">
        <f>'תקציב אגף תנוס 2022 '!B9</f>
        <v>2031</v>
      </c>
      <c r="C5" s="255" t="str">
        <f>'תקציב אגף תנוס 2022 '!C9</f>
        <v>הצטיידות מבנה תרבות מערב העיר</v>
      </c>
      <c r="D5" s="4">
        <f>'תקציב אגף תנוס 2022 '!D9</f>
        <v>2700000</v>
      </c>
      <c r="E5" s="4">
        <f>'תקציב אגף תנוס 2022 '!E9</f>
        <v>2700000</v>
      </c>
      <c r="F5" s="4">
        <f>'תקציב אגף תנוס 2022 '!F9</f>
        <v>0</v>
      </c>
      <c r="G5" s="4">
        <f>'תקציב אגף תנוס 2022 '!G9</f>
        <v>2600000</v>
      </c>
      <c r="H5" s="4">
        <f>'תקציב אגף תנוס 2022 '!H9</f>
        <v>2050905</v>
      </c>
      <c r="I5" s="4">
        <f>'תקציב אגף תנוס 2022 '!I9</f>
        <v>0</v>
      </c>
      <c r="J5" s="4">
        <f>'תקציב אגף תנוס 2022 '!J9</f>
        <v>341263</v>
      </c>
      <c r="K5" s="4">
        <f>'תקציב אגף תנוס 2022 '!K9</f>
        <v>341263</v>
      </c>
      <c r="L5" s="4">
        <f>'תקציב אגף תנוס 2022 '!L9</f>
        <v>2392168</v>
      </c>
      <c r="M5" s="4">
        <f>'תקציב אגף תנוס 2022 '!M9</f>
        <v>207832</v>
      </c>
      <c r="N5" s="4">
        <f>'תקציב אגף תנוס 2022 '!N9</f>
        <v>100000</v>
      </c>
      <c r="O5" s="4">
        <f>'תקציב אגף תנוס 2022 '!O9</f>
        <v>0</v>
      </c>
      <c r="P5" s="4">
        <f>'תקציב אגף תנוס 2022 '!P9</f>
        <v>207832</v>
      </c>
      <c r="Q5" s="4">
        <f>'תקציב אגף תנוס 2022 '!Q9</f>
        <v>0</v>
      </c>
      <c r="R5" s="4">
        <f>'תקציב אגף תנוס 2022 '!R9</f>
        <v>0</v>
      </c>
      <c r="S5" s="4">
        <f>'תקציב אגף תנוס 2022 '!S9</f>
        <v>0</v>
      </c>
      <c r="T5" s="4">
        <f>'תקציב אגף תנוס 2022 '!T9</f>
        <v>0</v>
      </c>
      <c r="U5" s="4">
        <f>'תקציב אגף תנוס 2022 '!U9</f>
        <v>100000</v>
      </c>
      <c r="V5" s="4">
        <f>'תקציב אגף תנוס 2022 '!V9</f>
        <v>0</v>
      </c>
      <c r="W5" s="4">
        <f>'תקציב אגף תנוס 2022 '!W9</f>
        <v>100000</v>
      </c>
      <c r="X5" s="4">
        <f>'תקציב אגף תנוס 2022 '!X9</f>
        <v>0</v>
      </c>
      <c r="Y5" s="4">
        <f>'תקציב אגף תנוס 2022 '!Y9</f>
        <v>0</v>
      </c>
      <c r="Z5" s="4">
        <f>'תקציב אגף תנוס 2022 '!Z9</f>
        <v>0</v>
      </c>
      <c r="AA5" s="4">
        <f>'תקציב אגף תנוס 2022 '!AA9</f>
        <v>0</v>
      </c>
      <c r="AB5" s="255" t="str">
        <f>'תקציב אגף תנוס 2022 '!AB9</f>
        <v>המשך הצטיידות עפ"י התוכנית המקורית.</v>
      </c>
      <c r="AC5" s="3">
        <f>'תקציב אגף תנוס 2022 '!AC9</f>
        <v>826000</v>
      </c>
    </row>
    <row r="6" spans="1:36" s="5" customFormat="1" ht="45">
      <c r="A6" s="30">
        <f t="shared" ref="A6:A13" si="0">1+A5</f>
        <v>2</v>
      </c>
      <c r="B6" s="3">
        <f>'תקציב אגף תנוס 2022 '!B11</f>
        <v>2162</v>
      </c>
      <c r="C6" s="255" t="str">
        <f>'תקציב אגף תנוס 2022 '!C11</f>
        <v>שיפוץ מבנה מועדון נוער הכוכב השמיני</v>
      </c>
      <c r="D6" s="4">
        <f>'תקציב אגף תנוס 2022 '!D11</f>
        <v>440000</v>
      </c>
      <c r="E6" s="4">
        <f>'תקציב אגף תנוס 2022 '!E11</f>
        <v>540000</v>
      </c>
      <c r="F6" s="4">
        <f>'תקציב אגף תנוס 2022 '!F11</f>
        <v>-100000</v>
      </c>
      <c r="G6" s="4">
        <f>'תקציב אגף תנוס 2022 '!G11</f>
        <v>440000</v>
      </c>
      <c r="H6" s="4">
        <f>'תקציב אגף תנוס 2022 '!H11</f>
        <v>0</v>
      </c>
      <c r="I6" s="4">
        <f>'תקציב אגף תנוס 2022 '!I11</f>
        <v>0</v>
      </c>
      <c r="J6" s="4">
        <f>'תקציב אגף תנוס 2022 '!J11</f>
        <v>439989</v>
      </c>
      <c r="K6" s="4">
        <f>'תקציב אגף תנוס 2022 '!K11</f>
        <v>439989</v>
      </c>
      <c r="L6" s="4">
        <f>'תקציב אגף תנוס 2022 '!L11</f>
        <v>439989</v>
      </c>
      <c r="M6" s="4">
        <f>'תקציב אגף תנוס 2022 '!M11</f>
        <v>11</v>
      </c>
      <c r="N6" s="4">
        <f>'תקציב אגף תנוס 2022 '!N11</f>
        <v>0</v>
      </c>
      <c r="O6" s="4">
        <f>'תקציב אגף תנוס 2022 '!O11</f>
        <v>0</v>
      </c>
      <c r="P6" s="4">
        <f>'תקציב אגף תנוס 2022 '!P11</f>
        <v>11</v>
      </c>
      <c r="Q6" s="4">
        <f>'תקציב אגף תנוס 2022 '!Q11</f>
        <v>0</v>
      </c>
      <c r="R6" s="4">
        <f>'תקציב אגף תנוס 2022 '!R11</f>
        <v>0</v>
      </c>
      <c r="S6" s="4">
        <f>'תקציב אגף תנוס 2022 '!S11</f>
        <v>0</v>
      </c>
      <c r="T6" s="4">
        <f>'תקציב אגף תנוס 2022 '!T11</f>
        <v>0</v>
      </c>
      <c r="U6" s="4">
        <f>'תקציב אגף תנוס 2022 '!U11</f>
        <v>0</v>
      </c>
      <c r="V6" s="4">
        <f>'תקציב אגף תנוס 2022 '!V11</f>
        <v>0</v>
      </c>
      <c r="W6" s="4">
        <f>'תקציב אגף תנוס 2022 '!W11</f>
        <v>0</v>
      </c>
      <c r="X6" s="4">
        <f>'תקציב אגף תנוס 2022 '!X11</f>
        <v>0</v>
      </c>
      <c r="Y6" s="4">
        <f>'תקציב אגף תנוס 2022 '!Y11</f>
        <v>0</v>
      </c>
      <c r="Z6" s="4">
        <f>'תקציב אגף תנוס 2022 '!Z11</f>
        <v>0</v>
      </c>
      <c r="AA6" s="4">
        <f>'תקציב אגף תנוס 2022 '!AA11</f>
        <v>0</v>
      </c>
      <c r="AB6" s="255" t="str">
        <f>'תקציב אגף תנוס 2022 '!AB11</f>
        <v>שיפוץ מועדון הנוער יוסף נבו 18 הכולל איטום גגות וקירות, החלפות תקרות. חן סופיים.</v>
      </c>
      <c r="AC6" s="3">
        <f>'תקציב אגף תנוס 2022 '!AC11</f>
        <v>828000</v>
      </c>
    </row>
    <row r="7" spans="1:36" s="5" customFormat="1" ht="45">
      <c r="A7" s="30">
        <f t="shared" si="0"/>
        <v>3</v>
      </c>
      <c r="B7" s="3">
        <f>'תקציב אגף תנוס 2022 '!B6</f>
        <v>1582</v>
      </c>
      <c r="C7" s="255" t="str">
        <f>'תקציב אגף תנוס 2022 '!C6</f>
        <v>גידור שיפוץ גדרות מ.ספורט</v>
      </c>
      <c r="D7" s="4">
        <f>'תקציב אגף תנוס 2022 '!D6</f>
        <v>2055000</v>
      </c>
      <c r="E7" s="4">
        <f>'תקציב אגף תנוס 2022 '!E6</f>
        <v>2055000</v>
      </c>
      <c r="F7" s="4">
        <f>'תקציב אגף תנוס 2022 '!F6</f>
        <v>0</v>
      </c>
      <c r="G7" s="4">
        <f>'תקציב אגף תנוס 2022 '!G6</f>
        <v>934000</v>
      </c>
      <c r="H7" s="4">
        <f>'תקציב אגף תנוס 2022 '!H6</f>
        <v>929592</v>
      </c>
      <c r="I7" s="4">
        <f>'תקציב אגף תנוס 2022 '!I6</f>
        <v>0</v>
      </c>
      <c r="J7" s="4">
        <f>'תקציב אגף תנוס 2022 '!J6</f>
        <v>0</v>
      </c>
      <c r="K7" s="4">
        <f>'תקציב אגף תנוס 2022 '!K6</f>
        <v>0</v>
      </c>
      <c r="L7" s="4">
        <f>'תקציב אגף תנוס 2022 '!L6</f>
        <v>929592</v>
      </c>
      <c r="M7" s="4">
        <f>'תקציב אגף תנוס 2022 '!M6</f>
        <v>4408</v>
      </c>
      <c r="N7" s="4">
        <f>'תקציב אגף תנוס 2022 '!N6</f>
        <v>0</v>
      </c>
      <c r="O7" s="4">
        <f>'תקציב אגף תנוס 2022 '!O6</f>
        <v>1121000</v>
      </c>
      <c r="P7" s="4">
        <f>'תקציב אגף תנוס 2022 '!P6</f>
        <v>4408</v>
      </c>
      <c r="Q7" s="4">
        <f>'תקציב אגף תנוס 2022 '!Q6</f>
        <v>0</v>
      </c>
      <c r="R7" s="4">
        <f>'תקציב אגף תנוס 2022 '!R6</f>
        <v>0</v>
      </c>
      <c r="S7" s="4">
        <f>'תקציב אגף תנוס 2022 '!S6</f>
        <v>0</v>
      </c>
      <c r="T7" s="4">
        <f>'תקציב אגף תנוס 2022 '!T6</f>
        <v>0</v>
      </c>
      <c r="U7" s="4">
        <f>'תקציב אגף תנוס 2022 '!U6</f>
        <v>0</v>
      </c>
      <c r="V7" s="4">
        <f>'תקציב אגף תנוס 2022 '!V6</f>
        <v>0</v>
      </c>
      <c r="W7" s="4">
        <f>'תקציב אגף תנוס 2022 '!W6</f>
        <v>0</v>
      </c>
      <c r="X7" s="4">
        <f>'תקציב אגף תנוס 2022 '!X6</f>
        <v>0</v>
      </c>
      <c r="Y7" s="4">
        <f>'תקציב אגף תנוס 2022 '!Y6</f>
        <v>0</v>
      </c>
      <c r="Z7" s="4">
        <f>'תקציב אגף תנוס 2022 '!Z6</f>
        <v>0</v>
      </c>
      <c r="AA7" s="4">
        <f>'תקציב אגף תנוס 2022 '!AA6</f>
        <v>0</v>
      </c>
      <c r="AB7" s="255" t="str">
        <f>'תקציב אגף תנוס 2022 '!AB6</f>
        <v>גדר בגובה 4 מ' סביב מגרשי אימונים במתחם האצטדיון מול משרדי תבל . גובה הגדר עפ"י דרישת ההתאחדות.</v>
      </c>
      <c r="AC7" s="3">
        <f>'תקציב אגף תנוס 2022 '!AC6</f>
        <v>829000</v>
      </c>
    </row>
    <row r="8" spans="1:36" s="5" customFormat="1" ht="30">
      <c r="A8" s="30">
        <f t="shared" si="0"/>
        <v>4</v>
      </c>
      <c r="B8" s="3">
        <f>'תקציב אגף תנוס 2022 '!B7</f>
        <v>1678</v>
      </c>
      <c r="C8" s="255" t="str">
        <f>'תקציב אגף תנוס 2022 '!C7</f>
        <v>עבודות התאמה לתקן חדש מגרשי ספורט</v>
      </c>
      <c r="D8" s="4">
        <f>'תקציב אגף תנוס 2022 '!D7</f>
        <v>2010000</v>
      </c>
      <c r="E8" s="4">
        <f>'תקציב אגף תנוס 2022 '!E7</f>
        <v>1910000</v>
      </c>
      <c r="F8" s="4">
        <f>'תקציב אגף תנוס 2022 '!F7</f>
        <v>100000</v>
      </c>
      <c r="G8" s="4">
        <f>'תקציב אגף תנוס 2022 '!G7</f>
        <v>1810000</v>
      </c>
      <c r="H8" s="4">
        <f>'תקציב אגף תנוס 2022 '!H7</f>
        <v>1632556</v>
      </c>
      <c r="I8" s="4">
        <f>'תקציב אגף תנוס 2022 '!I7</f>
        <v>0</v>
      </c>
      <c r="J8" s="4">
        <f>'תקציב אגף תנוס 2022 '!J7</f>
        <v>176470</v>
      </c>
      <c r="K8" s="4">
        <f>'תקציב אגף תנוס 2022 '!K7</f>
        <v>176470</v>
      </c>
      <c r="L8" s="4">
        <f>'תקציב אגף תנוס 2022 '!L7</f>
        <v>1809026</v>
      </c>
      <c r="M8" s="4">
        <f>'תקציב אגף תנוס 2022 '!M7</f>
        <v>974</v>
      </c>
      <c r="N8" s="4">
        <f>'תקציב אגף תנוס 2022 '!N7</f>
        <v>200000</v>
      </c>
      <c r="O8" s="4">
        <f>'תקציב אגף תנוס 2022 '!O7</f>
        <v>0</v>
      </c>
      <c r="P8" s="4">
        <f>'תקציב אגף תנוס 2022 '!P7</f>
        <v>974</v>
      </c>
      <c r="Q8" s="4">
        <f>'תקציב אגף תנוס 2022 '!Q7</f>
        <v>0</v>
      </c>
      <c r="R8" s="4">
        <f>'תקציב אגף תנוס 2022 '!R7</f>
        <v>0</v>
      </c>
      <c r="S8" s="4">
        <f>'תקציב אגף תנוס 2022 '!S7</f>
        <v>0</v>
      </c>
      <c r="T8" s="4">
        <f>'תקציב אגף תנוס 2022 '!T7</f>
        <v>0</v>
      </c>
      <c r="U8" s="4">
        <f>'תקציב אגף תנוס 2022 '!U7</f>
        <v>200000</v>
      </c>
      <c r="V8" s="4">
        <f>'תקציב אגף תנוס 2022 '!V7</f>
        <v>0</v>
      </c>
      <c r="W8" s="4">
        <f>'תקציב אגף תנוס 2022 '!W7</f>
        <v>200000</v>
      </c>
      <c r="X8" s="4">
        <f>'תקציב אגף תנוס 2022 '!X7</f>
        <v>0</v>
      </c>
      <c r="Y8" s="4">
        <f>'תקציב אגף תנוס 2022 '!Y7</f>
        <v>0</v>
      </c>
      <c r="Z8" s="4">
        <f>'תקציב אגף תנוס 2022 '!Z7</f>
        <v>0</v>
      </c>
      <c r="AA8" s="4">
        <f>'תקציב אגף תנוס 2022 '!AA7</f>
        <v>0</v>
      </c>
      <c r="AB8" s="255" t="str">
        <f>'תקציב אגף תנוס 2022 '!AB7</f>
        <v>עבודות שיפוץ במתקנים במגרשי הספורט בהתאם לדוחות מכון התקנים.</v>
      </c>
      <c r="AC8" s="3">
        <f>'תקציב אגף תנוס 2022 '!AC7</f>
        <v>829000</v>
      </c>
    </row>
    <row r="9" spans="1:36" s="5" customFormat="1" ht="45">
      <c r="A9" s="30">
        <f t="shared" si="0"/>
        <v>5</v>
      </c>
      <c r="B9" s="3">
        <f>'תקציב אגף תנוס 2022 '!B8</f>
        <v>2004</v>
      </c>
      <c r="C9" s="255" t="str">
        <f>'תקציב אגף תנוס 2022 '!C8</f>
        <v>ציפוי מגרשי ספורט</v>
      </c>
      <c r="D9" s="4">
        <f>'תקציב אגף תנוס 2022 '!D8</f>
        <v>1185000</v>
      </c>
      <c r="E9" s="4">
        <f>'תקציב אגף תנוס 2022 '!E8</f>
        <v>995000</v>
      </c>
      <c r="F9" s="4">
        <f>'תקציב אגף תנוס 2022 '!F8</f>
        <v>190000</v>
      </c>
      <c r="G9" s="4">
        <f>'תקציב אגף תנוס 2022 '!G8</f>
        <v>975000</v>
      </c>
      <c r="H9" s="4">
        <f>'תקציב אגף תנוס 2022 '!H8</f>
        <v>789543</v>
      </c>
      <c r="I9" s="4">
        <f>'תקציב אגף תנוס 2022 '!I8</f>
        <v>0</v>
      </c>
      <c r="J9" s="4">
        <f>'תקציב אגף תנוס 2022 '!J8</f>
        <v>185455</v>
      </c>
      <c r="K9" s="4">
        <f>'תקציב אגף תנוס 2022 '!K8</f>
        <v>185455</v>
      </c>
      <c r="L9" s="4">
        <f>'תקציב אגף תנוס 2022 '!L8</f>
        <v>974998</v>
      </c>
      <c r="M9" s="4">
        <f>'תקציב אגף תנוס 2022 '!M8</f>
        <v>2</v>
      </c>
      <c r="N9" s="4">
        <f>'תקציב אגף תנוס 2022 '!N8</f>
        <v>210000</v>
      </c>
      <c r="O9" s="4">
        <f>'תקציב אגף תנוס 2022 '!O8</f>
        <v>0</v>
      </c>
      <c r="P9" s="4">
        <f>'תקציב אגף תנוס 2022 '!P8</f>
        <v>2</v>
      </c>
      <c r="Q9" s="4">
        <f>'תקציב אגף תנוס 2022 '!Q8</f>
        <v>0</v>
      </c>
      <c r="R9" s="4">
        <f>'תקציב אגף תנוס 2022 '!R8</f>
        <v>0</v>
      </c>
      <c r="S9" s="4">
        <f>'תקציב אגף תנוס 2022 '!S8</f>
        <v>0</v>
      </c>
      <c r="T9" s="4">
        <f>'תקציב אגף תנוס 2022 '!T8</f>
        <v>0</v>
      </c>
      <c r="U9" s="4">
        <f>'תקציב אגף תנוס 2022 '!U8</f>
        <v>210000</v>
      </c>
      <c r="V9" s="4">
        <f>'תקציב אגף תנוס 2022 '!V8</f>
        <v>0</v>
      </c>
      <c r="W9" s="4">
        <f>'תקציב אגף תנוס 2022 '!W8</f>
        <v>210000</v>
      </c>
      <c r="X9" s="4">
        <f>'תקציב אגף תנוס 2022 '!X8</f>
        <v>0</v>
      </c>
      <c r="Y9" s="4">
        <f>'תקציב אגף תנוס 2022 '!Y8</f>
        <v>0</v>
      </c>
      <c r="Z9" s="4">
        <f>'תקציב אגף תנוס 2022 '!Z8</f>
        <v>0</v>
      </c>
      <c r="AA9" s="4">
        <f>'תקציב אגף תנוס 2022 '!AA8</f>
        <v>0</v>
      </c>
      <c r="AB9" s="255" t="str">
        <f>'תקציב אגף תנוס 2022 '!AB8</f>
        <v>המשך חידוש ציפוי מגרשי הספורט: זאב - מגרש תחתון, בר אילן, היובל, ברנר ויוחנני. לפי סדרי עדיפויות.</v>
      </c>
      <c r="AC9" s="3">
        <f>'תקציב אגף תנוס 2022 '!AC8</f>
        <v>829000</v>
      </c>
    </row>
    <row r="10" spans="1:36" s="5" customFormat="1" ht="45">
      <c r="A10" s="30">
        <f t="shared" si="0"/>
        <v>6</v>
      </c>
      <c r="B10" s="3">
        <f>'תקציב אגף תנוס 2022 '!B10</f>
        <v>2060</v>
      </c>
      <c r="C10" s="255" t="str">
        <f>'תקציב אגף תנוס 2022 '!C10</f>
        <v>הקמה שיפוץ רצפות פרקט אולמות ספורט</v>
      </c>
      <c r="D10" s="4">
        <f>'תקציב אגף תנוס 2022 '!D10</f>
        <v>2521000</v>
      </c>
      <c r="E10" s="4">
        <f>'תקציב אגף תנוס 2022 '!E10</f>
        <v>2206000</v>
      </c>
      <c r="F10" s="4">
        <f>'תקציב אגף תנוס 2022 '!F10</f>
        <v>315000</v>
      </c>
      <c r="G10" s="4">
        <f>'תקציב אגף תנוס 2022 '!G10</f>
        <v>2206000</v>
      </c>
      <c r="H10" s="4">
        <f>'תקציב אגף תנוס 2022 '!H10</f>
        <v>1826000</v>
      </c>
      <c r="I10" s="4">
        <f>'תקציב אגף תנוס 2022 '!I10</f>
        <v>0</v>
      </c>
      <c r="J10" s="4">
        <f>'תקציב אגף תנוס 2022 '!J10</f>
        <v>379274</v>
      </c>
      <c r="K10" s="4">
        <f>'תקציב אגף תנוס 2022 '!K10</f>
        <v>379274</v>
      </c>
      <c r="L10" s="4">
        <f>'תקציב אגף תנוס 2022 '!L10</f>
        <v>2205274</v>
      </c>
      <c r="M10" s="4">
        <f>'תקציב אגף תנוס 2022 '!M10</f>
        <v>726</v>
      </c>
      <c r="N10" s="4">
        <f>'תקציב אגף תנוס 2022 '!N10</f>
        <v>315000</v>
      </c>
      <c r="O10" s="4">
        <f>'תקציב אגף תנוס 2022 '!O10</f>
        <v>0</v>
      </c>
      <c r="P10" s="4">
        <f>'תקציב אגף תנוס 2022 '!P10</f>
        <v>726</v>
      </c>
      <c r="Q10" s="4">
        <f>'תקציב אגף תנוס 2022 '!Q10</f>
        <v>0</v>
      </c>
      <c r="R10" s="4">
        <f>'תקציב אגף תנוס 2022 '!R10</f>
        <v>0</v>
      </c>
      <c r="S10" s="4">
        <f>'תקציב אגף תנוס 2022 '!S10</f>
        <v>0</v>
      </c>
      <c r="T10" s="4">
        <f>'תקציב אגף תנוס 2022 '!T10</f>
        <v>0</v>
      </c>
      <c r="U10" s="4">
        <f>'תקציב אגף תנוס 2022 '!U10</f>
        <v>315000</v>
      </c>
      <c r="V10" s="4">
        <f>'תקציב אגף תנוס 2022 '!V10</f>
        <v>0</v>
      </c>
      <c r="W10" s="4">
        <f>'תקציב אגף תנוס 2022 '!W10</f>
        <v>315000</v>
      </c>
      <c r="X10" s="4">
        <f>'תקציב אגף תנוס 2022 '!X10</f>
        <v>0</v>
      </c>
      <c r="Y10" s="4">
        <f>'תקציב אגף תנוס 2022 '!Y10</f>
        <v>0</v>
      </c>
      <c r="Z10" s="4">
        <f>'תקציב אגף תנוס 2022 '!Z10</f>
        <v>0</v>
      </c>
      <c r="AA10" s="4">
        <f>'תקציב אגף תנוס 2022 '!AA10</f>
        <v>0</v>
      </c>
      <c r="AB10" s="255" t="str">
        <f>'תקציב אגף תנוס 2022 '!AB10</f>
        <v>הקמה ושיפוץ רצפות פרקט: חידוש רצפה באולם תיכון חדש , חידוש רצפה אולם בנווה ישראל וחידוש רצפה באולם היובל.</v>
      </c>
      <c r="AC10" s="3">
        <f>'תקציב אגף תנוס 2022 '!AC10</f>
        <v>829000</v>
      </c>
    </row>
    <row r="11" spans="1:36" s="5" customFormat="1" ht="30">
      <c r="A11" s="30">
        <f t="shared" si="0"/>
        <v>7</v>
      </c>
      <c r="B11" s="3">
        <f>'תקציב אגף תנוס 2022 '!B12</f>
        <v>20045</v>
      </c>
      <c r="C11" s="255" t="str">
        <f>'תקציב אגף תנוס 2022 '!C12</f>
        <v xml:space="preserve">הצטיידות אולמות ספורט הנגיד, מגרש 406,408 </v>
      </c>
      <c r="D11" s="4">
        <f>'תקציב אגף תנוס 2022 '!D12</f>
        <v>370000</v>
      </c>
      <c r="E11" s="4">
        <f>'תקציב אגף תנוס 2022 '!E12</f>
        <v>0</v>
      </c>
      <c r="F11" s="4">
        <f>'תקציב אגף תנוס 2022 '!F12</f>
        <v>370000</v>
      </c>
      <c r="G11" s="4">
        <f>'תקציב אגף תנוס 2022 '!G12</f>
        <v>0</v>
      </c>
      <c r="H11" s="4">
        <f>'תקציב אגף תנוס 2022 '!H12</f>
        <v>0</v>
      </c>
      <c r="I11" s="4">
        <f>'תקציב אגף תנוס 2022 '!I12</f>
        <v>0</v>
      </c>
      <c r="J11" s="4">
        <f>'תקציב אגף תנוס 2022 '!J12</f>
        <v>0</v>
      </c>
      <c r="K11" s="4">
        <f>'תקציב אגף תנוס 2022 '!K12</f>
        <v>0</v>
      </c>
      <c r="L11" s="4">
        <f>'תקציב אגף תנוס 2022 '!L12</f>
        <v>0</v>
      </c>
      <c r="M11" s="4">
        <f>'תקציב אגף תנוס 2022 '!M12</f>
        <v>0</v>
      </c>
      <c r="N11" s="4">
        <f>'תקציב אגף תנוס 2022 '!N12</f>
        <v>370000</v>
      </c>
      <c r="O11" s="4">
        <f>'תקציב אגף תנוס 2022 '!O12</f>
        <v>0</v>
      </c>
      <c r="P11" s="4">
        <f>'תקציב אגף תנוס 2022 '!P12</f>
        <v>0</v>
      </c>
      <c r="Q11" s="4">
        <f>'תקציב אגף תנוס 2022 '!Q12</f>
        <v>0</v>
      </c>
      <c r="R11" s="4">
        <f>'תקציב אגף תנוס 2022 '!R12</f>
        <v>0</v>
      </c>
      <c r="S11" s="4">
        <f>'תקציב אגף תנוס 2022 '!S12</f>
        <v>0</v>
      </c>
      <c r="T11" s="4">
        <f>'תקציב אגף תנוס 2022 '!T12</f>
        <v>0</v>
      </c>
      <c r="U11" s="4">
        <f>'תקציב אגף תנוס 2022 '!U12</f>
        <v>370000</v>
      </c>
      <c r="V11" s="4">
        <f>'תקציב אגף תנוס 2022 '!V12</f>
        <v>0</v>
      </c>
      <c r="W11" s="4">
        <f>'תקציב אגף תנוס 2022 '!W12</f>
        <v>370000</v>
      </c>
      <c r="X11" s="4">
        <f>'תקציב אגף תנוס 2022 '!X12</f>
        <v>0</v>
      </c>
      <c r="Y11" s="4">
        <f>'תקציב אגף תנוס 2022 '!Y12</f>
        <v>0</v>
      </c>
      <c r="Z11" s="4">
        <f>'תקציב אגף תנוס 2022 '!Z12</f>
        <v>0</v>
      </c>
      <c r="AA11" s="4">
        <f>'תקציב אגף תנוס 2022 '!AA12</f>
        <v>0</v>
      </c>
      <c r="AB11" s="255" t="str">
        <f>'תקציב אגף תנוס 2022 '!AB12</f>
        <v>הצטיידות אולמות ספורט  בבי"ס הנגיד, מגרש 406 ו - 408 במתחם גליל ים.</v>
      </c>
      <c r="AC11" s="3">
        <f>'תקציב אגף תנוס 2022 '!AC12</f>
        <v>829000</v>
      </c>
    </row>
    <row r="12" spans="1:36" s="5" customFormat="1" ht="30">
      <c r="A12" s="30">
        <f t="shared" si="0"/>
        <v>8</v>
      </c>
      <c r="B12" s="3">
        <f>'תקציב אגף תנוס 2022 '!B13</f>
        <v>20046</v>
      </c>
      <c r="C12" s="255" t="str">
        <f>'תקציב אגף תנוס 2022 '!C13</f>
        <v>בריכה באפולוניה - הצטיידות</v>
      </c>
      <c r="D12" s="4">
        <f>'תקציב אגף תנוס 2022 '!D13</f>
        <v>235000</v>
      </c>
      <c r="E12" s="4">
        <f>'תקציב אגף תנוס 2022 '!E13</f>
        <v>0</v>
      </c>
      <c r="F12" s="4">
        <f>'תקציב אגף תנוס 2022 '!F13</f>
        <v>235000</v>
      </c>
      <c r="G12" s="4">
        <f>'תקציב אגף תנוס 2022 '!G13</f>
        <v>0</v>
      </c>
      <c r="H12" s="4">
        <f>'תקציב אגף תנוס 2022 '!H13</f>
        <v>0</v>
      </c>
      <c r="I12" s="4">
        <f>'תקציב אגף תנוס 2022 '!I13</f>
        <v>0</v>
      </c>
      <c r="J12" s="4">
        <f>'תקציב אגף תנוס 2022 '!J13</f>
        <v>0</v>
      </c>
      <c r="K12" s="4">
        <f>'תקציב אגף תנוס 2022 '!K13</f>
        <v>0</v>
      </c>
      <c r="L12" s="4">
        <f>'תקציב אגף תנוס 2022 '!L13</f>
        <v>0</v>
      </c>
      <c r="M12" s="4">
        <f>'תקציב אגף תנוס 2022 '!M13</f>
        <v>0</v>
      </c>
      <c r="N12" s="4">
        <f>'תקציב אגף תנוס 2022 '!N13</f>
        <v>235000</v>
      </c>
      <c r="O12" s="4">
        <f>'תקציב אגף תנוס 2022 '!O13</f>
        <v>0</v>
      </c>
      <c r="P12" s="4">
        <f>'תקציב אגף תנוס 2022 '!P13</f>
        <v>0</v>
      </c>
      <c r="Q12" s="4">
        <f>'תקציב אגף תנוס 2022 '!Q13</f>
        <v>0</v>
      </c>
      <c r="R12" s="4">
        <f>'תקציב אגף תנוס 2022 '!R13</f>
        <v>0</v>
      </c>
      <c r="S12" s="4">
        <f>'תקציב אגף תנוס 2022 '!S13</f>
        <v>0</v>
      </c>
      <c r="T12" s="4">
        <f>'תקציב אגף תנוס 2022 '!T13</f>
        <v>0</v>
      </c>
      <c r="U12" s="4">
        <f>'תקציב אגף תנוס 2022 '!U13</f>
        <v>235000</v>
      </c>
      <c r="V12" s="4">
        <f>'תקציב אגף תנוס 2022 '!V13</f>
        <v>0</v>
      </c>
      <c r="W12" s="4">
        <f>'תקציב אגף תנוס 2022 '!W13</f>
        <v>235000</v>
      </c>
      <c r="X12" s="4">
        <f>'תקציב אגף תנוס 2022 '!X13</f>
        <v>0</v>
      </c>
      <c r="Y12" s="4">
        <f>'תקציב אגף תנוס 2022 '!Y13</f>
        <v>0</v>
      </c>
      <c r="Z12" s="4">
        <f>'תקציב אגף תנוס 2022 '!Z13</f>
        <v>0</v>
      </c>
      <c r="AA12" s="4">
        <f>'תקציב אגף תנוס 2022 '!AA13</f>
        <v>0</v>
      </c>
      <c r="AB12" s="255" t="str">
        <f>'תקציב אגף תנוס 2022 '!AB13</f>
        <v>ארבע מאוורי תקרה גדולים לבריכה וציוד כושר עבור חדר כושר</v>
      </c>
      <c r="AC12" s="3">
        <f>'תקציב אגף תנוס 2022 '!AC13</f>
        <v>829000</v>
      </c>
    </row>
    <row r="13" spans="1:36" s="5" customFormat="1" ht="30">
      <c r="A13" s="30">
        <f t="shared" si="0"/>
        <v>9</v>
      </c>
      <c r="B13" s="3">
        <f>'תקציב אגף תנוס 2022 '!B14</f>
        <v>20047</v>
      </c>
      <c r="C13" s="255" t="str">
        <f>'תקציב אגף תנוס 2022 '!C14</f>
        <v>מתקן נינג'ה</v>
      </c>
      <c r="D13" s="4">
        <f>'תקציב אגף תנוס 2022 '!D14</f>
        <v>340000</v>
      </c>
      <c r="E13" s="4">
        <f>'תקציב אגף תנוס 2022 '!E14</f>
        <v>0</v>
      </c>
      <c r="F13" s="4">
        <f>'תקציב אגף תנוס 2022 '!F14</f>
        <v>340000</v>
      </c>
      <c r="G13" s="4">
        <f>'תקציב אגף תנוס 2022 '!G14</f>
        <v>0</v>
      </c>
      <c r="H13" s="4">
        <f>'תקציב אגף תנוס 2022 '!H14</f>
        <v>0</v>
      </c>
      <c r="I13" s="4">
        <f>'תקציב אגף תנוס 2022 '!I14</f>
        <v>0</v>
      </c>
      <c r="J13" s="4">
        <f>'תקציב אגף תנוס 2022 '!J14</f>
        <v>0</v>
      </c>
      <c r="K13" s="4">
        <f>'תקציב אגף תנוס 2022 '!K14</f>
        <v>0</v>
      </c>
      <c r="L13" s="4">
        <f>'תקציב אגף תנוס 2022 '!L14</f>
        <v>0</v>
      </c>
      <c r="M13" s="4">
        <f>'תקציב אגף תנוס 2022 '!M14</f>
        <v>0</v>
      </c>
      <c r="N13" s="4">
        <f>'תקציב אגף תנוס 2022 '!N14</f>
        <v>340000</v>
      </c>
      <c r="O13" s="4">
        <f>'תקציב אגף תנוס 2022 '!O14</f>
        <v>0</v>
      </c>
      <c r="P13" s="4">
        <f>'תקציב אגף תנוס 2022 '!P14</f>
        <v>0</v>
      </c>
      <c r="Q13" s="4">
        <f>'תקציב אגף תנוס 2022 '!Q14</f>
        <v>0</v>
      </c>
      <c r="R13" s="4">
        <f>'תקציב אגף תנוס 2022 '!R14</f>
        <v>0</v>
      </c>
      <c r="S13" s="4">
        <f>'תקציב אגף תנוס 2022 '!S14</f>
        <v>0</v>
      </c>
      <c r="T13" s="4">
        <f>'תקציב אגף תנוס 2022 '!T14</f>
        <v>0</v>
      </c>
      <c r="U13" s="4">
        <f>'תקציב אגף תנוס 2022 '!U14</f>
        <v>340000</v>
      </c>
      <c r="V13" s="4">
        <f>'תקציב אגף תנוס 2022 '!V14</f>
        <v>210000</v>
      </c>
      <c r="W13" s="4">
        <f>'תקציב אגף תנוס 2022 '!W14</f>
        <v>130000</v>
      </c>
      <c r="X13" s="4">
        <f>'תקציב אגף תנוס 2022 '!X14</f>
        <v>0</v>
      </c>
      <c r="Y13" s="4">
        <f>'תקציב אגף תנוס 2022 '!Y14</f>
        <v>0</v>
      </c>
      <c r="Z13" s="4">
        <f>'תקציב אגף תנוס 2022 '!Z14</f>
        <v>0</v>
      </c>
      <c r="AA13" s="4">
        <f>'תקציב אגף תנוס 2022 '!AA14</f>
        <v>0</v>
      </c>
      <c r="AB13" s="255" t="str">
        <f>'תקציב אגף תנוס 2022 '!AB14</f>
        <v>הקמת מתקן "נינג'ה קיוב" או בפארק או באפולוניה לרבות פיתוח המשטח.</v>
      </c>
      <c r="AC13" s="3">
        <f>'תקציב אגף תנוס 2022 '!AC14</f>
        <v>829000</v>
      </c>
    </row>
    <row r="14" spans="1:36" s="62" customFormat="1" ht="25.15" customHeight="1">
      <c r="A14" s="32"/>
      <c r="B14" s="32"/>
      <c r="C14" s="358" t="s">
        <v>805</v>
      </c>
      <c r="D14" s="65">
        <f>SUM(D5:D13)</f>
        <v>11856000</v>
      </c>
      <c r="E14" s="65">
        <f t="shared" ref="E14:AA14" si="1">SUM(E5:E13)</f>
        <v>10406000</v>
      </c>
      <c r="F14" s="65">
        <f t="shared" si="1"/>
        <v>1450000</v>
      </c>
      <c r="G14" s="65">
        <f t="shared" si="1"/>
        <v>8965000</v>
      </c>
      <c r="H14" s="65">
        <f t="shared" si="1"/>
        <v>7228596</v>
      </c>
      <c r="I14" s="65">
        <f t="shared" si="1"/>
        <v>0</v>
      </c>
      <c r="J14" s="65">
        <f t="shared" si="1"/>
        <v>1522451</v>
      </c>
      <c r="K14" s="65">
        <f t="shared" si="1"/>
        <v>1522451</v>
      </c>
      <c r="L14" s="65">
        <f t="shared" si="1"/>
        <v>8751047</v>
      </c>
      <c r="M14" s="65">
        <f t="shared" si="1"/>
        <v>213953</v>
      </c>
      <c r="N14" s="65">
        <f t="shared" si="1"/>
        <v>1770000</v>
      </c>
      <c r="O14" s="65">
        <f t="shared" si="1"/>
        <v>1121000</v>
      </c>
      <c r="P14" s="65">
        <f t="shared" si="1"/>
        <v>213953</v>
      </c>
      <c r="Q14" s="65">
        <f t="shared" si="1"/>
        <v>0</v>
      </c>
      <c r="R14" s="65">
        <f t="shared" si="1"/>
        <v>0</v>
      </c>
      <c r="S14" s="65">
        <f t="shared" si="1"/>
        <v>0</v>
      </c>
      <c r="T14" s="65">
        <f t="shared" si="1"/>
        <v>0</v>
      </c>
      <c r="U14" s="65">
        <f t="shared" si="1"/>
        <v>1770000</v>
      </c>
      <c r="V14" s="65">
        <f t="shared" si="1"/>
        <v>210000</v>
      </c>
      <c r="W14" s="65">
        <f t="shared" si="1"/>
        <v>1560000</v>
      </c>
      <c r="X14" s="65">
        <f t="shared" si="1"/>
        <v>0</v>
      </c>
      <c r="Y14" s="65">
        <f t="shared" si="1"/>
        <v>0</v>
      </c>
      <c r="Z14" s="65">
        <f t="shared" si="1"/>
        <v>0</v>
      </c>
      <c r="AA14" s="65">
        <f t="shared" si="1"/>
        <v>0</v>
      </c>
      <c r="AB14" s="358"/>
      <c r="AC14" s="32"/>
      <c r="AD14" s="5"/>
      <c r="AE14" s="5"/>
      <c r="AF14" s="5"/>
      <c r="AG14" s="5"/>
      <c r="AH14" s="5"/>
      <c r="AI14" s="5"/>
      <c r="AJ14" s="5"/>
    </row>
    <row r="15" spans="1:36" s="5" customFormat="1" ht="30">
      <c r="A15" s="30">
        <v>10</v>
      </c>
      <c r="B15" s="3">
        <f>'תקציב אגף תנוס 2022 '!B5</f>
        <v>1486</v>
      </c>
      <c r="C15" s="255" t="str">
        <f>'תקציב אגף תנוס 2022 '!C5</f>
        <v xml:space="preserve">שיפוץ מבני  תרבות ונוער </v>
      </c>
      <c r="D15" s="4">
        <f>'תקציב אגף תנוס 2022 '!D5</f>
        <v>9110365</v>
      </c>
      <c r="E15" s="4">
        <f>'תקציב אגף תנוס 2022 '!E5</f>
        <v>9110365</v>
      </c>
      <c r="F15" s="4">
        <f>'תקציב אגף תנוס 2022 '!F5</f>
        <v>0</v>
      </c>
      <c r="G15" s="4">
        <f>'תקציב אגף תנוס 2022 '!G5</f>
        <v>6690365</v>
      </c>
      <c r="H15" s="4">
        <f>'תקציב אגף תנוס 2022 '!H5</f>
        <v>5722633</v>
      </c>
      <c r="I15" s="4">
        <f>'תקציב אגף תנוס 2022 '!I5</f>
        <v>0</v>
      </c>
      <c r="J15" s="4">
        <f>'תקציב אגף תנוס 2022 '!J5</f>
        <v>682219</v>
      </c>
      <c r="K15" s="4">
        <f>'תקציב אגף תנוס 2022 '!K5</f>
        <v>682219</v>
      </c>
      <c r="L15" s="4">
        <f>'תקציב אגף תנוס 2022 '!L5</f>
        <v>6404852</v>
      </c>
      <c r="M15" s="4">
        <f>'תקציב אגף תנוס 2022 '!M5</f>
        <v>485513</v>
      </c>
      <c r="N15" s="4">
        <f>'תקציב אגף תנוס 2022 '!N5</f>
        <v>1200000</v>
      </c>
      <c r="O15" s="4">
        <f>'תקציב אגף תנוס 2022 '!O5</f>
        <v>1020000</v>
      </c>
      <c r="P15" s="4">
        <f>'תקציב אגף תנוס 2022 '!P5</f>
        <v>285513</v>
      </c>
      <c r="Q15" s="4">
        <f>'תקציב אגף תנוס 2022 '!Q5</f>
        <v>200000</v>
      </c>
      <c r="R15" s="4">
        <f>'תקציב אגף תנוס 2022 '!R5</f>
        <v>0</v>
      </c>
      <c r="S15" s="4">
        <f>'תקציב אגף תנוס 2022 '!S5</f>
        <v>200000</v>
      </c>
      <c r="T15" s="4">
        <f>'תקציב אגף תנוס 2022 '!T5</f>
        <v>0</v>
      </c>
      <c r="U15" s="4">
        <f>'תקציב אגף תנוס 2022 '!U5</f>
        <v>1200000</v>
      </c>
      <c r="V15" s="4">
        <f>'תקציב אגף תנוס 2022 '!V5</f>
        <v>0</v>
      </c>
      <c r="W15" s="4">
        <f>'תקציב אגף תנוס 2022 '!W5</f>
        <v>1200000</v>
      </c>
      <c r="X15" s="4">
        <f>'תקציב אגף תנוס 2022 '!X5</f>
        <v>0</v>
      </c>
      <c r="Y15" s="4">
        <f>'תקציב אגף תנוס 2022 '!Y5</f>
        <v>0</v>
      </c>
      <c r="Z15" s="4">
        <f>'תקציב אגף תנוס 2022 '!Z5</f>
        <v>0</v>
      </c>
      <c r="AA15" s="4">
        <f>'תקציב אגף תנוס 2022 '!AA5</f>
        <v>0</v>
      </c>
      <c r="AB15" s="255" t="str">
        <f>'תקציב אגף תנוס 2022 '!AB5</f>
        <v>עבודות שונות,שיפוצים, ציוד בספריות, מרכזים קהילתיים, מוזיאונים.לפי פרוט.</v>
      </c>
      <c r="AC15" s="3">
        <f>'תקציב אגף תנוס 2022 '!AC5</f>
        <v>930000</v>
      </c>
    </row>
    <row r="16" spans="1:36" s="62" customFormat="1" ht="25.15" customHeight="1">
      <c r="A16" s="32"/>
      <c r="B16" s="32"/>
      <c r="C16" s="358" t="s">
        <v>809</v>
      </c>
      <c r="D16" s="65">
        <f>SUM(D15)</f>
        <v>9110365</v>
      </c>
      <c r="E16" s="65">
        <f t="shared" ref="E16:AA16" si="2">SUM(E15)</f>
        <v>9110365</v>
      </c>
      <c r="F16" s="65">
        <f t="shared" si="2"/>
        <v>0</v>
      </c>
      <c r="G16" s="65">
        <f t="shared" si="2"/>
        <v>6690365</v>
      </c>
      <c r="H16" s="65">
        <f t="shared" si="2"/>
        <v>5722633</v>
      </c>
      <c r="I16" s="65">
        <f t="shared" si="2"/>
        <v>0</v>
      </c>
      <c r="J16" s="65">
        <f t="shared" si="2"/>
        <v>682219</v>
      </c>
      <c r="K16" s="65">
        <f t="shared" si="2"/>
        <v>682219</v>
      </c>
      <c r="L16" s="65">
        <f t="shared" si="2"/>
        <v>6404852</v>
      </c>
      <c r="M16" s="65">
        <f t="shared" si="2"/>
        <v>485513</v>
      </c>
      <c r="N16" s="65">
        <f t="shared" si="2"/>
        <v>1200000</v>
      </c>
      <c r="O16" s="65">
        <f t="shared" si="2"/>
        <v>1020000</v>
      </c>
      <c r="P16" s="65">
        <f t="shared" si="2"/>
        <v>285513</v>
      </c>
      <c r="Q16" s="65">
        <f t="shared" si="2"/>
        <v>200000</v>
      </c>
      <c r="R16" s="65">
        <f t="shared" si="2"/>
        <v>0</v>
      </c>
      <c r="S16" s="65">
        <f t="shared" si="2"/>
        <v>200000</v>
      </c>
      <c r="T16" s="65">
        <f t="shared" si="2"/>
        <v>0</v>
      </c>
      <c r="U16" s="65">
        <f t="shared" si="2"/>
        <v>1200000</v>
      </c>
      <c r="V16" s="65">
        <f t="shared" si="2"/>
        <v>0</v>
      </c>
      <c r="W16" s="65">
        <f t="shared" si="2"/>
        <v>1200000</v>
      </c>
      <c r="X16" s="65">
        <f t="shared" si="2"/>
        <v>0</v>
      </c>
      <c r="Y16" s="65">
        <f t="shared" si="2"/>
        <v>0</v>
      </c>
      <c r="Z16" s="65">
        <f t="shared" si="2"/>
        <v>0</v>
      </c>
      <c r="AA16" s="65">
        <f t="shared" si="2"/>
        <v>0</v>
      </c>
      <c r="AB16" s="358"/>
      <c r="AC16" s="32"/>
      <c r="AD16" s="5"/>
      <c r="AE16" s="5"/>
      <c r="AF16" s="5"/>
      <c r="AG16" s="5"/>
      <c r="AH16" s="5"/>
      <c r="AI16" s="5"/>
      <c r="AJ16" s="5"/>
    </row>
    <row r="17" spans="1:36" s="62" customFormat="1" ht="25.15" customHeight="1">
      <c r="A17" s="32">
        <f>A15</f>
        <v>10</v>
      </c>
      <c r="B17" s="32"/>
      <c r="C17" s="166" t="s">
        <v>417</v>
      </c>
      <c r="D17" s="65">
        <f>D16+D14</f>
        <v>20966365</v>
      </c>
      <c r="E17" s="65">
        <f t="shared" ref="E17:AA17" si="3">E16+E14</f>
        <v>19516365</v>
      </c>
      <c r="F17" s="65">
        <f t="shared" si="3"/>
        <v>1450000</v>
      </c>
      <c r="G17" s="65">
        <f t="shared" si="3"/>
        <v>15655365</v>
      </c>
      <c r="H17" s="65">
        <f t="shared" si="3"/>
        <v>12951229</v>
      </c>
      <c r="I17" s="65">
        <f t="shared" si="3"/>
        <v>0</v>
      </c>
      <c r="J17" s="65">
        <f t="shared" si="3"/>
        <v>2204670</v>
      </c>
      <c r="K17" s="65">
        <f t="shared" si="3"/>
        <v>2204670</v>
      </c>
      <c r="L17" s="65">
        <f t="shared" si="3"/>
        <v>15155899</v>
      </c>
      <c r="M17" s="65">
        <f t="shared" si="3"/>
        <v>699466</v>
      </c>
      <c r="N17" s="65">
        <f t="shared" si="3"/>
        <v>2970000</v>
      </c>
      <c r="O17" s="65">
        <f t="shared" si="3"/>
        <v>2141000</v>
      </c>
      <c r="P17" s="65">
        <f t="shared" si="3"/>
        <v>499466</v>
      </c>
      <c r="Q17" s="65">
        <f t="shared" si="3"/>
        <v>200000</v>
      </c>
      <c r="R17" s="65">
        <f t="shared" si="3"/>
        <v>0</v>
      </c>
      <c r="S17" s="65">
        <f t="shared" si="3"/>
        <v>200000</v>
      </c>
      <c r="T17" s="65">
        <f t="shared" si="3"/>
        <v>0</v>
      </c>
      <c r="U17" s="65">
        <f t="shared" si="3"/>
        <v>2970000</v>
      </c>
      <c r="V17" s="65">
        <f t="shared" si="3"/>
        <v>210000</v>
      </c>
      <c r="W17" s="65">
        <f t="shared" si="3"/>
        <v>2760000</v>
      </c>
      <c r="X17" s="65">
        <f t="shared" si="3"/>
        <v>0</v>
      </c>
      <c r="Y17" s="65">
        <f t="shared" si="3"/>
        <v>0</v>
      </c>
      <c r="Z17" s="65">
        <f t="shared" si="3"/>
        <v>0</v>
      </c>
      <c r="AA17" s="65">
        <f t="shared" si="3"/>
        <v>0</v>
      </c>
      <c r="AB17" s="302"/>
      <c r="AC17" s="32"/>
      <c r="AD17" s="5"/>
      <c r="AE17" s="5"/>
      <c r="AF17" s="5"/>
      <c r="AG17" s="5"/>
      <c r="AH17" s="5"/>
      <c r="AI17" s="5"/>
      <c r="AJ17" s="5"/>
    </row>
    <row r="18" spans="1:36" s="5" customFormat="1" hidden="1">
      <c r="A18" s="23"/>
      <c r="B18" s="12"/>
      <c r="C18" s="12"/>
      <c r="D18" s="14"/>
      <c r="E18" s="14"/>
      <c r="F18" s="14"/>
      <c r="G18" s="14"/>
      <c r="H18" s="14"/>
      <c r="I18" s="14"/>
      <c r="J18" s="14"/>
      <c r="K18" s="14"/>
      <c r="L18" s="19">
        <f>K17+H17</f>
        <v>15155899</v>
      </c>
      <c r="M18" s="19">
        <f>P18+S17-T17</f>
        <v>699466</v>
      </c>
      <c r="N18" s="14"/>
      <c r="O18" s="14"/>
      <c r="P18" s="19">
        <f>G17-L18</f>
        <v>499466</v>
      </c>
      <c r="Q18" s="14"/>
      <c r="R18" s="14"/>
      <c r="S18" s="14"/>
      <c r="T18" s="14">
        <f>P18+S17-M17</f>
        <v>0</v>
      </c>
      <c r="U18" s="14">
        <f>N17-T17</f>
        <v>2970000</v>
      </c>
      <c r="V18" s="12"/>
      <c r="W18" s="12"/>
      <c r="X18" s="12"/>
      <c r="Y18" s="12"/>
      <c r="Z18" s="12"/>
      <c r="AA18" s="12"/>
      <c r="AB18" s="12"/>
      <c r="AC18" s="12"/>
    </row>
    <row r="19" spans="1:36" s="677" customFormat="1">
      <c r="A19" s="28"/>
      <c r="B19" s="12"/>
      <c r="C19" s="12"/>
      <c r="D19" s="14"/>
      <c r="E19" s="14"/>
      <c r="F19" s="14"/>
      <c r="G19" s="14"/>
      <c r="H19" s="14"/>
      <c r="I19" s="14"/>
      <c r="J19" s="14"/>
      <c r="K19" s="14"/>
      <c r="L19" s="14"/>
      <c r="M19" s="21"/>
      <c r="N19" s="21"/>
      <c r="O19" s="21"/>
      <c r="P19" s="23"/>
      <c r="Q19" s="21"/>
      <c r="R19" s="21"/>
      <c r="S19" s="21"/>
      <c r="T19" s="14"/>
      <c r="U19" s="12"/>
      <c r="V19" s="12"/>
      <c r="W19" s="12"/>
      <c r="X19" s="12"/>
      <c r="Y19" s="12"/>
      <c r="Z19" s="12"/>
      <c r="AA19" s="12"/>
      <c r="AB19" s="28"/>
      <c r="AC19" s="12"/>
      <c r="AD19" s="5"/>
      <c r="AE19" s="5"/>
      <c r="AF19" s="5"/>
      <c r="AG19" s="5"/>
      <c r="AH19" s="5"/>
      <c r="AI19" s="5"/>
      <c r="AJ19" s="5"/>
    </row>
    <row r="20" spans="1:36" s="677" customFormat="1">
      <c r="A20" s="28"/>
      <c r="B20" s="12"/>
      <c r="C20" s="12"/>
      <c r="D20" s="14"/>
      <c r="E20" s="14"/>
      <c r="F20" s="14"/>
      <c r="G20" s="14"/>
      <c r="H20" s="14"/>
      <c r="I20" s="14"/>
      <c r="J20" s="14"/>
      <c r="K20" s="14"/>
      <c r="L20" s="14"/>
      <c r="M20" s="21"/>
      <c r="N20" s="21"/>
      <c r="O20" s="21"/>
      <c r="P20" s="21"/>
      <c r="Q20" s="21"/>
      <c r="R20" s="21"/>
      <c r="S20" s="21"/>
      <c r="T20" s="14"/>
      <c r="U20" s="12"/>
      <c r="V20" s="12"/>
      <c r="W20" s="12"/>
      <c r="X20" s="12"/>
      <c r="Y20" s="12"/>
      <c r="Z20" s="12"/>
      <c r="AA20" s="12"/>
      <c r="AB20" s="28"/>
      <c r="AC20" s="12"/>
      <c r="AD20" s="5"/>
      <c r="AE20" s="5"/>
      <c r="AF20" s="5"/>
      <c r="AG20" s="5"/>
      <c r="AH20" s="5"/>
      <c r="AI20" s="5"/>
      <c r="AJ20" s="5"/>
    </row>
    <row r="21" spans="1:36" s="677" customFormat="1">
      <c r="A21" s="28"/>
      <c r="B21" s="12"/>
      <c r="C21" s="12"/>
      <c r="D21" s="14"/>
      <c r="E21" s="14"/>
      <c r="F21" s="14"/>
      <c r="G21" s="14"/>
      <c r="H21" s="14"/>
      <c r="I21" s="14"/>
      <c r="J21" s="14"/>
      <c r="K21" s="14"/>
      <c r="L21" s="14"/>
      <c r="M21" s="21"/>
      <c r="N21" s="21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28"/>
      <c r="AC21" s="12"/>
      <c r="AD21" s="5"/>
      <c r="AE21" s="5"/>
      <c r="AF21" s="5"/>
      <c r="AG21" s="5"/>
      <c r="AH21" s="5"/>
      <c r="AI21" s="5"/>
      <c r="AJ21" s="5"/>
    </row>
    <row r="22" spans="1:36" s="677" customFormat="1">
      <c r="A22" s="28"/>
      <c r="B22" s="12"/>
      <c r="C22" s="12"/>
      <c r="D22" s="14"/>
      <c r="E22" s="14"/>
      <c r="F22" s="14"/>
      <c r="G22" s="14"/>
      <c r="H22" s="14"/>
      <c r="I22" s="14"/>
      <c r="J22" s="14"/>
      <c r="K22" s="14"/>
      <c r="L22" s="14"/>
      <c r="M22" s="21"/>
      <c r="N22" s="21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28"/>
      <c r="AC22" s="12"/>
      <c r="AD22" s="5"/>
      <c r="AE22" s="5"/>
      <c r="AF22" s="5"/>
      <c r="AG22" s="5"/>
      <c r="AH22" s="5"/>
      <c r="AI22" s="5"/>
      <c r="AJ22" s="5"/>
    </row>
    <row r="23" spans="1:36" s="677" customFormat="1">
      <c r="A23" s="28"/>
      <c r="B23" s="12"/>
      <c r="C23" s="12"/>
      <c r="D23" s="14"/>
      <c r="E23" s="14"/>
      <c r="F23" s="14"/>
      <c r="G23" s="14"/>
      <c r="H23" s="14"/>
      <c r="I23" s="14"/>
      <c r="J23" s="14"/>
      <c r="K23" s="14"/>
      <c r="L23" s="14"/>
      <c r="M23" s="21"/>
      <c r="N23" s="21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28"/>
      <c r="AC23" s="12"/>
      <c r="AD23" s="5"/>
      <c r="AE23" s="5"/>
      <c r="AF23" s="5"/>
      <c r="AG23" s="5"/>
      <c r="AH23" s="5"/>
      <c r="AI23" s="5"/>
      <c r="AJ23" s="5"/>
    </row>
    <row r="24" spans="1:36" s="677" customFormat="1">
      <c r="A24" s="28"/>
      <c r="B24" s="12"/>
      <c r="C24" s="12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28"/>
      <c r="AC24" s="12"/>
      <c r="AD24" s="5"/>
      <c r="AE24" s="5"/>
      <c r="AF24" s="5"/>
      <c r="AG24" s="5"/>
      <c r="AH24" s="5"/>
      <c r="AI24" s="5"/>
      <c r="AJ24" s="5"/>
    </row>
    <row r="25" spans="1:36" s="677" customFormat="1">
      <c r="A25" s="28"/>
      <c r="B25" s="12"/>
      <c r="C25" s="12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28"/>
      <c r="AC25" s="12"/>
      <c r="AD25" s="5"/>
      <c r="AE25" s="5"/>
      <c r="AF25" s="5"/>
      <c r="AG25" s="5"/>
      <c r="AH25" s="5"/>
      <c r="AI25" s="5"/>
      <c r="AJ25" s="5"/>
    </row>
    <row r="26" spans="1:36" s="677" customFormat="1">
      <c r="A26" s="28"/>
      <c r="B26" s="12"/>
      <c r="C26" s="12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28"/>
      <c r="AC26" s="12"/>
      <c r="AD26" s="5"/>
      <c r="AE26" s="5"/>
      <c r="AF26" s="5"/>
      <c r="AG26" s="5"/>
      <c r="AH26" s="5"/>
      <c r="AI26" s="5"/>
      <c r="AJ26" s="5"/>
    </row>
    <row r="27" spans="1:36" s="677" customFormat="1">
      <c r="A27" s="28"/>
      <c r="B27" s="12"/>
      <c r="C27" s="12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28"/>
      <c r="AC27" s="12"/>
      <c r="AD27" s="5"/>
      <c r="AE27" s="5"/>
      <c r="AF27" s="5"/>
      <c r="AG27" s="5"/>
      <c r="AH27" s="5"/>
      <c r="AI27" s="5"/>
      <c r="AJ27" s="5"/>
    </row>
  </sheetData>
  <sheetProtection formatCells="0" formatColumns="0" formatRows="0" insertColumns="0" insertRows="0" insertHyperlinks="0" deleteColumns="0" deleteRows="0" sort="0" autoFilter="0" pivotTables="0"/>
  <sortState ref="A5:AJ14">
    <sortCondition ref="AC5:AC14"/>
  </sortState>
  <conditionalFormatting sqref="A1:A2 AK1:XFD2">
    <cfRule type="cellIs" dxfId="110" priority="5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3:Q23"/>
  <sheetViews>
    <sheetView showZeros="0" rightToLeft="1" workbookViewId="0">
      <selection activeCell="C55" sqref="C55"/>
    </sheetView>
  </sheetViews>
  <sheetFormatPr defaultColWidth="9.140625" defaultRowHeight="14.25"/>
  <cols>
    <col min="1" max="3" width="4.140625" style="213" customWidth="1"/>
    <col min="4" max="4" width="34.85546875" style="213" customWidth="1"/>
    <col min="5" max="5" width="30.42578125" style="213" customWidth="1"/>
    <col min="6" max="6" width="10.85546875" style="213" customWidth="1"/>
    <col min="7" max="7" width="5.5703125" style="213" customWidth="1"/>
    <col min="8" max="9" width="12.140625" style="213" customWidth="1"/>
    <col min="10" max="10" width="7.85546875" style="213" customWidth="1"/>
    <col min="11" max="16384" width="9.140625" style="213"/>
  </cols>
  <sheetData>
    <row r="3" spans="1:17" ht="20.25">
      <c r="A3" s="212"/>
      <c r="C3" s="214" t="s">
        <v>285</v>
      </c>
      <c r="D3" s="212"/>
      <c r="E3" s="212"/>
      <c r="F3" s="212"/>
      <c r="G3" s="212"/>
      <c r="H3" s="212"/>
      <c r="I3" s="212"/>
      <c r="J3" s="212"/>
      <c r="K3" s="212"/>
      <c r="L3" s="212"/>
    </row>
    <row r="4" spans="1:17" ht="20.25">
      <c r="A4" s="212"/>
      <c r="C4" s="214"/>
      <c r="D4" s="212"/>
      <c r="E4" s="212"/>
      <c r="F4" s="212"/>
      <c r="G4" s="212"/>
      <c r="H4" s="212"/>
      <c r="I4" s="212"/>
      <c r="J4" s="212"/>
      <c r="K4" s="212"/>
      <c r="L4" s="212"/>
    </row>
    <row r="5" spans="1:17" ht="20.25">
      <c r="A5" s="212"/>
      <c r="C5" s="214"/>
      <c r="D5" s="212"/>
      <c r="E5" s="212"/>
      <c r="F5" s="212"/>
      <c r="G5" s="212"/>
      <c r="H5" s="212"/>
      <c r="I5" s="212"/>
      <c r="J5" s="212"/>
      <c r="K5" s="212"/>
      <c r="L5" s="212"/>
    </row>
    <row r="6" spans="1:17" ht="21" thickBot="1">
      <c r="A6" s="212"/>
      <c r="C6" s="214"/>
      <c r="D6" s="212"/>
      <c r="E6" s="212"/>
      <c r="F6" s="212"/>
      <c r="G6" s="212"/>
      <c r="H6" s="212"/>
      <c r="I6" s="212"/>
      <c r="J6" s="212"/>
      <c r="K6" s="212"/>
      <c r="L6" s="212"/>
    </row>
    <row r="7" spans="1:17" ht="16.5" thickBot="1">
      <c r="A7" s="212"/>
      <c r="B7" s="215" t="s">
        <v>160</v>
      </c>
      <c r="C7" s="212" t="s">
        <v>2402</v>
      </c>
      <c r="D7" s="212"/>
      <c r="E7" s="212"/>
      <c r="F7" s="216">
        <f>'תקציב החברה לתירות 2022 '!U10</f>
        <v>410000</v>
      </c>
      <c r="I7" s="212"/>
      <c r="J7" s="212"/>
      <c r="K7" s="212"/>
      <c r="L7" s="212"/>
    </row>
    <row r="8" spans="1:17" ht="21" thickBot="1">
      <c r="A8" s="212"/>
      <c r="C8" s="214"/>
      <c r="D8" s="212"/>
      <c r="E8" s="212"/>
      <c r="F8" s="212"/>
      <c r="H8" s="212"/>
      <c r="I8" s="212"/>
      <c r="J8" s="212"/>
      <c r="K8" s="212"/>
      <c r="L8" s="212"/>
    </row>
    <row r="9" spans="1:17" ht="16.5" thickBot="1">
      <c r="B9" s="215" t="s">
        <v>160</v>
      </c>
      <c r="C9" s="212" t="s">
        <v>296</v>
      </c>
      <c r="D9" s="212"/>
      <c r="F9" s="224">
        <f>'תקציב החברה לתירות 2022 '!A10</f>
        <v>5</v>
      </c>
      <c r="I9" s="212"/>
      <c r="J9" s="212"/>
      <c r="K9" s="212"/>
      <c r="L9" s="212"/>
      <c r="M9" s="212"/>
      <c r="N9" s="212"/>
      <c r="O9" s="212"/>
      <c r="P9" s="212"/>
      <c r="Q9" s="212"/>
    </row>
    <row r="10" spans="1:17" ht="15.75">
      <c r="B10" s="215"/>
      <c r="C10" s="212"/>
      <c r="D10" s="212"/>
      <c r="F10" s="218"/>
      <c r="I10" s="212"/>
      <c r="J10" s="212"/>
      <c r="K10" s="212"/>
      <c r="L10" s="212"/>
      <c r="M10" s="212"/>
      <c r="N10" s="212"/>
      <c r="O10" s="212"/>
      <c r="P10" s="212"/>
      <c r="Q10" s="212"/>
    </row>
    <row r="11" spans="1:17" ht="15.75">
      <c r="B11" s="215"/>
      <c r="C11" s="212"/>
      <c r="D11" s="212"/>
      <c r="F11" s="218"/>
      <c r="I11" s="212"/>
      <c r="J11" s="212"/>
      <c r="K11" s="212"/>
      <c r="L11" s="212"/>
      <c r="M11" s="212"/>
      <c r="N11" s="212"/>
      <c r="O11" s="212"/>
      <c r="P11" s="212"/>
      <c r="Q11" s="212"/>
    </row>
    <row r="12" spans="1:17" ht="15.75">
      <c r="B12" s="215" t="s">
        <v>160</v>
      </c>
      <c r="C12" s="212" t="s">
        <v>273</v>
      </c>
      <c r="D12" s="212"/>
      <c r="E12" s="212"/>
      <c r="F12" s="212"/>
      <c r="G12" s="212"/>
      <c r="H12" s="212"/>
      <c r="I12" s="212"/>
      <c r="J12" s="212"/>
      <c r="K12" s="212"/>
      <c r="L12" s="212"/>
    </row>
    <row r="13" spans="1:17" ht="16.5" thickBot="1"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</row>
    <row r="14" spans="1:17" ht="15.75">
      <c r="D14" s="225" t="s">
        <v>274</v>
      </c>
      <c r="E14" s="226" t="s">
        <v>275</v>
      </c>
      <c r="F14" s="227" t="s">
        <v>277</v>
      </c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</row>
    <row r="15" spans="1:17" ht="15.75">
      <c r="C15" s="215"/>
      <c r="D15" s="219" t="s">
        <v>13</v>
      </c>
      <c r="E15" s="228">
        <f>'תקציב החברה לתירות 2022 '!V10</f>
        <v>181067.75</v>
      </c>
      <c r="F15" s="236">
        <f>E15/$E$17</f>
        <v>0.44162865853658534</v>
      </c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</row>
    <row r="16" spans="1:17" ht="15.75">
      <c r="C16" s="215"/>
      <c r="D16" s="219" t="s">
        <v>84</v>
      </c>
      <c r="E16" s="228">
        <f>'תקציב החברה לתירות 2022 '!AA10</f>
        <v>228932.25</v>
      </c>
      <c r="F16" s="236">
        <f>E16/$E$17</f>
        <v>0.55837134146341461</v>
      </c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</row>
    <row r="17" spans="2:17" ht="16.5" thickBot="1">
      <c r="C17" s="215"/>
      <c r="D17" s="222" t="s">
        <v>94</v>
      </c>
      <c r="E17" s="230">
        <f>SUM(E15:E16)</f>
        <v>410000</v>
      </c>
      <c r="F17" s="136">
        <f>SUM(F15:F16)</f>
        <v>1</v>
      </c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</row>
    <row r="18" spans="2:17" ht="15.75">
      <c r="C18" s="215"/>
      <c r="D18" s="218"/>
      <c r="E18" s="239"/>
      <c r="F18" s="240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</row>
    <row r="19" spans="2:17" ht="15.75">
      <c r="C19" s="215"/>
      <c r="D19" s="218"/>
      <c r="E19" s="239"/>
      <c r="F19" s="240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</row>
    <row r="20" spans="2:17" ht="15.75">
      <c r="B20" s="215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</row>
    <row r="21" spans="2:17" ht="15.75">
      <c r="B21" s="215" t="s">
        <v>160</v>
      </c>
      <c r="C21" s="212" t="s">
        <v>2403</v>
      </c>
      <c r="D21" s="212"/>
      <c r="F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</row>
    <row r="22" spans="2:17" ht="15.75">
      <c r="C22" s="212"/>
      <c r="D22" s="212"/>
      <c r="E22" s="212"/>
      <c r="F22" s="212"/>
      <c r="H22" s="212"/>
      <c r="I22" s="212"/>
      <c r="J22" s="212"/>
      <c r="K22" s="212"/>
      <c r="L22" s="212"/>
    </row>
    <row r="23" spans="2:17" ht="15.75">
      <c r="B23" s="215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I11"/>
  <sheetViews>
    <sheetView showZeros="0" rightToLeft="1" zoomScaleNormal="100" workbookViewId="0">
      <pane xSplit="3" ySplit="4" topLeftCell="D5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9.140625" defaultRowHeight="18.75"/>
  <cols>
    <col min="1" max="1" width="3.28515625" style="261" customWidth="1"/>
    <col min="2" max="2" width="4.7109375" style="154" customWidth="1"/>
    <col min="3" max="3" width="21.7109375" style="154" customWidth="1"/>
    <col min="4" max="6" width="10.140625" style="155" customWidth="1"/>
    <col min="7" max="11" width="9.7109375" style="155" hidden="1" customWidth="1"/>
    <col min="12" max="15" width="10.140625" style="155" customWidth="1"/>
    <col min="16" max="19" width="9.7109375" style="155" hidden="1" customWidth="1"/>
    <col min="20" max="20" width="10.140625" style="155" customWidth="1"/>
    <col min="21" max="22" width="10.140625" style="154" customWidth="1"/>
    <col min="23" max="26" width="9.7109375" style="154" hidden="1" customWidth="1"/>
    <col min="27" max="27" width="10.140625" style="154" customWidth="1"/>
    <col min="28" max="28" width="29.5703125" style="154" customWidth="1"/>
    <col min="29" max="29" width="9.7109375" style="154" hidden="1" customWidth="1"/>
    <col min="30" max="30" width="22" style="259" customWidth="1"/>
    <col min="31" max="31" width="23.140625" style="259" customWidth="1"/>
    <col min="32" max="32" width="24.28515625" style="259" customWidth="1"/>
    <col min="33" max="16384" width="9.140625" style="154"/>
  </cols>
  <sheetData>
    <row r="1" spans="1:35" s="259" customFormat="1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80"/>
      <c r="Y1" s="280"/>
      <c r="Z1" s="280"/>
    </row>
    <row r="2" spans="1:35">
      <c r="A2" s="257" t="s">
        <v>103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</row>
    <row r="3" spans="1:35" ht="24" customHeight="1"/>
    <row r="4" spans="1:35" s="263" customFormat="1" ht="86.25" customHeight="1">
      <c r="A4" s="157" t="s">
        <v>0</v>
      </c>
      <c r="B4" s="157" t="s">
        <v>1</v>
      </c>
      <c r="C4" s="157" t="s">
        <v>2</v>
      </c>
      <c r="D4" s="157" t="s">
        <v>3</v>
      </c>
      <c r="E4" s="157" t="s">
        <v>4</v>
      </c>
      <c r="F4" s="157" t="s">
        <v>5</v>
      </c>
      <c r="G4" s="157" t="s">
        <v>6</v>
      </c>
      <c r="H4" s="157" t="s">
        <v>7</v>
      </c>
      <c r="I4" s="157" t="s">
        <v>9</v>
      </c>
      <c r="J4" s="157" t="s">
        <v>153</v>
      </c>
      <c r="K4" s="157" t="s">
        <v>10</v>
      </c>
      <c r="L4" s="157" t="s">
        <v>11</v>
      </c>
      <c r="M4" s="9" t="s">
        <v>891</v>
      </c>
      <c r="N4" s="9" t="s">
        <v>892</v>
      </c>
      <c r="O4" s="9" t="s">
        <v>893</v>
      </c>
      <c r="P4" s="9" t="s">
        <v>12</v>
      </c>
      <c r="Q4" s="9" t="s">
        <v>894</v>
      </c>
      <c r="R4" s="9" t="s">
        <v>895</v>
      </c>
      <c r="S4" s="9" t="s">
        <v>896</v>
      </c>
      <c r="T4" s="9" t="s">
        <v>897</v>
      </c>
      <c r="U4" s="9" t="s">
        <v>898</v>
      </c>
      <c r="V4" s="157" t="s">
        <v>13</v>
      </c>
      <c r="W4" s="157" t="s">
        <v>14</v>
      </c>
      <c r="X4" s="157" t="s">
        <v>15</v>
      </c>
      <c r="Y4" s="157" t="s">
        <v>265</v>
      </c>
      <c r="Z4" s="157" t="s">
        <v>749</v>
      </c>
      <c r="AA4" s="157" t="s">
        <v>84</v>
      </c>
      <c r="AB4" s="16" t="s">
        <v>304</v>
      </c>
      <c r="AC4" s="157" t="s">
        <v>16</v>
      </c>
      <c r="AD4" s="259"/>
      <c r="AE4" s="259"/>
      <c r="AF4" s="259"/>
    </row>
    <row r="5" spans="1:35" s="165" customFormat="1" ht="30" customHeight="1">
      <c r="A5" s="160">
        <v>1</v>
      </c>
      <c r="B5" s="160">
        <v>1519</v>
      </c>
      <c r="C5" s="160" t="s">
        <v>82</v>
      </c>
      <c r="D5" s="161">
        <v>8493000</v>
      </c>
      <c r="E5" s="161">
        <v>8493000</v>
      </c>
      <c r="F5" s="161">
        <f>D5-E5</f>
        <v>0</v>
      </c>
      <c r="G5" s="161">
        <v>2680000</v>
      </c>
      <c r="H5" s="161">
        <v>2601552</v>
      </c>
      <c r="I5" s="161">
        <v>0</v>
      </c>
      <c r="J5" s="161"/>
      <c r="K5" s="161">
        <f>SUM(I5:J5)</f>
        <v>0</v>
      </c>
      <c r="L5" s="161">
        <f>H5+K5</f>
        <v>2601552</v>
      </c>
      <c r="M5" s="161">
        <f>P5+S5</f>
        <v>78448</v>
      </c>
      <c r="N5" s="161">
        <v>1000000</v>
      </c>
      <c r="O5" s="161">
        <f>D5-L5-M5-N5</f>
        <v>4813000</v>
      </c>
      <c r="P5" s="161">
        <f>G5-L5</f>
        <v>78448</v>
      </c>
      <c r="Q5" s="161"/>
      <c r="R5" s="161"/>
      <c r="S5" s="161">
        <f>SUM(Q5:R5)</f>
        <v>0</v>
      </c>
      <c r="T5" s="161">
        <f>P5-M5+S5</f>
        <v>0</v>
      </c>
      <c r="U5" s="541">
        <f>N5-T5</f>
        <v>1000000</v>
      </c>
      <c r="V5" s="161">
        <f>U5-AA5</f>
        <v>771067.75</v>
      </c>
      <c r="W5" s="161"/>
      <c r="X5" s="161"/>
      <c r="Y5" s="161"/>
      <c r="Z5" s="161"/>
      <c r="AA5" s="161">
        <f>987865/4-18034</f>
        <v>228932.25</v>
      </c>
      <c r="AB5" s="160" t="s">
        <v>1859</v>
      </c>
      <c r="AC5" s="160">
        <v>732000</v>
      </c>
      <c r="AD5" s="259"/>
      <c r="AE5" s="259"/>
      <c r="AF5" s="259"/>
    </row>
    <row r="6" spans="1:35" s="164" customFormat="1" ht="30" customHeight="1">
      <c r="A6" s="160">
        <f>A5+1</f>
        <v>2</v>
      </c>
      <c r="B6" s="160">
        <v>1867</v>
      </c>
      <c r="C6" s="160" t="s">
        <v>128</v>
      </c>
      <c r="D6" s="161">
        <v>1520000</v>
      </c>
      <c r="E6" s="161">
        <v>1520000</v>
      </c>
      <c r="F6" s="161">
        <f>D6-E6</f>
        <v>0</v>
      </c>
      <c r="G6" s="161">
        <v>570000</v>
      </c>
      <c r="H6" s="161">
        <v>369131</v>
      </c>
      <c r="I6" s="161">
        <v>0</v>
      </c>
      <c r="J6" s="161">
        <v>0</v>
      </c>
      <c r="K6" s="161">
        <f>SUM(I6:J6)</f>
        <v>0</v>
      </c>
      <c r="L6" s="161">
        <f>H6+K6</f>
        <v>369131</v>
      </c>
      <c r="M6" s="161">
        <f>P6+S6</f>
        <v>200869</v>
      </c>
      <c r="N6" s="161"/>
      <c r="O6" s="161">
        <f>D6-L6-M6-N6</f>
        <v>950000</v>
      </c>
      <c r="P6" s="161">
        <f>G6-L6</f>
        <v>200869</v>
      </c>
      <c r="Q6" s="161"/>
      <c r="R6" s="161"/>
      <c r="S6" s="161">
        <f>SUM(Q6:R6)</f>
        <v>0</v>
      </c>
      <c r="T6" s="161">
        <f>P6-M6+S6</f>
        <v>0</v>
      </c>
      <c r="U6" s="541">
        <f>N6-T6</f>
        <v>0</v>
      </c>
      <c r="V6" s="161">
        <f>U6</f>
        <v>0</v>
      </c>
      <c r="W6" s="161"/>
      <c r="X6" s="161"/>
      <c r="Y6" s="161"/>
      <c r="Z6" s="161"/>
      <c r="AA6" s="161">
        <f>987864-987864</f>
        <v>0</v>
      </c>
      <c r="AB6" s="160" t="s">
        <v>447</v>
      </c>
      <c r="AC6" s="160">
        <v>732000</v>
      </c>
      <c r="AD6" s="259"/>
      <c r="AE6" s="259"/>
      <c r="AF6" s="259"/>
    </row>
    <row r="7" spans="1:35" s="164" customFormat="1" ht="30" customHeight="1">
      <c r="A7" s="160">
        <f>A6+1</f>
        <v>3</v>
      </c>
      <c r="B7" s="160">
        <v>1979</v>
      </c>
      <c r="C7" s="160" t="s">
        <v>145</v>
      </c>
      <c r="D7" s="174">
        <v>195000</v>
      </c>
      <c r="E7" s="174">
        <v>195000</v>
      </c>
      <c r="F7" s="161">
        <f>D7-E7</f>
        <v>0</v>
      </c>
      <c r="G7" s="161">
        <v>195000</v>
      </c>
      <c r="H7" s="161">
        <v>70235</v>
      </c>
      <c r="I7" s="161">
        <v>0</v>
      </c>
      <c r="J7" s="161">
        <v>0</v>
      </c>
      <c r="K7" s="161">
        <f>SUM(I7:J7)</f>
        <v>0</v>
      </c>
      <c r="L7" s="161">
        <f>H7+K7</f>
        <v>70235</v>
      </c>
      <c r="M7" s="161">
        <f>P7+S7</f>
        <v>124765</v>
      </c>
      <c r="N7" s="161"/>
      <c r="O7" s="161">
        <f>D7-L7-M7-N7</f>
        <v>0</v>
      </c>
      <c r="P7" s="161">
        <f>G7-L7</f>
        <v>124765</v>
      </c>
      <c r="Q7" s="161"/>
      <c r="R7" s="161"/>
      <c r="S7" s="161">
        <f>SUM(Q7:R7)</f>
        <v>0</v>
      </c>
      <c r="T7" s="161">
        <f>P7-M7+S7</f>
        <v>0</v>
      </c>
      <c r="U7" s="541">
        <f>N7-T7</f>
        <v>0</v>
      </c>
      <c r="V7" s="161">
        <f>U7</f>
        <v>0</v>
      </c>
      <c r="W7" s="161"/>
      <c r="X7" s="161"/>
      <c r="Y7" s="161"/>
      <c r="Z7" s="161"/>
      <c r="AA7" s="161">
        <f>987864-987864</f>
        <v>0</v>
      </c>
      <c r="AB7" s="160" t="s">
        <v>447</v>
      </c>
      <c r="AC7" s="160">
        <v>732000</v>
      </c>
      <c r="AD7" s="259"/>
      <c r="AE7" s="259"/>
      <c r="AF7" s="259"/>
      <c r="AI7" s="167"/>
    </row>
    <row r="8" spans="1:35" s="164" customFormat="1" ht="60">
      <c r="A8" s="160">
        <f>A7+1</f>
        <v>4</v>
      </c>
      <c r="B8" s="160">
        <v>1980</v>
      </c>
      <c r="C8" s="160" t="s">
        <v>158</v>
      </c>
      <c r="D8" s="174">
        <v>1150000</v>
      </c>
      <c r="E8" s="174">
        <v>1150000</v>
      </c>
      <c r="F8" s="161">
        <f>D8-E8</f>
        <v>0</v>
      </c>
      <c r="G8" s="161">
        <v>1150000</v>
      </c>
      <c r="H8" s="161">
        <v>642915</v>
      </c>
      <c r="I8" s="161">
        <v>0</v>
      </c>
      <c r="J8" s="161">
        <v>0</v>
      </c>
      <c r="K8" s="161">
        <f>SUM(I8:J8)</f>
        <v>0</v>
      </c>
      <c r="L8" s="161">
        <f>H8+K8</f>
        <v>642915</v>
      </c>
      <c r="M8" s="161">
        <f>P8+S8-500000</f>
        <v>7085</v>
      </c>
      <c r="N8" s="161"/>
      <c r="O8" s="161">
        <f>D8-L8-M8-N8</f>
        <v>500000</v>
      </c>
      <c r="P8" s="161">
        <f>G8-L8</f>
        <v>507085</v>
      </c>
      <c r="Q8" s="161"/>
      <c r="R8" s="161"/>
      <c r="S8" s="161">
        <f>SUM(Q8:R8)</f>
        <v>0</v>
      </c>
      <c r="T8" s="161">
        <f>P8-M8+S8</f>
        <v>500000</v>
      </c>
      <c r="U8" s="541">
        <f>N8-T8</f>
        <v>-500000</v>
      </c>
      <c r="V8" s="161">
        <f>U8</f>
        <v>-500000</v>
      </c>
      <c r="W8" s="161"/>
      <c r="X8" s="161"/>
      <c r="Y8" s="161"/>
      <c r="Z8" s="161"/>
      <c r="AA8" s="161">
        <f>987864-987864</f>
        <v>0</v>
      </c>
      <c r="AB8" s="160" t="s">
        <v>2370</v>
      </c>
      <c r="AC8" s="160">
        <v>732000</v>
      </c>
      <c r="AD8" s="259"/>
      <c r="AE8" s="259"/>
      <c r="AF8" s="259"/>
      <c r="AI8" s="167"/>
    </row>
    <row r="9" spans="1:35" s="164" customFormat="1" ht="30" customHeight="1">
      <c r="A9" s="160">
        <f>A8+1</f>
        <v>5</v>
      </c>
      <c r="B9" s="160">
        <v>1981</v>
      </c>
      <c r="C9" s="160" t="s">
        <v>146</v>
      </c>
      <c r="D9" s="174">
        <v>1100000</v>
      </c>
      <c r="E9" s="174">
        <v>1100000</v>
      </c>
      <c r="F9" s="161">
        <f>D9-E9</f>
        <v>0</v>
      </c>
      <c r="G9" s="161">
        <v>1100000</v>
      </c>
      <c r="H9" s="161">
        <v>1007076</v>
      </c>
      <c r="I9" s="161">
        <v>0</v>
      </c>
      <c r="J9" s="161">
        <v>0</v>
      </c>
      <c r="K9" s="161">
        <f>SUM(I9:J9)</f>
        <v>0</v>
      </c>
      <c r="L9" s="161">
        <f>H9+K9</f>
        <v>1007076</v>
      </c>
      <c r="M9" s="161">
        <f>P9+S9-90000</f>
        <v>2924</v>
      </c>
      <c r="N9" s="161"/>
      <c r="O9" s="161">
        <f>D9-L9-M9-N9</f>
        <v>90000</v>
      </c>
      <c r="P9" s="161">
        <f>G9-L9</f>
        <v>92924</v>
      </c>
      <c r="Q9" s="161"/>
      <c r="R9" s="161"/>
      <c r="S9" s="161">
        <f>SUM(Q9:R9)</f>
        <v>0</v>
      </c>
      <c r="T9" s="161">
        <f>P9-M9+S9</f>
        <v>90000</v>
      </c>
      <c r="U9" s="541">
        <f>N9-T9</f>
        <v>-90000</v>
      </c>
      <c r="V9" s="161">
        <f>U9</f>
        <v>-90000</v>
      </c>
      <c r="W9" s="161"/>
      <c r="X9" s="161"/>
      <c r="Y9" s="161"/>
      <c r="Z9" s="161"/>
      <c r="AA9" s="161">
        <f>987864-987864</f>
        <v>0</v>
      </c>
      <c r="AB9" s="160" t="s">
        <v>2371</v>
      </c>
      <c r="AC9" s="160">
        <v>732000</v>
      </c>
      <c r="AD9" s="259"/>
      <c r="AE9" s="259"/>
      <c r="AF9" s="259"/>
      <c r="AI9" s="167"/>
    </row>
    <row r="10" spans="1:35" s="370" customFormat="1" ht="30" customHeight="1">
      <c r="A10" s="302">
        <f>A9</f>
        <v>5</v>
      </c>
      <c r="B10" s="302"/>
      <c r="C10" s="32" t="s">
        <v>263</v>
      </c>
      <c r="D10" s="369">
        <f>SUM(D5:D9)</f>
        <v>12458000</v>
      </c>
      <c r="E10" s="369">
        <f t="shared" ref="E10:AA10" si="0">SUM(E5:E9)</f>
        <v>12458000</v>
      </c>
      <c r="F10" s="369">
        <f t="shared" si="0"/>
        <v>0</v>
      </c>
      <c r="G10" s="369">
        <f t="shared" si="0"/>
        <v>5695000</v>
      </c>
      <c r="H10" s="369">
        <f t="shared" si="0"/>
        <v>4690909</v>
      </c>
      <c r="I10" s="369">
        <f t="shared" si="0"/>
        <v>0</v>
      </c>
      <c r="J10" s="369">
        <f t="shared" si="0"/>
        <v>0</v>
      </c>
      <c r="K10" s="369">
        <f t="shared" si="0"/>
        <v>0</v>
      </c>
      <c r="L10" s="369">
        <f t="shared" si="0"/>
        <v>4690909</v>
      </c>
      <c r="M10" s="369">
        <f t="shared" si="0"/>
        <v>414091</v>
      </c>
      <c r="N10" s="369">
        <f t="shared" si="0"/>
        <v>1000000</v>
      </c>
      <c r="O10" s="369">
        <f t="shared" si="0"/>
        <v>6353000</v>
      </c>
      <c r="P10" s="369">
        <f t="shared" si="0"/>
        <v>1004091</v>
      </c>
      <c r="Q10" s="369">
        <f t="shared" si="0"/>
        <v>0</v>
      </c>
      <c r="R10" s="369">
        <f t="shared" si="0"/>
        <v>0</v>
      </c>
      <c r="S10" s="369">
        <f t="shared" si="0"/>
        <v>0</v>
      </c>
      <c r="T10" s="369">
        <f t="shared" si="0"/>
        <v>590000</v>
      </c>
      <c r="U10" s="369">
        <f t="shared" si="0"/>
        <v>410000</v>
      </c>
      <c r="V10" s="369">
        <f t="shared" si="0"/>
        <v>181067.75</v>
      </c>
      <c r="W10" s="369">
        <f t="shared" si="0"/>
        <v>0</v>
      </c>
      <c r="X10" s="369">
        <f t="shared" si="0"/>
        <v>0</v>
      </c>
      <c r="Y10" s="369">
        <f t="shared" si="0"/>
        <v>0</v>
      </c>
      <c r="Z10" s="369">
        <f t="shared" si="0"/>
        <v>0</v>
      </c>
      <c r="AA10" s="369">
        <f t="shared" si="0"/>
        <v>228932.25</v>
      </c>
      <c r="AB10" s="369"/>
      <c r="AC10" s="302"/>
      <c r="AD10" s="259"/>
      <c r="AE10" s="259"/>
    </row>
    <row r="11" spans="1:35" hidden="1">
      <c r="M11" s="155">
        <f>P10-T10</f>
        <v>414091</v>
      </c>
      <c r="P11" s="155">
        <f>G10-L10</f>
        <v>1004091</v>
      </c>
    </row>
  </sheetData>
  <sheetProtection formatCells="0" formatColumns="0" formatRows="0" insertColumns="0" insertRows="0" insertHyperlinks="0" deleteColumns="0" deleteRows="0" sort="0" autoFilter="0" pivotTables="0"/>
  <conditionalFormatting sqref="U5:U9">
    <cfRule type="cellIs" dxfId="109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I11"/>
  <sheetViews>
    <sheetView showZeros="0" rightToLeft="1" zoomScaleNormal="100" workbookViewId="0">
      <pane xSplit="3" ySplit="4" topLeftCell="D8" activePane="bottomRight" state="frozen"/>
      <selection activeCell="E41" sqref="E41"/>
      <selection pane="topRight" activeCell="E41" sqref="E41"/>
      <selection pane="bottomLeft" activeCell="E41" sqref="E41"/>
      <selection pane="bottomRight" activeCell="E41" sqref="E41"/>
    </sheetView>
  </sheetViews>
  <sheetFormatPr defaultColWidth="9.140625" defaultRowHeight="18.75"/>
  <cols>
    <col min="1" max="1" width="3.28515625" style="261" customWidth="1"/>
    <col min="2" max="2" width="4.7109375" style="154" customWidth="1"/>
    <col min="3" max="3" width="21.7109375" style="154" customWidth="1"/>
    <col min="4" max="6" width="9.7109375" style="155" customWidth="1"/>
    <col min="7" max="11" width="9.7109375" style="155" hidden="1" customWidth="1"/>
    <col min="12" max="12" width="10.42578125" style="155" customWidth="1"/>
    <col min="13" max="13" width="10.5703125" style="155" customWidth="1"/>
    <col min="14" max="14" width="9" style="155" customWidth="1"/>
    <col min="15" max="15" width="9.7109375" style="155" customWidth="1"/>
    <col min="16" max="19" width="9.7109375" style="155" hidden="1" customWidth="1"/>
    <col min="20" max="20" width="8.5703125" style="155" customWidth="1"/>
    <col min="21" max="22" width="9.7109375" style="154" customWidth="1"/>
    <col min="23" max="26" width="9.7109375" style="154" hidden="1" customWidth="1"/>
    <col min="27" max="27" width="8.42578125" style="154" customWidth="1"/>
    <col min="28" max="28" width="29.5703125" style="154" customWidth="1"/>
    <col min="29" max="29" width="9.7109375" style="154" customWidth="1"/>
    <col min="30" max="30" width="22" style="259" customWidth="1"/>
    <col min="31" max="31" width="23.140625" style="259" customWidth="1"/>
    <col min="32" max="32" width="24.28515625" style="259" customWidth="1"/>
    <col min="33" max="16384" width="9.140625" style="154"/>
  </cols>
  <sheetData>
    <row r="1" spans="1:35" s="259" customFormat="1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80"/>
      <c r="Y1" s="280"/>
      <c r="Z1" s="280"/>
    </row>
    <row r="2" spans="1:35">
      <c r="A2" s="257" t="s">
        <v>103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</row>
    <row r="3" spans="1:35" ht="24" customHeight="1"/>
    <row r="4" spans="1:35" s="263" customFormat="1" ht="86.25" customHeight="1">
      <c r="A4" s="157" t="s">
        <v>0</v>
      </c>
      <c r="B4" s="157" t="s">
        <v>1</v>
      </c>
      <c r="C4" s="157" t="s">
        <v>2</v>
      </c>
      <c r="D4" s="157" t="s">
        <v>3</v>
      </c>
      <c r="E4" s="157" t="s">
        <v>4</v>
      </c>
      <c r="F4" s="157" t="s">
        <v>5</v>
      </c>
      <c r="G4" s="157" t="s">
        <v>6</v>
      </c>
      <c r="H4" s="157" t="s">
        <v>7</v>
      </c>
      <c r="I4" s="157" t="s">
        <v>9</v>
      </c>
      <c r="J4" s="157" t="s">
        <v>153</v>
      </c>
      <c r="K4" s="157" t="s">
        <v>10</v>
      </c>
      <c r="L4" s="157" t="s">
        <v>11</v>
      </c>
      <c r="M4" s="9" t="s">
        <v>891</v>
      </c>
      <c r="N4" s="9" t="s">
        <v>892</v>
      </c>
      <c r="O4" s="9" t="s">
        <v>893</v>
      </c>
      <c r="P4" s="9" t="s">
        <v>12</v>
      </c>
      <c r="Q4" s="9" t="s">
        <v>894</v>
      </c>
      <c r="R4" s="9" t="s">
        <v>895</v>
      </c>
      <c r="S4" s="9" t="s">
        <v>896</v>
      </c>
      <c r="T4" s="9" t="s">
        <v>897</v>
      </c>
      <c r="U4" s="9" t="s">
        <v>898</v>
      </c>
      <c r="V4" s="157" t="s">
        <v>13</v>
      </c>
      <c r="W4" s="157" t="s">
        <v>14</v>
      </c>
      <c r="X4" s="157" t="s">
        <v>15</v>
      </c>
      <c r="Y4" s="157" t="s">
        <v>265</v>
      </c>
      <c r="Z4" s="157" t="s">
        <v>749</v>
      </c>
      <c r="AA4" s="157" t="s">
        <v>84</v>
      </c>
      <c r="AB4" s="16" t="s">
        <v>304</v>
      </c>
      <c r="AC4" s="157" t="s">
        <v>16</v>
      </c>
      <c r="AD4" s="259"/>
      <c r="AE4" s="259"/>
      <c r="AF4" s="259"/>
    </row>
    <row r="5" spans="1:35" s="165" customFormat="1" ht="30" customHeight="1">
      <c r="A5" s="160">
        <v>1</v>
      </c>
      <c r="B5" s="160">
        <f>'תקציב החברה לתירות 2022 '!B5</f>
        <v>1519</v>
      </c>
      <c r="C5" s="289" t="str">
        <f>'תקציב החברה לתירות 2022 '!C5</f>
        <v>תב"ע חוף הים</v>
      </c>
      <c r="D5" s="161">
        <f>'תקציב החברה לתירות 2022 '!D5</f>
        <v>8493000</v>
      </c>
      <c r="E5" s="161">
        <f>'תקציב החברה לתירות 2022 '!E5</f>
        <v>8493000</v>
      </c>
      <c r="F5" s="161">
        <f>'תקציב החברה לתירות 2022 '!F5</f>
        <v>0</v>
      </c>
      <c r="G5" s="161">
        <f>'תקציב החברה לתירות 2022 '!G5</f>
        <v>2680000</v>
      </c>
      <c r="H5" s="161">
        <f>'תקציב החברה לתירות 2022 '!H5</f>
        <v>2601552</v>
      </c>
      <c r="I5" s="161">
        <f>'תקציב החברה לתירות 2022 '!I5</f>
        <v>0</v>
      </c>
      <c r="J5" s="161">
        <f>'תקציב החברה לתירות 2022 '!J5</f>
        <v>0</v>
      </c>
      <c r="K5" s="161">
        <f>'תקציב החברה לתירות 2022 '!K5</f>
        <v>0</v>
      </c>
      <c r="L5" s="161">
        <f>'תקציב החברה לתירות 2022 '!L5</f>
        <v>2601552</v>
      </c>
      <c r="M5" s="161">
        <f>'תקציב החברה לתירות 2022 '!M5</f>
        <v>78448</v>
      </c>
      <c r="N5" s="161">
        <f>'תקציב החברה לתירות 2022 '!N5</f>
        <v>1000000</v>
      </c>
      <c r="O5" s="161">
        <f>'תקציב החברה לתירות 2022 '!O5</f>
        <v>4813000</v>
      </c>
      <c r="P5" s="161">
        <f>'תקציב החברה לתירות 2022 '!P5</f>
        <v>78448</v>
      </c>
      <c r="Q5" s="161">
        <f>'תקציב החברה לתירות 2022 '!Q5</f>
        <v>0</v>
      </c>
      <c r="R5" s="161">
        <f>'תקציב החברה לתירות 2022 '!R5</f>
        <v>0</v>
      </c>
      <c r="S5" s="161">
        <f>'תקציב החברה לתירות 2022 '!S5</f>
        <v>0</v>
      </c>
      <c r="T5" s="161">
        <f>'תקציב החברה לתירות 2022 '!T5</f>
        <v>0</v>
      </c>
      <c r="U5" s="161">
        <f>'תקציב החברה לתירות 2022 '!U5</f>
        <v>1000000</v>
      </c>
      <c r="V5" s="161">
        <f>'תקציב החברה לתירות 2022 '!V5</f>
        <v>771067.75</v>
      </c>
      <c r="W5" s="161">
        <f>'תקציב החברה לתירות 2022 '!W5</f>
        <v>0</v>
      </c>
      <c r="X5" s="161">
        <f>'תקציב החברה לתירות 2022 '!X5</f>
        <v>0</v>
      </c>
      <c r="Y5" s="161">
        <f>'תקציב החברה לתירות 2022 '!Y5</f>
        <v>0</v>
      </c>
      <c r="Z5" s="161">
        <f>'תקציב החברה לתירות 2022 '!Z5</f>
        <v>0</v>
      </c>
      <c r="AA5" s="161">
        <f>'תקציב החברה לתירות 2022 '!AA5</f>
        <v>228932.25</v>
      </c>
      <c r="AB5" s="289" t="str">
        <f>'תקציב החברה לתירות 2022 '!AB5</f>
        <v xml:space="preserve">הכנת תב"ע . מימון רמ"י. </v>
      </c>
      <c r="AC5" s="160">
        <f>'תקציב החברה לתירות 2022 '!AC5</f>
        <v>732000</v>
      </c>
      <c r="AD5" s="259"/>
      <c r="AE5" s="259"/>
      <c r="AF5" s="259"/>
    </row>
    <row r="6" spans="1:35" s="164" customFormat="1" ht="30" customHeight="1">
      <c r="A6" s="160">
        <f>A5+1</f>
        <v>2</v>
      </c>
      <c r="B6" s="160">
        <f>'תקציב החברה לתירות 2022 '!B6</f>
        <v>1867</v>
      </c>
      <c r="C6" s="289" t="str">
        <f>'תקציב החברה לתירות 2022 '!C6</f>
        <v>תב"ע מרינה</v>
      </c>
      <c r="D6" s="161">
        <f>'תקציב החברה לתירות 2022 '!D6</f>
        <v>1520000</v>
      </c>
      <c r="E6" s="161">
        <f>'תקציב החברה לתירות 2022 '!E6</f>
        <v>1520000</v>
      </c>
      <c r="F6" s="161">
        <f>'תקציב החברה לתירות 2022 '!F6</f>
        <v>0</v>
      </c>
      <c r="G6" s="161">
        <f>'תקציב החברה לתירות 2022 '!G6</f>
        <v>570000</v>
      </c>
      <c r="H6" s="161">
        <f>'תקציב החברה לתירות 2022 '!H6</f>
        <v>369131</v>
      </c>
      <c r="I6" s="161">
        <f>'תקציב החברה לתירות 2022 '!I6</f>
        <v>0</v>
      </c>
      <c r="J6" s="161">
        <f>'תקציב החברה לתירות 2022 '!J6</f>
        <v>0</v>
      </c>
      <c r="K6" s="161">
        <f>'תקציב החברה לתירות 2022 '!K6</f>
        <v>0</v>
      </c>
      <c r="L6" s="161">
        <f>'תקציב החברה לתירות 2022 '!L6</f>
        <v>369131</v>
      </c>
      <c r="M6" s="161">
        <f>'תקציב החברה לתירות 2022 '!M6</f>
        <v>200869</v>
      </c>
      <c r="N6" s="161">
        <f>'תקציב החברה לתירות 2022 '!N6</f>
        <v>0</v>
      </c>
      <c r="O6" s="161">
        <f>'תקציב החברה לתירות 2022 '!O6</f>
        <v>950000</v>
      </c>
      <c r="P6" s="161">
        <f>'תקציב החברה לתירות 2022 '!P6</f>
        <v>200869</v>
      </c>
      <c r="Q6" s="161">
        <f>'תקציב החברה לתירות 2022 '!Q6</f>
        <v>0</v>
      </c>
      <c r="R6" s="161">
        <f>'תקציב החברה לתירות 2022 '!R6</f>
        <v>0</v>
      </c>
      <c r="S6" s="161">
        <f>'תקציב החברה לתירות 2022 '!S6</f>
        <v>0</v>
      </c>
      <c r="T6" s="161">
        <f>'תקציב החברה לתירות 2022 '!T6</f>
        <v>0</v>
      </c>
      <c r="U6" s="161">
        <f>'תקציב החברה לתירות 2022 '!U6</f>
        <v>0</v>
      </c>
      <c r="V6" s="161">
        <f>'תקציב החברה לתירות 2022 '!V6</f>
        <v>0</v>
      </c>
      <c r="W6" s="161">
        <f>'תקציב החברה לתירות 2022 '!W6</f>
        <v>0</v>
      </c>
      <c r="X6" s="161">
        <f>'תקציב החברה לתירות 2022 '!X6</f>
        <v>0</v>
      </c>
      <c r="Y6" s="161">
        <f>'תקציב החברה לתירות 2022 '!Y6</f>
        <v>0</v>
      </c>
      <c r="Z6" s="161">
        <f>'תקציב החברה לתירות 2022 '!Z6</f>
        <v>0</v>
      </c>
      <c r="AA6" s="161">
        <f>'תקציב החברה לתירות 2022 '!AA6</f>
        <v>0</v>
      </c>
      <c r="AB6" s="289" t="str">
        <f>'תקציב החברה לתירות 2022 '!AB6</f>
        <v>הכנת תב"ע .</v>
      </c>
      <c r="AC6" s="160">
        <f>'תקציב החברה לתירות 2022 '!AC6</f>
        <v>732000</v>
      </c>
      <c r="AD6" s="259"/>
      <c r="AE6" s="259"/>
      <c r="AF6" s="259"/>
    </row>
    <row r="7" spans="1:35" s="164" customFormat="1" ht="30" customHeight="1">
      <c r="A7" s="160">
        <f>A6+1</f>
        <v>3</v>
      </c>
      <c r="B7" s="160">
        <f>'תקציב החברה לתירות 2022 '!B7</f>
        <v>1979</v>
      </c>
      <c r="C7" s="289" t="str">
        <f>'תקציב החברה לתירות 2022 '!C7</f>
        <v>תב"ע גשר קטן במרינה</v>
      </c>
      <c r="D7" s="161">
        <f>'תקציב החברה לתירות 2022 '!D7</f>
        <v>195000</v>
      </c>
      <c r="E7" s="161">
        <f>'תקציב החברה לתירות 2022 '!E7</f>
        <v>195000</v>
      </c>
      <c r="F7" s="161">
        <f>'תקציב החברה לתירות 2022 '!F7</f>
        <v>0</v>
      </c>
      <c r="G7" s="161">
        <f>'תקציב החברה לתירות 2022 '!G7</f>
        <v>195000</v>
      </c>
      <c r="H7" s="161">
        <f>'תקציב החברה לתירות 2022 '!H7</f>
        <v>70235</v>
      </c>
      <c r="I7" s="161">
        <f>'תקציב החברה לתירות 2022 '!I7</f>
        <v>0</v>
      </c>
      <c r="J7" s="161">
        <f>'תקציב החברה לתירות 2022 '!J7</f>
        <v>0</v>
      </c>
      <c r="K7" s="161">
        <f>'תקציב החברה לתירות 2022 '!K7</f>
        <v>0</v>
      </c>
      <c r="L7" s="161">
        <f>'תקציב החברה לתירות 2022 '!L7</f>
        <v>70235</v>
      </c>
      <c r="M7" s="161">
        <f>'תקציב החברה לתירות 2022 '!M7</f>
        <v>124765</v>
      </c>
      <c r="N7" s="161">
        <f>'תקציב החברה לתירות 2022 '!N7</f>
        <v>0</v>
      </c>
      <c r="O7" s="161">
        <f>'תקציב החברה לתירות 2022 '!O7</f>
        <v>0</v>
      </c>
      <c r="P7" s="161">
        <f>'תקציב החברה לתירות 2022 '!P7</f>
        <v>124765</v>
      </c>
      <c r="Q7" s="161">
        <f>'תקציב החברה לתירות 2022 '!Q7</f>
        <v>0</v>
      </c>
      <c r="R7" s="161">
        <f>'תקציב החברה לתירות 2022 '!R7</f>
        <v>0</v>
      </c>
      <c r="S7" s="161">
        <f>'תקציב החברה לתירות 2022 '!S7</f>
        <v>0</v>
      </c>
      <c r="T7" s="161">
        <f>'תקציב החברה לתירות 2022 '!T7</f>
        <v>0</v>
      </c>
      <c r="U7" s="161">
        <f>'תקציב החברה לתירות 2022 '!U7</f>
        <v>0</v>
      </c>
      <c r="V7" s="161">
        <f>'תקציב החברה לתירות 2022 '!V7</f>
        <v>0</v>
      </c>
      <c r="W7" s="161">
        <f>'תקציב החברה לתירות 2022 '!W7</f>
        <v>0</v>
      </c>
      <c r="X7" s="161">
        <f>'תקציב החברה לתירות 2022 '!X7</f>
        <v>0</v>
      </c>
      <c r="Y7" s="161">
        <f>'תקציב החברה לתירות 2022 '!Y7</f>
        <v>0</v>
      </c>
      <c r="Z7" s="161">
        <f>'תקציב החברה לתירות 2022 '!Z7</f>
        <v>0</v>
      </c>
      <c r="AA7" s="161">
        <f>'תקציב החברה לתירות 2022 '!AA7</f>
        <v>0</v>
      </c>
      <c r="AB7" s="289" t="str">
        <f>'תקציב החברה לתירות 2022 '!AB7</f>
        <v>הכנת תב"ע .</v>
      </c>
      <c r="AC7" s="160">
        <f>'תקציב החברה לתירות 2022 '!AC7</f>
        <v>732000</v>
      </c>
      <c r="AD7" s="259"/>
      <c r="AE7" s="259"/>
      <c r="AF7" s="259"/>
      <c r="AI7" s="167"/>
    </row>
    <row r="8" spans="1:35" s="164" customFormat="1" ht="60">
      <c r="A8" s="160">
        <f>A7+1</f>
        <v>4</v>
      </c>
      <c r="B8" s="160">
        <f>'תקציב החברה לתירות 2022 '!B8</f>
        <v>1980</v>
      </c>
      <c r="C8" s="289" t="str">
        <f>'תקציב החברה לתירות 2022 '!C8</f>
        <v>תכנון תב"ע הסדרת ייעודי קרקע לפיתוח טיילת החוף</v>
      </c>
      <c r="D8" s="161">
        <f>'תקציב החברה לתירות 2022 '!D8</f>
        <v>1150000</v>
      </c>
      <c r="E8" s="161">
        <f>'תקציב החברה לתירות 2022 '!E8</f>
        <v>1150000</v>
      </c>
      <c r="F8" s="161">
        <f>'תקציב החברה לתירות 2022 '!F8</f>
        <v>0</v>
      </c>
      <c r="G8" s="161">
        <f>'תקציב החברה לתירות 2022 '!G8</f>
        <v>1150000</v>
      </c>
      <c r="H8" s="161">
        <f>'תקציב החברה לתירות 2022 '!H8</f>
        <v>642915</v>
      </c>
      <c r="I8" s="161">
        <f>'תקציב החברה לתירות 2022 '!I8</f>
        <v>0</v>
      </c>
      <c r="J8" s="161">
        <f>'תקציב החברה לתירות 2022 '!J8</f>
        <v>0</v>
      </c>
      <c r="K8" s="161">
        <f>'תקציב החברה לתירות 2022 '!K8</f>
        <v>0</v>
      </c>
      <c r="L8" s="161">
        <f>'תקציב החברה לתירות 2022 '!L8</f>
        <v>642915</v>
      </c>
      <c r="M8" s="161">
        <f>'תקציב החברה לתירות 2022 '!M8</f>
        <v>7085</v>
      </c>
      <c r="N8" s="161">
        <f>'תקציב החברה לתירות 2022 '!N8</f>
        <v>0</v>
      </c>
      <c r="O8" s="161">
        <f>'תקציב החברה לתירות 2022 '!O8</f>
        <v>500000</v>
      </c>
      <c r="P8" s="161">
        <f>'תקציב החברה לתירות 2022 '!P8</f>
        <v>507085</v>
      </c>
      <c r="Q8" s="161">
        <f>'תקציב החברה לתירות 2022 '!Q8</f>
        <v>0</v>
      </c>
      <c r="R8" s="161">
        <f>'תקציב החברה לתירות 2022 '!R8</f>
        <v>0</v>
      </c>
      <c r="S8" s="161">
        <f>'תקציב החברה לתירות 2022 '!S8</f>
        <v>0</v>
      </c>
      <c r="T8" s="161">
        <f>'תקציב החברה לתירות 2022 '!T8</f>
        <v>500000</v>
      </c>
      <c r="U8" s="161">
        <f>'תקציב החברה לתירות 2022 '!U8</f>
        <v>-500000</v>
      </c>
      <c r="V8" s="161">
        <f>'תקציב החברה לתירות 2022 '!V8</f>
        <v>-500000</v>
      </c>
      <c r="W8" s="161">
        <f>'תקציב החברה לתירות 2022 '!W8</f>
        <v>0</v>
      </c>
      <c r="X8" s="161">
        <f>'תקציב החברה לתירות 2022 '!X8</f>
        <v>0</v>
      </c>
      <c r="Y8" s="161">
        <f>'תקציב החברה לתירות 2022 '!Y8</f>
        <v>0</v>
      </c>
      <c r="Z8" s="161">
        <f>'תקציב החברה לתירות 2022 '!Z8</f>
        <v>0</v>
      </c>
      <c r="AA8" s="161">
        <f>'תקציב החברה לתירות 2022 '!AA8</f>
        <v>0</v>
      </c>
      <c r="AB8" s="289" t="str">
        <f>'תקציב החברה לתירות 2022 '!AB8</f>
        <v>תכנון להסדרת ייעודיי קרקע בטיילת החוף. קידום התב"ע בחלק של שדרוג תחנת השאיבה ודרכי הגישה אליה. איחוד עם תב"ר 1519.</v>
      </c>
      <c r="AC8" s="160">
        <f>'תקציב החברה לתירות 2022 '!AC8</f>
        <v>732000</v>
      </c>
      <c r="AD8" s="259"/>
      <c r="AE8" s="259"/>
      <c r="AF8" s="259"/>
      <c r="AI8" s="167"/>
    </row>
    <row r="9" spans="1:35" s="164" customFormat="1" ht="30" customHeight="1">
      <c r="A9" s="160">
        <f>A8+1</f>
        <v>5</v>
      </c>
      <c r="B9" s="160">
        <f>'תקציב החברה לתירות 2022 '!B9</f>
        <v>1981</v>
      </c>
      <c r="C9" s="289" t="str">
        <f>'תקציב החברה לתירות 2022 '!C9</f>
        <v>תכנון תב"ע כיכר דה שליט</v>
      </c>
      <c r="D9" s="161">
        <f>'תקציב החברה לתירות 2022 '!D9</f>
        <v>1100000</v>
      </c>
      <c r="E9" s="161">
        <f>'תקציב החברה לתירות 2022 '!E9</f>
        <v>1100000</v>
      </c>
      <c r="F9" s="161">
        <f>'תקציב החברה לתירות 2022 '!F9</f>
        <v>0</v>
      </c>
      <c r="G9" s="161">
        <f>'תקציב החברה לתירות 2022 '!G9</f>
        <v>1100000</v>
      </c>
      <c r="H9" s="161">
        <f>'תקציב החברה לתירות 2022 '!H9</f>
        <v>1007076</v>
      </c>
      <c r="I9" s="161">
        <f>'תקציב החברה לתירות 2022 '!I9</f>
        <v>0</v>
      </c>
      <c r="J9" s="161">
        <f>'תקציב החברה לתירות 2022 '!J9</f>
        <v>0</v>
      </c>
      <c r="K9" s="161">
        <f>'תקציב החברה לתירות 2022 '!K9</f>
        <v>0</v>
      </c>
      <c r="L9" s="161">
        <f>'תקציב החברה לתירות 2022 '!L9</f>
        <v>1007076</v>
      </c>
      <c r="M9" s="161">
        <f>'תקציב החברה לתירות 2022 '!M9</f>
        <v>2924</v>
      </c>
      <c r="N9" s="161">
        <f>'תקציב החברה לתירות 2022 '!N9</f>
        <v>0</v>
      </c>
      <c r="O9" s="161">
        <f>'תקציב החברה לתירות 2022 '!O9</f>
        <v>90000</v>
      </c>
      <c r="P9" s="161">
        <f>'תקציב החברה לתירות 2022 '!P9</f>
        <v>92924</v>
      </c>
      <c r="Q9" s="161">
        <f>'תקציב החברה לתירות 2022 '!Q9</f>
        <v>0</v>
      </c>
      <c r="R9" s="161">
        <f>'תקציב החברה לתירות 2022 '!R9</f>
        <v>0</v>
      </c>
      <c r="S9" s="161">
        <f>'תקציב החברה לתירות 2022 '!S9</f>
        <v>0</v>
      </c>
      <c r="T9" s="161">
        <f>'תקציב החברה לתירות 2022 '!T9</f>
        <v>90000</v>
      </c>
      <c r="U9" s="161">
        <f>'תקציב החברה לתירות 2022 '!U9</f>
        <v>-90000</v>
      </c>
      <c r="V9" s="161">
        <f>'תקציב החברה לתירות 2022 '!V9</f>
        <v>-90000</v>
      </c>
      <c r="W9" s="161">
        <f>'תקציב החברה לתירות 2022 '!W9</f>
        <v>0</v>
      </c>
      <c r="X9" s="161">
        <f>'תקציב החברה לתירות 2022 '!X9</f>
        <v>0</v>
      </c>
      <c r="Y9" s="161">
        <f>'תקציב החברה לתירות 2022 '!Y9</f>
        <v>0</v>
      </c>
      <c r="Z9" s="161">
        <f>'תקציב החברה לתירות 2022 '!Z9</f>
        <v>0</v>
      </c>
      <c r="AA9" s="161">
        <f>'תקציב החברה לתירות 2022 '!AA9</f>
        <v>0</v>
      </c>
      <c r="AB9" s="289" t="str">
        <f>'תקציב החברה לתירות 2022 '!AB9</f>
        <v>הכנת תב"ע . איחוד עם תב"ר 1519.</v>
      </c>
      <c r="AC9" s="160">
        <f>'תקציב החברה לתירות 2022 '!AC9</f>
        <v>732000</v>
      </c>
      <c r="AD9" s="259"/>
      <c r="AE9" s="259"/>
      <c r="AF9" s="259"/>
      <c r="AI9" s="167"/>
    </row>
    <row r="10" spans="1:35" s="370" customFormat="1" ht="30" customHeight="1">
      <c r="A10" s="302">
        <f>A9</f>
        <v>5</v>
      </c>
      <c r="B10" s="302"/>
      <c r="C10" s="32" t="s">
        <v>2323</v>
      </c>
      <c r="D10" s="369">
        <f>SUM(D5:D9)</f>
        <v>12458000</v>
      </c>
      <c r="E10" s="369">
        <f t="shared" ref="E10:AA10" si="0">SUM(E5:E9)</f>
        <v>12458000</v>
      </c>
      <c r="F10" s="369">
        <f t="shared" si="0"/>
        <v>0</v>
      </c>
      <c r="G10" s="369">
        <f t="shared" si="0"/>
        <v>5695000</v>
      </c>
      <c r="H10" s="369">
        <f t="shared" si="0"/>
        <v>4690909</v>
      </c>
      <c r="I10" s="369">
        <f t="shared" si="0"/>
        <v>0</v>
      </c>
      <c r="J10" s="369">
        <f t="shared" si="0"/>
        <v>0</v>
      </c>
      <c r="K10" s="369">
        <f t="shared" si="0"/>
        <v>0</v>
      </c>
      <c r="L10" s="369">
        <f t="shared" si="0"/>
        <v>4690909</v>
      </c>
      <c r="M10" s="369">
        <f t="shared" si="0"/>
        <v>414091</v>
      </c>
      <c r="N10" s="369">
        <f t="shared" si="0"/>
        <v>1000000</v>
      </c>
      <c r="O10" s="369">
        <f t="shared" si="0"/>
        <v>6353000</v>
      </c>
      <c r="P10" s="369">
        <f t="shared" si="0"/>
        <v>1004091</v>
      </c>
      <c r="Q10" s="369">
        <f t="shared" si="0"/>
        <v>0</v>
      </c>
      <c r="R10" s="369">
        <f t="shared" si="0"/>
        <v>0</v>
      </c>
      <c r="S10" s="369">
        <f t="shared" si="0"/>
        <v>0</v>
      </c>
      <c r="T10" s="369">
        <f t="shared" si="0"/>
        <v>590000</v>
      </c>
      <c r="U10" s="369">
        <f t="shared" si="0"/>
        <v>410000</v>
      </c>
      <c r="V10" s="369">
        <f t="shared" si="0"/>
        <v>181067.75</v>
      </c>
      <c r="W10" s="369">
        <f t="shared" si="0"/>
        <v>0</v>
      </c>
      <c r="X10" s="369">
        <f t="shared" si="0"/>
        <v>0</v>
      </c>
      <c r="Y10" s="369">
        <f t="shared" si="0"/>
        <v>0</v>
      </c>
      <c r="Z10" s="369">
        <f t="shared" si="0"/>
        <v>0</v>
      </c>
      <c r="AA10" s="369">
        <f t="shared" si="0"/>
        <v>228932.25</v>
      </c>
      <c r="AB10" s="369"/>
      <c r="AC10" s="302"/>
      <c r="AD10" s="259"/>
      <c r="AE10" s="259"/>
    </row>
    <row r="11" spans="1:35" hidden="1">
      <c r="M11" s="155">
        <f>P10-T10</f>
        <v>414091</v>
      </c>
      <c r="P11" s="155">
        <f>G10-L10</f>
        <v>1004091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8"/>
  <sheetViews>
    <sheetView rightToLeft="1" topLeftCell="A15" zoomScaleNormal="100" workbookViewId="0">
      <selection activeCell="C55" sqref="C55"/>
    </sheetView>
  </sheetViews>
  <sheetFormatPr defaultColWidth="9.140625" defaultRowHeight="14.25"/>
  <cols>
    <col min="1" max="2" width="4.140625" style="87" customWidth="1"/>
    <col min="3" max="3" width="33" style="87" customWidth="1"/>
    <col min="4" max="4" width="10.7109375" style="87" customWidth="1"/>
    <col min="5" max="5" width="12.140625" style="87" customWidth="1"/>
    <col min="6" max="6" width="9" style="87" hidden="1" customWidth="1"/>
    <col min="7" max="7" width="13" style="87" customWidth="1"/>
    <col min="8" max="8" width="9.140625" style="87"/>
    <col min="9" max="9" width="12.28515625" style="87" customWidth="1"/>
    <col min="10" max="10" width="13.28515625" style="87" customWidth="1"/>
    <col min="11" max="11" width="7.85546875" style="87" customWidth="1"/>
    <col min="12" max="14" width="9.140625" style="87" customWidth="1"/>
    <col min="15" max="18" width="9.140625" style="87"/>
    <col min="19" max="19" width="9.140625" style="87" customWidth="1"/>
    <col min="20" max="16384" width="9.140625" style="87"/>
  </cols>
  <sheetData>
    <row r="2" spans="1:17" s="98" customFormat="1" ht="18.75">
      <c r="A2" s="96" t="s">
        <v>197</v>
      </c>
      <c r="B2" s="96"/>
      <c r="C2" s="97" t="s">
        <v>2041</v>
      </c>
      <c r="D2" s="96"/>
      <c r="E2" s="96"/>
      <c r="F2" s="96"/>
      <c r="G2" s="96"/>
      <c r="I2" s="96"/>
      <c r="J2" s="96"/>
    </row>
    <row r="3" spans="1:17" ht="15.75">
      <c r="A3" s="89"/>
      <c r="B3" s="89"/>
      <c r="C3" s="90"/>
      <c r="D3" s="89"/>
      <c r="E3" s="89"/>
      <c r="F3" s="89"/>
      <c r="G3" s="89"/>
      <c r="I3" s="89"/>
      <c r="J3" s="89"/>
    </row>
    <row r="4" spans="1:17" ht="15.75">
      <c r="C4" s="89" t="s">
        <v>2042</v>
      </c>
      <c r="D4" s="89"/>
      <c r="E4" s="89"/>
      <c r="F4" s="89"/>
      <c r="G4" s="89"/>
      <c r="I4" s="89"/>
      <c r="J4" s="89"/>
    </row>
    <row r="5" spans="1:17" ht="15.75">
      <c r="C5" s="89" t="s">
        <v>2043</v>
      </c>
      <c r="E5" s="89"/>
      <c r="F5" s="93"/>
      <c r="G5" s="93"/>
      <c r="H5" s="89"/>
      <c r="I5" s="93"/>
      <c r="J5" s="89"/>
      <c r="K5" s="89"/>
      <c r="L5" s="89"/>
      <c r="M5" s="89"/>
      <c r="N5" s="89"/>
      <c r="O5" s="89"/>
      <c r="P5" s="89"/>
      <c r="Q5" s="89"/>
    </row>
    <row r="6" spans="1:17" ht="15.75">
      <c r="C6" s="89"/>
      <c r="D6" s="93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</row>
    <row r="7" spans="1:17" ht="15.75">
      <c r="C7" s="89" t="s">
        <v>198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</row>
    <row r="8" spans="1:17" ht="15.75"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7" ht="15.75">
      <c r="B9" s="92" t="s">
        <v>160</v>
      </c>
      <c r="C9" s="89" t="s">
        <v>13</v>
      </c>
      <c r="D9" s="99">
        <v>250594</v>
      </c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</row>
    <row r="10" spans="1:17" ht="15.75">
      <c r="B10" s="92" t="s">
        <v>160</v>
      </c>
      <c r="C10" s="89" t="s">
        <v>14</v>
      </c>
      <c r="D10" s="99">
        <v>46000</v>
      </c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</row>
    <row r="11" spans="1:17" ht="15.75" hidden="1">
      <c r="B11" s="92" t="s">
        <v>160</v>
      </c>
      <c r="C11" s="89" t="s">
        <v>199</v>
      </c>
      <c r="D11" s="9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</row>
    <row r="12" spans="1:17" ht="15.75">
      <c r="B12" s="92" t="s">
        <v>160</v>
      </c>
      <c r="C12" s="89" t="s">
        <v>303</v>
      </c>
      <c r="D12" s="99">
        <v>18000</v>
      </c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</row>
    <row r="13" spans="1:17" ht="15.75">
      <c r="B13" s="92" t="s">
        <v>160</v>
      </c>
      <c r="C13" s="89" t="s">
        <v>749</v>
      </c>
      <c r="D13" s="99">
        <v>7100</v>
      </c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</row>
    <row r="14" spans="1:17" ht="18">
      <c r="B14" s="92" t="s">
        <v>160</v>
      </c>
      <c r="C14" s="89" t="s">
        <v>200</v>
      </c>
      <c r="D14" s="100">
        <v>134192</v>
      </c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</row>
    <row r="15" spans="1:17" ht="18">
      <c r="C15" s="91" t="s">
        <v>94</v>
      </c>
      <c r="D15" s="101">
        <f>SUM(D9:D14)</f>
        <v>455886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</row>
    <row r="16" spans="1:17" ht="11.45" customHeight="1">
      <c r="C16" s="91"/>
      <c r="D16" s="101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</row>
    <row r="17" spans="1:17" ht="15.75" hidden="1"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1:17" ht="18">
      <c r="C18" s="91"/>
      <c r="D18" s="101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</row>
    <row r="19" spans="1:17" ht="15.75">
      <c r="B19" s="89"/>
      <c r="C19" s="89" t="s">
        <v>2424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</row>
    <row r="20" spans="1:17" ht="15.75"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</row>
    <row r="21" spans="1:17" ht="47.25">
      <c r="C21" s="102" t="s">
        <v>201</v>
      </c>
      <c r="D21" s="103" t="s">
        <v>13</v>
      </c>
      <c r="E21" s="103" t="s">
        <v>14</v>
      </c>
      <c r="F21" s="103" t="s">
        <v>15</v>
      </c>
      <c r="G21" s="103" t="s">
        <v>303</v>
      </c>
      <c r="H21" s="103" t="s">
        <v>749</v>
      </c>
      <c r="I21" s="103" t="s">
        <v>202</v>
      </c>
      <c r="J21" s="103" t="s">
        <v>94</v>
      </c>
      <c r="K21" s="89"/>
      <c r="L21" s="89"/>
      <c r="M21" s="89"/>
      <c r="N21" s="89"/>
      <c r="O21" s="89"/>
      <c r="P21" s="89"/>
      <c r="Q21" s="89"/>
    </row>
    <row r="22" spans="1:17" ht="31.5" customHeight="1">
      <c r="C22" s="104" t="s">
        <v>2148</v>
      </c>
      <c r="D22" s="105">
        <f>D9</f>
        <v>250594</v>
      </c>
      <c r="E22" s="105">
        <f>D10</f>
        <v>46000</v>
      </c>
      <c r="F22" s="105">
        <f>D11</f>
        <v>0</v>
      </c>
      <c r="G22" s="105">
        <f>D12</f>
        <v>18000</v>
      </c>
      <c r="H22" s="105">
        <f>D13</f>
        <v>7100</v>
      </c>
      <c r="I22" s="105">
        <f>D14</f>
        <v>134192</v>
      </c>
      <c r="J22" s="105">
        <f>SUM(D22:I22)</f>
        <v>455886</v>
      </c>
      <c r="K22" s="89"/>
      <c r="L22" s="89"/>
      <c r="M22" s="89"/>
      <c r="N22" s="89"/>
      <c r="O22" s="89"/>
      <c r="P22" s="89"/>
      <c r="Q22" s="89"/>
    </row>
    <row r="23" spans="1:17" ht="31.5" customHeight="1">
      <c r="C23" s="104" t="s">
        <v>2044</v>
      </c>
      <c r="D23" s="105">
        <f>'ריכוז אגפים 2021'!AL19/1000</f>
        <v>203117.14600000001</v>
      </c>
      <c r="E23" s="105">
        <f>'ריכוז אגפים 2021'!AM19/1000</f>
        <v>43737.91</v>
      </c>
      <c r="F23" s="105">
        <f>'ריכוז אגפים 2021'!AN19/1000</f>
        <v>0</v>
      </c>
      <c r="G23" s="105">
        <f>'ריכוז אגפים 2021'!AO19/1000</f>
        <v>18000</v>
      </c>
      <c r="H23" s="105">
        <f>'ריכוז אגפים 2021'!AP19/1000</f>
        <v>0</v>
      </c>
      <c r="I23" s="105">
        <f>'ריכוז אגפים 2021'!AQ19/1000</f>
        <v>32091.993999999999</v>
      </c>
      <c r="J23" s="105">
        <f>SUM(D23:I23)</f>
        <v>296947.05</v>
      </c>
      <c r="K23" s="89"/>
      <c r="L23" s="89"/>
      <c r="M23" s="89"/>
      <c r="N23" s="89"/>
      <c r="O23" s="89"/>
      <c r="P23" s="89"/>
      <c r="Q23" s="89"/>
    </row>
    <row r="24" spans="1:17" ht="31.5" customHeight="1">
      <c r="C24" s="104" t="s">
        <v>203</v>
      </c>
      <c r="D24" s="105">
        <f t="shared" ref="D24:J24" si="0">D23/D22*100</f>
        <v>81.054273446291617</v>
      </c>
      <c r="E24" s="105">
        <f t="shared" si="0"/>
        <v>95.082413043478269</v>
      </c>
      <c r="F24" s="105"/>
      <c r="G24" s="105">
        <f t="shared" si="0"/>
        <v>100</v>
      </c>
      <c r="H24" s="603"/>
      <c r="I24" s="105">
        <f t="shared" si="0"/>
        <v>23.914983009419338</v>
      </c>
      <c r="J24" s="105">
        <f t="shared" si="0"/>
        <v>65.136251168055168</v>
      </c>
      <c r="K24" s="89"/>
      <c r="L24" s="89"/>
      <c r="M24" s="89"/>
      <c r="N24" s="89"/>
      <c r="O24" s="89"/>
      <c r="P24" s="89"/>
      <c r="Q24" s="89"/>
    </row>
    <row r="25" spans="1:17" ht="31.5" customHeight="1">
      <c r="C25" s="106" t="s">
        <v>2149</v>
      </c>
      <c r="D25" s="105">
        <f>'ריכוז תקציב מעבר לתוכנית 2021'!AD104/1000</f>
        <v>19357.992999999999</v>
      </c>
      <c r="E25" s="105">
        <f>'ריכוז תקציב מעבר לתוכנית 2021'!AE104/1000</f>
        <v>12619.431</v>
      </c>
      <c r="F25" s="105"/>
      <c r="G25" s="105">
        <f>'ריכוז תקציב מעבר לתוכנית 2021'!AF104/1000</f>
        <v>-9000</v>
      </c>
      <c r="H25" s="105"/>
      <c r="I25" s="105">
        <f>'ריכוז תקציב מעבר לתוכנית 2021'!AG104/1000</f>
        <v>5950.1310000000003</v>
      </c>
      <c r="J25" s="105">
        <f>SUM(D25:I25)</f>
        <v>28927.555</v>
      </c>
      <c r="K25" s="89"/>
      <c r="L25" s="89"/>
      <c r="M25" s="89"/>
      <c r="N25" s="89"/>
      <c r="O25" s="89"/>
      <c r="P25" s="89"/>
      <c r="Q25" s="89"/>
    </row>
    <row r="26" spans="1:17" ht="31.5" customHeight="1">
      <c r="C26" s="104" t="s">
        <v>204</v>
      </c>
      <c r="D26" s="105">
        <f>D23+D25</f>
        <v>222475.139</v>
      </c>
      <c r="E26" s="105">
        <f t="shared" ref="E26:J26" si="1">E23+E25</f>
        <v>56357.341</v>
      </c>
      <c r="F26" s="105">
        <f t="shared" si="1"/>
        <v>0</v>
      </c>
      <c r="G26" s="105">
        <f t="shared" si="1"/>
        <v>9000</v>
      </c>
      <c r="H26" s="105">
        <f t="shared" si="1"/>
        <v>0</v>
      </c>
      <c r="I26" s="105">
        <f t="shared" si="1"/>
        <v>38042.125</v>
      </c>
      <c r="J26" s="105">
        <f t="shared" si="1"/>
        <v>325874.60499999998</v>
      </c>
      <c r="K26" s="89"/>
      <c r="L26" s="89"/>
      <c r="M26" s="89"/>
      <c r="N26" s="89"/>
      <c r="O26" s="89"/>
      <c r="P26" s="89"/>
      <c r="Q26" s="89"/>
    </row>
    <row r="27" spans="1:17" ht="31.5" customHeight="1">
      <c r="C27" s="104" t="s">
        <v>203</v>
      </c>
      <c r="D27" s="105">
        <f t="shared" ref="D27:J27" si="2">D26/D22*100</f>
        <v>88.779116419387535</v>
      </c>
      <c r="E27" s="105">
        <f t="shared" si="2"/>
        <v>122.51595869565217</v>
      </c>
      <c r="F27" s="105" t="e">
        <f t="shared" si="2"/>
        <v>#DIV/0!</v>
      </c>
      <c r="G27" s="105">
        <f t="shared" si="2"/>
        <v>50</v>
      </c>
      <c r="H27" s="603"/>
      <c r="I27" s="105">
        <f t="shared" si="2"/>
        <v>28.349026022415639</v>
      </c>
      <c r="J27" s="105">
        <f t="shared" si="2"/>
        <v>71.481599566558302</v>
      </c>
      <c r="K27" s="89"/>
      <c r="M27" s="89"/>
      <c r="N27" s="89"/>
      <c r="O27" s="89"/>
      <c r="P27" s="89"/>
      <c r="Q27" s="89"/>
    </row>
    <row r="28" spans="1:17" ht="15.75"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</row>
    <row r="29" spans="1:17" ht="15.75">
      <c r="C29" s="191" t="s">
        <v>2489</v>
      </c>
      <c r="D29" s="193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</row>
    <row r="30" spans="1:17" ht="15.75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</row>
    <row r="31" spans="1:17" ht="15.75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</row>
    <row r="32" spans="1:17" ht="15.75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</row>
    <row r="33" spans="1:17" ht="15.7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</row>
    <row r="34" spans="1:17" ht="15.75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</row>
    <row r="35" spans="1:17" ht="15.75">
      <c r="A35" s="89"/>
      <c r="B35" s="89"/>
      <c r="C35" s="92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</row>
    <row r="36" spans="1:17" ht="15.75">
      <c r="A36" s="89"/>
      <c r="B36" s="89"/>
      <c r="C36" s="92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</row>
    <row r="37" spans="1:17" ht="15.75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</row>
    <row r="38" spans="1:17" ht="15.75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</row>
    <row r="39" spans="1:17" ht="15.7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</row>
    <row r="40" spans="1:17" ht="15.75">
      <c r="A40" s="95"/>
      <c r="B40" s="95"/>
      <c r="C40" s="95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</row>
    <row r="41" spans="1:17" ht="15.75">
      <c r="A41" s="95"/>
      <c r="B41" s="95"/>
      <c r="C41" s="95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</row>
    <row r="42" spans="1:17" ht="15.75">
      <c r="A42" s="95"/>
      <c r="B42" s="95"/>
      <c r="C42" s="95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</row>
    <row r="43" spans="1:17" ht="15.75">
      <c r="A43" s="95"/>
      <c r="B43" s="95"/>
      <c r="C43" s="95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</row>
    <row r="44" spans="1:17" ht="15.75">
      <c r="A44" s="95"/>
      <c r="B44" s="95"/>
      <c r="C44" s="95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</row>
    <row r="45" spans="1:17" ht="15.75">
      <c r="A45" s="95"/>
      <c r="B45" s="95"/>
      <c r="C45" s="95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</row>
    <row r="46" spans="1:17" ht="15.75">
      <c r="A46" s="95"/>
      <c r="B46" s="95"/>
      <c r="C46" s="95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</row>
    <row r="47" spans="1:17" ht="15.75"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</row>
    <row r="48" spans="1:17" ht="15.75"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3:Q26"/>
  <sheetViews>
    <sheetView showZeros="0" rightToLeft="1" workbookViewId="0">
      <selection activeCell="C55" sqref="C55"/>
    </sheetView>
  </sheetViews>
  <sheetFormatPr defaultColWidth="9.140625" defaultRowHeight="14.25"/>
  <cols>
    <col min="1" max="3" width="4.140625" style="213" customWidth="1"/>
    <col min="4" max="4" width="34.85546875" style="213" customWidth="1"/>
    <col min="5" max="5" width="30.42578125" style="213" customWidth="1"/>
    <col min="6" max="6" width="10.85546875" style="213" customWidth="1"/>
    <col min="7" max="7" width="5.5703125" style="213" customWidth="1"/>
    <col min="8" max="9" width="12.140625" style="213" customWidth="1"/>
    <col min="10" max="10" width="7.85546875" style="213" customWidth="1"/>
    <col min="11" max="16384" width="9.140625" style="213"/>
  </cols>
  <sheetData>
    <row r="3" spans="1:17" ht="20.25">
      <c r="A3" s="212"/>
      <c r="C3" s="214" t="s">
        <v>288</v>
      </c>
      <c r="D3" s="212"/>
      <c r="E3" s="212"/>
      <c r="F3" s="212"/>
      <c r="G3" s="212"/>
      <c r="H3" s="212"/>
      <c r="I3" s="212"/>
      <c r="J3" s="212"/>
      <c r="K3" s="212"/>
      <c r="L3" s="212"/>
    </row>
    <row r="4" spans="1:17" ht="20.25">
      <c r="A4" s="212"/>
      <c r="C4" s="214"/>
      <c r="D4" s="212"/>
      <c r="E4" s="212"/>
      <c r="F4" s="212"/>
      <c r="G4" s="212"/>
      <c r="H4" s="212"/>
      <c r="I4" s="212"/>
      <c r="J4" s="212"/>
      <c r="K4" s="212"/>
      <c r="L4" s="212"/>
    </row>
    <row r="5" spans="1:17" ht="20.25">
      <c r="A5" s="212"/>
      <c r="C5" s="214"/>
      <c r="D5" s="212"/>
      <c r="E5" s="212"/>
      <c r="F5" s="212"/>
      <c r="G5" s="212"/>
      <c r="H5" s="212"/>
      <c r="I5" s="212"/>
      <c r="J5" s="212"/>
      <c r="K5" s="212"/>
      <c r="L5" s="212"/>
    </row>
    <row r="6" spans="1:17" ht="21" thickBot="1">
      <c r="A6" s="212"/>
      <c r="C6" s="214"/>
      <c r="D6" s="212"/>
      <c r="E6" s="212"/>
      <c r="F6" s="212"/>
      <c r="G6" s="212"/>
      <c r="H6" s="212"/>
      <c r="I6" s="212"/>
      <c r="J6" s="212"/>
      <c r="K6" s="212"/>
      <c r="L6" s="212"/>
    </row>
    <row r="7" spans="1:17" ht="16.5" thickBot="1">
      <c r="A7" s="212"/>
      <c r="B7" s="215" t="s">
        <v>160</v>
      </c>
      <c r="C7" s="212" t="s">
        <v>2389</v>
      </c>
      <c r="D7" s="212"/>
      <c r="E7" s="212"/>
      <c r="F7" s="216">
        <f>'תקציב אגף המיחשוב 2022'!U14</f>
        <v>14650000</v>
      </c>
      <c r="I7" s="212"/>
      <c r="J7" s="212"/>
      <c r="K7" s="212"/>
      <c r="L7" s="212"/>
    </row>
    <row r="8" spans="1:17" ht="21" thickBot="1">
      <c r="A8" s="212"/>
      <c r="C8" s="214"/>
      <c r="D8" s="212"/>
      <c r="E8" s="212"/>
      <c r="F8" s="212"/>
      <c r="H8" s="212"/>
      <c r="I8" s="212"/>
      <c r="J8" s="212"/>
      <c r="K8" s="212"/>
      <c r="L8" s="212"/>
    </row>
    <row r="9" spans="1:17" ht="16.5" thickBot="1">
      <c r="B9" s="215" t="s">
        <v>160</v>
      </c>
      <c r="C9" s="212" t="s">
        <v>296</v>
      </c>
      <c r="D9" s="212"/>
      <c r="F9" s="224">
        <f>'תקציב אגף המיחשוב 2022'!A14</f>
        <v>9</v>
      </c>
      <c r="I9" s="212"/>
      <c r="J9" s="212"/>
      <c r="K9" s="212"/>
      <c r="L9" s="212"/>
      <c r="M9" s="212"/>
      <c r="N9" s="212"/>
      <c r="O9" s="212"/>
      <c r="P9" s="212"/>
      <c r="Q9" s="212"/>
    </row>
    <row r="10" spans="1:17" ht="15.75">
      <c r="B10" s="215"/>
      <c r="C10" s="212"/>
      <c r="D10" s="212"/>
      <c r="F10" s="218"/>
      <c r="I10" s="212"/>
      <c r="J10" s="212"/>
      <c r="K10" s="212"/>
      <c r="L10" s="212"/>
      <c r="M10" s="212"/>
      <c r="N10" s="212"/>
      <c r="O10" s="212"/>
      <c r="P10" s="212"/>
      <c r="Q10" s="212"/>
    </row>
    <row r="11" spans="1:17" ht="15.75">
      <c r="B11" s="215"/>
      <c r="C11" s="212"/>
      <c r="D11" s="212"/>
      <c r="F11" s="218"/>
      <c r="I11" s="212"/>
      <c r="J11" s="212"/>
      <c r="K11" s="212"/>
      <c r="L11" s="212"/>
      <c r="M11" s="212"/>
      <c r="N11" s="212"/>
      <c r="O11" s="212"/>
      <c r="P11" s="212"/>
      <c r="Q11" s="212"/>
    </row>
    <row r="12" spans="1:17" ht="15.75">
      <c r="B12" s="215" t="s">
        <v>160</v>
      </c>
      <c r="C12" s="212" t="s">
        <v>273</v>
      </c>
      <c r="D12" s="212"/>
      <c r="E12" s="212"/>
      <c r="F12" s="212"/>
      <c r="G12" s="212"/>
      <c r="H12" s="212"/>
      <c r="I12" s="212"/>
      <c r="J12" s="212"/>
      <c r="K12" s="212"/>
      <c r="L12" s="212"/>
    </row>
    <row r="13" spans="1:17" ht="16.5" thickBot="1"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</row>
    <row r="14" spans="1:17" ht="15.75">
      <c r="D14" s="225" t="s">
        <v>274</v>
      </c>
      <c r="E14" s="226" t="s">
        <v>275</v>
      </c>
      <c r="F14" s="227" t="s">
        <v>277</v>
      </c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</row>
    <row r="15" spans="1:17" ht="15.75">
      <c r="C15" s="215"/>
      <c r="D15" s="219" t="s">
        <v>13</v>
      </c>
      <c r="E15" s="228">
        <f>'תקציב אגף המיחשוב 2022'!V14</f>
        <v>8900000</v>
      </c>
      <c r="F15" s="236">
        <f>E15/$E$18</f>
        <v>0.60750853242320824</v>
      </c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</row>
    <row r="16" spans="1:17" ht="15.75">
      <c r="C16" s="215"/>
      <c r="D16" s="219" t="s">
        <v>14</v>
      </c>
      <c r="E16" s="228">
        <f>'תקציב אגף המיחשוב 2022'!W14</f>
        <v>3450000</v>
      </c>
      <c r="F16" s="236">
        <f>E16/$E$18</f>
        <v>0.23549488054607509</v>
      </c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</row>
    <row r="17" spans="1:17" ht="15.75">
      <c r="C17" s="215"/>
      <c r="D17" s="219" t="s">
        <v>84</v>
      </c>
      <c r="E17" s="300">
        <f>'תקציב אגף המיחשוב 2022'!AA14</f>
        <v>2300000</v>
      </c>
      <c r="F17" s="236">
        <f>E17/$E$18</f>
        <v>0.15699658703071673</v>
      </c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</row>
    <row r="18" spans="1:17" ht="16.5" thickBot="1">
      <c r="C18" s="215"/>
      <c r="D18" s="222" t="s">
        <v>94</v>
      </c>
      <c r="E18" s="303">
        <f>SUM(E15:E17)</f>
        <v>14650000</v>
      </c>
      <c r="F18" s="313">
        <f>SUM(F15:F17)</f>
        <v>1</v>
      </c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</row>
    <row r="19" spans="1:17" ht="15.75">
      <c r="B19" s="215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</row>
    <row r="20" spans="1:17" ht="15.75">
      <c r="B20" s="215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</row>
    <row r="21" spans="1:17" s="295" customFormat="1" ht="15.75">
      <c r="C21" s="297" t="s">
        <v>160</v>
      </c>
      <c r="D21" s="294" t="s">
        <v>797</v>
      </c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</row>
    <row r="22" spans="1:17" s="295" customFormat="1" ht="15.75">
      <c r="C22" s="297"/>
      <c r="D22" s="294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</row>
    <row r="23" spans="1:17" s="295" customFormat="1" ht="15.75">
      <c r="A23" s="294"/>
      <c r="B23" s="294"/>
      <c r="C23" s="294"/>
      <c r="D23" s="360" t="s">
        <v>2465</v>
      </c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</row>
    <row r="24" spans="1:17" s="295" customFormat="1" ht="15.75">
      <c r="C24" s="297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</row>
    <row r="26" spans="1:17" ht="15.75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3:Q33"/>
  <sheetViews>
    <sheetView showZeros="0" rightToLeft="1" topLeftCell="A4" workbookViewId="0">
      <selection activeCell="C55" sqref="C55"/>
    </sheetView>
  </sheetViews>
  <sheetFormatPr defaultColWidth="9.140625" defaultRowHeight="14.25"/>
  <cols>
    <col min="1" max="3" width="4.140625" style="213" customWidth="1"/>
    <col min="4" max="4" width="34.85546875" style="213" customWidth="1"/>
    <col min="5" max="5" width="30.42578125" style="213" customWidth="1"/>
    <col min="6" max="6" width="10.85546875" style="213" customWidth="1"/>
    <col min="7" max="7" width="5.5703125" style="213" customWidth="1"/>
    <col min="8" max="9" width="12.140625" style="213" customWidth="1"/>
    <col min="10" max="10" width="7.85546875" style="213" customWidth="1"/>
    <col min="11" max="16384" width="9.140625" style="213"/>
  </cols>
  <sheetData>
    <row r="3" spans="1:17" ht="20.25">
      <c r="A3" s="212"/>
      <c r="C3" s="214" t="s">
        <v>288</v>
      </c>
      <c r="D3" s="212"/>
      <c r="E3" s="212"/>
      <c r="F3" s="212"/>
      <c r="G3" s="212"/>
      <c r="H3" s="212"/>
      <c r="I3" s="212"/>
      <c r="J3" s="212"/>
      <c r="K3" s="212"/>
      <c r="L3" s="212"/>
    </row>
    <row r="4" spans="1:17" ht="20.25">
      <c r="A4" s="212"/>
      <c r="C4" s="214"/>
      <c r="D4" s="212"/>
      <c r="E4" s="212"/>
      <c r="F4" s="212"/>
      <c r="G4" s="212"/>
      <c r="H4" s="212"/>
      <c r="I4" s="212"/>
      <c r="J4" s="212"/>
      <c r="K4" s="212"/>
      <c r="L4" s="212"/>
    </row>
    <row r="5" spans="1:17" ht="15.75">
      <c r="B5" s="215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</row>
    <row r="6" spans="1:17" ht="15.75">
      <c r="B6" s="215" t="s">
        <v>160</v>
      </c>
      <c r="C6" s="212" t="s">
        <v>2379</v>
      </c>
      <c r="D6" s="212"/>
      <c r="F6" s="212"/>
      <c r="H6" s="221"/>
      <c r="I6" s="212"/>
      <c r="J6" s="212"/>
      <c r="K6" s="212"/>
      <c r="L6" s="212"/>
      <c r="M6" s="212"/>
      <c r="N6" s="212"/>
      <c r="O6" s="212"/>
      <c r="P6" s="212"/>
      <c r="Q6" s="212"/>
    </row>
    <row r="7" spans="1:17" ht="15.75">
      <c r="C7" s="212"/>
      <c r="D7" s="212" t="s">
        <v>292</v>
      </c>
      <c r="E7" s="212"/>
      <c r="F7" s="212"/>
      <c r="H7" s="212"/>
      <c r="I7" s="212"/>
      <c r="J7" s="212"/>
      <c r="K7" s="212"/>
      <c r="L7" s="212"/>
    </row>
    <row r="8" spans="1:17" ht="15.75">
      <c r="B8" s="215"/>
      <c r="C8" s="212"/>
      <c r="D8" s="212" t="s">
        <v>422</v>
      </c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</row>
    <row r="9" spans="1:17" ht="15.75">
      <c r="B9" s="215"/>
      <c r="C9" s="212"/>
      <c r="D9" s="212" t="s">
        <v>2404</v>
      </c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</row>
    <row r="12" spans="1:17" ht="15">
      <c r="D12" s="312" t="s">
        <v>599</v>
      </c>
    </row>
    <row r="33" spans="4:4">
      <c r="D33" s="311" t="s">
        <v>423</v>
      </c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L20"/>
  <sheetViews>
    <sheetView showZeros="0" rightToLeft="1" workbookViewId="0">
      <pane xSplit="6" ySplit="4" topLeftCell="G5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8.5703125" defaultRowHeight="12.75"/>
  <cols>
    <col min="1" max="1" width="3.7109375" style="194" customWidth="1"/>
    <col min="2" max="2" width="4.28515625" style="194" customWidth="1"/>
    <col min="3" max="3" width="19.7109375" style="194" customWidth="1"/>
    <col min="4" max="6" width="9.42578125" style="194" customWidth="1"/>
    <col min="7" max="7" width="14.42578125" style="194" hidden="1" customWidth="1"/>
    <col min="8" max="10" width="9.42578125" style="194" hidden="1" customWidth="1"/>
    <col min="11" max="11" width="10.28515625" style="194" hidden="1" customWidth="1"/>
    <col min="12" max="12" width="9.140625" style="194" customWidth="1"/>
    <col min="13" max="13" width="8.7109375" style="194" customWidth="1"/>
    <col min="14" max="15" width="9.140625" style="194" customWidth="1"/>
    <col min="16" max="19" width="9.42578125" style="194" hidden="1" customWidth="1"/>
    <col min="20" max="20" width="8.7109375" style="194" customWidth="1"/>
    <col min="21" max="21" width="9.140625" style="194" customWidth="1"/>
    <col min="22" max="23" width="8.7109375" style="194" customWidth="1"/>
    <col min="24" max="26" width="8.42578125" style="194" hidden="1" customWidth="1"/>
    <col min="27" max="27" width="8.7109375" style="194" customWidth="1"/>
    <col min="28" max="28" width="37" style="194" customWidth="1"/>
    <col min="29" max="29" width="8.5703125" style="194" hidden="1" customWidth="1"/>
    <col min="30" max="31" width="32.85546875" style="194" customWidth="1"/>
    <col min="32" max="32" width="24.7109375" style="194" customWidth="1"/>
    <col min="33" max="35" width="18.140625" style="194" customWidth="1"/>
    <col min="36" max="37" width="9" style="194" customWidth="1"/>
    <col min="38" max="38" width="22.140625" style="194" customWidth="1"/>
    <col min="39" max="39" width="14.5703125" style="194" customWidth="1"/>
    <col min="40" max="16384" width="8.5703125" style="194"/>
  </cols>
  <sheetData>
    <row r="1" spans="1:38" ht="18.75">
      <c r="A1" s="542"/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O1" s="542"/>
      <c r="P1" s="542"/>
      <c r="Q1" s="542"/>
      <c r="R1" s="542"/>
      <c r="S1" s="542"/>
      <c r="T1" s="542"/>
      <c r="U1" s="542"/>
      <c r="V1" s="542"/>
      <c r="W1" s="542"/>
      <c r="X1" s="543"/>
      <c r="Y1" s="543"/>
      <c r="Z1" s="543"/>
      <c r="AA1" s="544"/>
      <c r="AB1" s="545"/>
      <c r="AC1" s="544"/>
    </row>
    <row r="2" spans="1:38" ht="18.75">
      <c r="A2" s="542" t="s">
        <v>394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7"/>
      <c r="Y2" s="547"/>
      <c r="Z2" s="547"/>
      <c r="AA2" s="547"/>
      <c r="AB2" s="546"/>
      <c r="AC2" s="547"/>
    </row>
    <row r="3" spans="1:38" ht="15">
      <c r="A3" s="548"/>
      <c r="B3" s="547"/>
      <c r="C3" s="547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  <c r="U3" s="547"/>
      <c r="V3" s="547"/>
      <c r="W3" s="547"/>
      <c r="X3" s="547"/>
      <c r="Y3" s="547"/>
      <c r="Z3" s="547"/>
      <c r="AA3" s="547"/>
      <c r="AB3" s="548"/>
      <c r="AC3" s="547"/>
    </row>
    <row r="4" spans="1:38" ht="105">
      <c r="A4" s="157" t="s">
        <v>0</v>
      </c>
      <c r="B4" s="550" t="s">
        <v>587</v>
      </c>
      <c r="C4" s="550" t="s">
        <v>2</v>
      </c>
      <c r="D4" s="550" t="s">
        <v>3</v>
      </c>
      <c r="E4" s="550" t="s">
        <v>4</v>
      </c>
      <c r="F4" s="550" t="s">
        <v>5</v>
      </c>
      <c r="G4" s="550" t="s">
        <v>6</v>
      </c>
      <c r="H4" s="550" t="s">
        <v>7</v>
      </c>
      <c r="I4" s="550" t="s">
        <v>9</v>
      </c>
      <c r="J4" s="550" t="s">
        <v>153</v>
      </c>
      <c r="K4" s="550" t="s">
        <v>10</v>
      </c>
      <c r="L4" s="550" t="s">
        <v>11</v>
      </c>
      <c r="M4" s="9" t="s">
        <v>891</v>
      </c>
      <c r="N4" s="9" t="s">
        <v>892</v>
      </c>
      <c r="O4" s="9" t="s">
        <v>893</v>
      </c>
      <c r="P4" s="9" t="s">
        <v>12</v>
      </c>
      <c r="Q4" s="9" t="s">
        <v>894</v>
      </c>
      <c r="R4" s="9" t="s">
        <v>895</v>
      </c>
      <c r="S4" s="9" t="s">
        <v>896</v>
      </c>
      <c r="T4" s="9" t="s">
        <v>897</v>
      </c>
      <c r="U4" s="9" t="s">
        <v>898</v>
      </c>
      <c r="V4" s="550" t="s">
        <v>13</v>
      </c>
      <c r="W4" s="550" t="s">
        <v>14</v>
      </c>
      <c r="X4" s="550" t="s">
        <v>15</v>
      </c>
      <c r="Y4" s="550" t="s">
        <v>265</v>
      </c>
      <c r="Z4" s="550" t="s">
        <v>749</v>
      </c>
      <c r="AA4" s="550" t="s">
        <v>84</v>
      </c>
      <c r="AB4" s="551" t="s">
        <v>304</v>
      </c>
      <c r="AC4" s="550" t="s">
        <v>16</v>
      </c>
    </row>
    <row r="5" spans="1:38" ht="30" customHeight="1">
      <c r="A5" s="552">
        <v>1</v>
      </c>
      <c r="B5" s="552">
        <v>1002</v>
      </c>
      <c r="C5" s="552" t="s">
        <v>133</v>
      </c>
      <c r="D5" s="553">
        <v>3290000</v>
      </c>
      <c r="E5" s="553">
        <v>3290000</v>
      </c>
      <c r="F5" s="553">
        <f t="shared" ref="F5:F13" si="0">D5-E5</f>
        <v>0</v>
      </c>
      <c r="G5" s="553">
        <v>2210000</v>
      </c>
      <c r="H5" s="553">
        <v>2150485</v>
      </c>
      <c r="I5" s="553">
        <v>0</v>
      </c>
      <c r="J5" s="553">
        <v>59482</v>
      </c>
      <c r="K5" s="553">
        <f t="shared" ref="K5:K13" si="1">I5+J5</f>
        <v>59482</v>
      </c>
      <c r="L5" s="553">
        <f t="shared" ref="L5:L13" si="2">H5+K5</f>
        <v>2209967</v>
      </c>
      <c r="M5" s="541">
        <f t="shared" ref="M5:M13" si="3">P5+S5</f>
        <v>33</v>
      </c>
      <c r="N5" s="541">
        <v>100000</v>
      </c>
      <c r="O5" s="541">
        <f t="shared" ref="O5:O13" si="4">D5-L5-M5-N5</f>
        <v>980000</v>
      </c>
      <c r="P5" s="541">
        <f t="shared" ref="P5:P13" si="5">G5-L5</f>
        <v>33</v>
      </c>
      <c r="Q5" s="541"/>
      <c r="R5" s="541"/>
      <c r="S5" s="541">
        <f t="shared" ref="S5:S13" si="6">SUM(Q5:R5)</f>
        <v>0</v>
      </c>
      <c r="T5" s="541">
        <f t="shared" ref="T5:T13" si="7">P5-M5+S5</f>
        <v>0</v>
      </c>
      <c r="U5" s="541">
        <f t="shared" ref="U5:U13" si="8">N5-T5</f>
        <v>100000</v>
      </c>
      <c r="V5" s="541"/>
      <c r="W5" s="541">
        <f t="shared" ref="W5:W13" si="9">U5-V5-X5-Z5-AA5</f>
        <v>100000</v>
      </c>
      <c r="X5" s="553"/>
      <c r="Y5" s="553"/>
      <c r="Z5" s="553"/>
      <c r="AA5" s="552"/>
      <c r="AB5" s="552" t="s">
        <v>395</v>
      </c>
      <c r="AC5" s="552">
        <v>760000</v>
      </c>
    </row>
    <row r="6" spans="1:38" ht="60">
      <c r="A6" s="552">
        <f>1+A5</f>
        <v>2</v>
      </c>
      <c r="B6" s="552">
        <v>1497</v>
      </c>
      <c r="C6" s="552" t="s">
        <v>62</v>
      </c>
      <c r="D6" s="553">
        <v>8820000</v>
      </c>
      <c r="E6" s="553">
        <v>8820000</v>
      </c>
      <c r="F6" s="553">
        <f t="shared" si="0"/>
        <v>0</v>
      </c>
      <c r="G6" s="553">
        <v>3023000</v>
      </c>
      <c r="H6" s="553">
        <v>2895345</v>
      </c>
      <c r="I6" s="553">
        <v>54300</v>
      </c>
      <c r="J6" s="553">
        <v>72465</v>
      </c>
      <c r="K6" s="553">
        <f t="shared" si="1"/>
        <v>126765</v>
      </c>
      <c r="L6" s="553">
        <f t="shared" si="2"/>
        <v>3022110</v>
      </c>
      <c r="M6" s="541">
        <f t="shared" si="3"/>
        <v>890</v>
      </c>
      <c r="N6" s="541">
        <f>100000+300000</f>
        <v>400000</v>
      </c>
      <c r="O6" s="541">
        <f t="shared" si="4"/>
        <v>5397000</v>
      </c>
      <c r="P6" s="541">
        <f t="shared" si="5"/>
        <v>890</v>
      </c>
      <c r="Q6" s="541"/>
      <c r="R6" s="541"/>
      <c r="S6" s="541">
        <f t="shared" si="6"/>
        <v>0</v>
      </c>
      <c r="T6" s="541">
        <f t="shared" si="7"/>
        <v>0</v>
      </c>
      <c r="U6" s="541">
        <f t="shared" si="8"/>
        <v>400000</v>
      </c>
      <c r="V6" s="541"/>
      <c r="W6" s="541">
        <f t="shared" si="9"/>
        <v>400000</v>
      </c>
      <c r="X6" s="553"/>
      <c r="Y6" s="553"/>
      <c r="Z6" s="553"/>
      <c r="AA6" s="552"/>
      <c r="AB6" s="552" t="s">
        <v>2462</v>
      </c>
      <c r="AC6" s="552">
        <v>610000</v>
      </c>
    </row>
    <row r="7" spans="1:38" ht="30" customHeight="1">
      <c r="A7" s="552">
        <f t="shared" ref="A7:A13" si="10">1+A6</f>
        <v>3</v>
      </c>
      <c r="B7" s="552">
        <v>1647</v>
      </c>
      <c r="C7" s="552" t="s">
        <v>370</v>
      </c>
      <c r="D7" s="553">
        <v>4700000</v>
      </c>
      <c r="E7" s="553">
        <v>4700000</v>
      </c>
      <c r="F7" s="553">
        <f t="shared" si="0"/>
        <v>0</v>
      </c>
      <c r="G7" s="553">
        <v>4250000</v>
      </c>
      <c r="H7" s="553">
        <v>4217235</v>
      </c>
      <c r="I7" s="553">
        <v>0</v>
      </c>
      <c r="J7" s="553">
        <v>32765</v>
      </c>
      <c r="K7" s="553">
        <f t="shared" si="1"/>
        <v>32765</v>
      </c>
      <c r="L7" s="553">
        <f t="shared" si="2"/>
        <v>4250000</v>
      </c>
      <c r="M7" s="541">
        <f t="shared" si="3"/>
        <v>0</v>
      </c>
      <c r="N7" s="541">
        <v>100000</v>
      </c>
      <c r="O7" s="541">
        <f t="shared" si="4"/>
        <v>350000</v>
      </c>
      <c r="P7" s="541">
        <f t="shared" si="5"/>
        <v>0</v>
      </c>
      <c r="Q7" s="541"/>
      <c r="R7" s="541"/>
      <c r="S7" s="541">
        <f t="shared" si="6"/>
        <v>0</v>
      </c>
      <c r="T7" s="541">
        <f t="shared" si="7"/>
        <v>0</v>
      </c>
      <c r="U7" s="541">
        <f t="shared" si="8"/>
        <v>100000</v>
      </c>
      <c r="V7" s="541"/>
      <c r="W7" s="541">
        <f t="shared" si="9"/>
        <v>100000</v>
      </c>
      <c r="X7" s="553"/>
      <c r="Y7" s="553"/>
      <c r="Z7" s="553"/>
      <c r="AA7" s="552"/>
      <c r="AB7" s="552" t="s">
        <v>410</v>
      </c>
      <c r="AC7" s="552">
        <v>810000</v>
      </c>
    </row>
    <row r="8" spans="1:38" ht="45">
      <c r="A8" s="552">
        <f t="shared" si="10"/>
        <v>4</v>
      </c>
      <c r="B8" s="552">
        <v>1871</v>
      </c>
      <c r="C8" s="552" t="s">
        <v>448</v>
      </c>
      <c r="D8" s="553">
        <f>21740000+6500000</f>
        <v>28240000</v>
      </c>
      <c r="E8" s="553">
        <v>16000000</v>
      </c>
      <c r="F8" s="553">
        <f t="shared" si="0"/>
        <v>12240000</v>
      </c>
      <c r="G8" s="553">
        <v>10440000</v>
      </c>
      <c r="H8" s="553">
        <v>5715227</v>
      </c>
      <c r="I8" s="553">
        <v>0</v>
      </c>
      <c r="J8" s="553">
        <v>3443356</v>
      </c>
      <c r="K8" s="553">
        <f t="shared" si="1"/>
        <v>3443356</v>
      </c>
      <c r="L8" s="553">
        <f t="shared" si="2"/>
        <v>9158583</v>
      </c>
      <c r="M8" s="541">
        <f t="shared" si="3"/>
        <v>1281417</v>
      </c>
      <c r="N8" s="541">
        <f>11300000+6500000-8900000</f>
        <v>8900000</v>
      </c>
      <c r="O8" s="541">
        <f t="shared" si="4"/>
        <v>8900000</v>
      </c>
      <c r="P8" s="541">
        <f t="shared" si="5"/>
        <v>1281417</v>
      </c>
      <c r="Q8" s="541"/>
      <c r="R8" s="541"/>
      <c r="S8" s="541">
        <f t="shared" si="6"/>
        <v>0</v>
      </c>
      <c r="T8" s="541">
        <f t="shared" si="7"/>
        <v>0</v>
      </c>
      <c r="U8" s="541">
        <f t="shared" si="8"/>
        <v>8900000</v>
      </c>
      <c r="V8" s="541">
        <v>8900000</v>
      </c>
      <c r="W8" s="541">
        <f t="shared" si="9"/>
        <v>0</v>
      </c>
      <c r="X8" s="553"/>
      <c r="Y8" s="553"/>
      <c r="Z8" s="553"/>
      <c r="AA8" s="552"/>
      <c r="AB8" s="552" t="s">
        <v>369</v>
      </c>
      <c r="AC8" s="552">
        <v>760000</v>
      </c>
    </row>
    <row r="9" spans="1:38" ht="45">
      <c r="A9" s="552">
        <f t="shared" si="10"/>
        <v>5</v>
      </c>
      <c r="B9" s="552">
        <v>1982</v>
      </c>
      <c r="C9" s="552" t="s">
        <v>2438</v>
      </c>
      <c r="D9" s="553">
        <f>17500000-2000000</f>
        <v>15500000</v>
      </c>
      <c r="E9" s="553">
        <v>14800000</v>
      </c>
      <c r="F9" s="553">
        <f t="shared" si="0"/>
        <v>700000</v>
      </c>
      <c r="G9" s="553">
        <v>12200000</v>
      </c>
      <c r="H9" s="553">
        <v>8517554</v>
      </c>
      <c r="I9" s="553">
        <v>0</v>
      </c>
      <c r="J9" s="553">
        <v>3660421</v>
      </c>
      <c r="K9" s="553">
        <f t="shared" si="1"/>
        <v>3660421</v>
      </c>
      <c r="L9" s="553">
        <f t="shared" si="2"/>
        <v>12177975</v>
      </c>
      <c r="M9" s="541">
        <f t="shared" si="3"/>
        <v>22025</v>
      </c>
      <c r="N9" s="541">
        <f>5300000-2000000-1650000</f>
        <v>1650000</v>
      </c>
      <c r="O9" s="541">
        <f t="shared" si="4"/>
        <v>1650000</v>
      </c>
      <c r="P9" s="541">
        <f t="shared" si="5"/>
        <v>22025</v>
      </c>
      <c r="Q9" s="541"/>
      <c r="R9" s="541"/>
      <c r="S9" s="541">
        <f t="shared" si="6"/>
        <v>0</v>
      </c>
      <c r="T9" s="541">
        <f t="shared" si="7"/>
        <v>0</v>
      </c>
      <c r="U9" s="541">
        <f t="shared" si="8"/>
        <v>1650000</v>
      </c>
      <c r="V9" s="541"/>
      <c r="W9" s="541">
        <f t="shared" si="9"/>
        <v>1650000</v>
      </c>
      <c r="X9" s="553"/>
      <c r="Y9" s="553"/>
      <c r="Z9" s="553"/>
      <c r="AA9" s="552"/>
      <c r="AB9" s="552" t="s">
        <v>850</v>
      </c>
      <c r="AC9" s="552">
        <v>722000</v>
      </c>
    </row>
    <row r="10" spans="1:38" ht="90">
      <c r="A10" s="552">
        <f t="shared" si="10"/>
        <v>6</v>
      </c>
      <c r="B10" s="552">
        <v>2082</v>
      </c>
      <c r="C10" s="552" t="s">
        <v>1872</v>
      </c>
      <c r="D10" s="553">
        <f>1000000+200000</f>
        <v>1200000</v>
      </c>
      <c r="E10" s="553">
        <v>1000000</v>
      </c>
      <c r="F10" s="553">
        <f t="shared" si="0"/>
        <v>200000</v>
      </c>
      <c r="G10" s="553">
        <v>200000</v>
      </c>
      <c r="H10" s="553">
        <v>27574</v>
      </c>
      <c r="I10" s="553">
        <v>0</v>
      </c>
      <c r="J10" s="553">
        <v>22561</v>
      </c>
      <c r="K10" s="553">
        <f t="shared" si="1"/>
        <v>22561</v>
      </c>
      <c r="L10" s="553">
        <f t="shared" si="2"/>
        <v>50135</v>
      </c>
      <c r="M10" s="541">
        <f t="shared" si="3"/>
        <v>149865</v>
      </c>
      <c r="N10" s="541">
        <f>800000+200000</f>
        <v>1000000</v>
      </c>
      <c r="O10" s="541">
        <f t="shared" si="4"/>
        <v>0</v>
      </c>
      <c r="P10" s="541">
        <f t="shared" si="5"/>
        <v>149865</v>
      </c>
      <c r="Q10" s="541"/>
      <c r="R10" s="541"/>
      <c r="S10" s="541">
        <f t="shared" si="6"/>
        <v>0</v>
      </c>
      <c r="T10" s="541">
        <f t="shared" si="7"/>
        <v>0</v>
      </c>
      <c r="U10" s="541">
        <f t="shared" si="8"/>
        <v>1000000</v>
      </c>
      <c r="V10" s="541"/>
      <c r="W10" s="541">
        <f t="shared" si="9"/>
        <v>1000000</v>
      </c>
      <c r="X10" s="553"/>
      <c r="Y10" s="553"/>
      <c r="Z10" s="553"/>
      <c r="AA10" s="552"/>
      <c r="AB10" s="552" t="s">
        <v>450</v>
      </c>
      <c r="AC10" s="552">
        <v>760000</v>
      </c>
    </row>
    <row r="11" spans="1:38" ht="45">
      <c r="A11" s="552">
        <f t="shared" si="10"/>
        <v>7</v>
      </c>
      <c r="B11" s="552">
        <v>2083</v>
      </c>
      <c r="C11" s="552" t="s">
        <v>390</v>
      </c>
      <c r="D11" s="553">
        <f>8580000-1000000+300000</f>
        <v>7880000</v>
      </c>
      <c r="E11" s="553">
        <v>5580000</v>
      </c>
      <c r="F11" s="553">
        <f t="shared" si="0"/>
        <v>2300000</v>
      </c>
      <c r="G11" s="553">
        <v>5580000</v>
      </c>
      <c r="H11" s="553">
        <v>2975445</v>
      </c>
      <c r="I11" s="553">
        <v>0</v>
      </c>
      <c r="J11" s="553">
        <v>0</v>
      </c>
      <c r="K11" s="553">
        <f t="shared" si="1"/>
        <v>0</v>
      </c>
      <c r="L11" s="553">
        <f t="shared" si="2"/>
        <v>2975445</v>
      </c>
      <c r="M11" s="541">
        <f t="shared" si="3"/>
        <v>2604555</v>
      </c>
      <c r="N11" s="541">
        <f>3000000-1000000+300000</f>
        <v>2300000</v>
      </c>
      <c r="O11" s="541">
        <f t="shared" si="4"/>
        <v>0</v>
      </c>
      <c r="P11" s="541">
        <f t="shared" si="5"/>
        <v>2604555</v>
      </c>
      <c r="Q11" s="541"/>
      <c r="R11" s="541"/>
      <c r="S11" s="541">
        <f t="shared" si="6"/>
        <v>0</v>
      </c>
      <c r="T11" s="541">
        <f t="shared" si="7"/>
        <v>0</v>
      </c>
      <c r="U11" s="541">
        <f t="shared" si="8"/>
        <v>2300000</v>
      </c>
      <c r="V11" s="541"/>
      <c r="W11" s="541">
        <f t="shared" si="9"/>
        <v>0</v>
      </c>
      <c r="X11" s="553"/>
      <c r="Y11" s="553"/>
      <c r="Z11" s="553"/>
      <c r="AA11" s="553">
        <v>2300000</v>
      </c>
      <c r="AB11" s="552" t="s">
        <v>2208</v>
      </c>
      <c r="AC11" s="552">
        <v>810000</v>
      </c>
    </row>
    <row r="12" spans="1:38" ht="90">
      <c r="A12" s="552">
        <f t="shared" si="10"/>
        <v>8</v>
      </c>
      <c r="B12" s="350">
        <v>2170</v>
      </c>
      <c r="C12" s="3" t="s">
        <v>564</v>
      </c>
      <c r="D12" s="4">
        <v>360000</v>
      </c>
      <c r="E12" s="4">
        <v>280000</v>
      </c>
      <c r="F12" s="553">
        <f t="shared" si="0"/>
        <v>80000</v>
      </c>
      <c r="G12" s="4">
        <v>160000</v>
      </c>
      <c r="H12" s="4">
        <v>112689</v>
      </c>
      <c r="I12" s="4">
        <v>0</v>
      </c>
      <c r="J12" s="4">
        <v>0</v>
      </c>
      <c r="K12" s="553">
        <f t="shared" si="1"/>
        <v>0</v>
      </c>
      <c r="L12" s="553">
        <f t="shared" si="2"/>
        <v>112689</v>
      </c>
      <c r="M12" s="541">
        <f t="shared" si="3"/>
        <v>47311</v>
      </c>
      <c r="N12" s="541">
        <v>200000</v>
      </c>
      <c r="O12" s="541">
        <f t="shared" si="4"/>
        <v>0</v>
      </c>
      <c r="P12" s="541">
        <f t="shared" si="5"/>
        <v>47311</v>
      </c>
      <c r="Q12" s="541"/>
      <c r="R12" s="541"/>
      <c r="S12" s="541">
        <f t="shared" si="6"/>
        <v>0</v>
      </c>
      <c r="T12" s="541">
        <f t="shared" si="7"/>
        <v>0</v>
      </c>
      <c r="U12" s="541">
        <f t="shared" si="8"/>
        <v>200000</v>
      </c>
      <c r="V12" s="541"/>
      <c r="W12" s="541">
        <f t="shared" si="9"/>
        <v>200000</v>
      </c>
      <c r="X12" s="553"/>
      <c r="Y12" s="553"/>
      <c r="Z12" s="553"/>
      <c r="AA12" s="552"/>
      <c r="AB12" s="3" t="s">
        <v>670</v>
      </c>
      <c r="AC12" s="552">
        <v>760000</v>
      </c>
    </row>
    <row r="13" spans="1:38" ht="45">
      <c r="A13" s="552">
        <f t="shared" si="10"/>
        <v>9</v>
      </c>
      <c r="B13" s="350">
        <v>2188</v>
      </c>
      <c r="C13" s="3" t="s">
        <v>671</v>
      </c>
      <c r="D13" s="4">
        <v>4328000</v>
      </c>
      <c r="E13" s="4">
        <v>4328000</v>
      </c>
      <c r="F13" s="553">
        <f t="shared" si="0"/>
        <v>0</v>
      </c>
      <c r="G13" s="4">
        <v>4328000</v>
      </c>
      <c r="H13" s="4">
        <v>3717986</v>
      </c>
      <c r="I13" s="4">
        <v>0</v>
      </c>
      <c r="J13" s="4">
        <v>13766</v>
      </c>
      <c r="K13" s="553">
        <f t="shared" si="1"/>
        <v>13766</v>
      </c>
      <c r="L13" s="553">
        <f t="shared" si="2"/>
        <v>3731752</v>
      </c>
      <c r="M13" s="541">
        <f t="shared" si="3"/>
        <v>596248</v>
      </c>
      <c r="N13" s="541"/>
      <c r="O13" s="541">
        <f t="shared" si="4"/>
        <v>0</v>
      </c>
      <c r="P13" s="541">
        <f t="shared" si="5"/>
        <v>596248</v>
      </c>
      <c r="Q13" s="541"/>
      <c r="R13" s="541"/>
      <c r="S13" s="541">
        <f t="shared" si="6"/>
        <v>0</v>
      </c>
      <c r="T13" s="541">
        <f t="shared" si="7"/>
        <v>0</v>
      </c>
      <c r="U13" s="541">
        <f t="shared" si="8"/>
        <v>0</v>
      </c>
      <c r="V13" s="541"/>
      <c r="W13" s="541">
        <f t="shared" si="9"/>
        <v>0</v>
      </c>
      <c r="X13" s="553"/>
      <c r="Y13" s="553"/>
      <c r="Z13" s="553"/>
      <c r="AA13" s="541"/>
      <c r="AB13" s="3" t="s">
        <v>2372</v>
      </c>
      <c r="AC13" s="552">
        <v>810000</v>
      </c>
    </row>
    <row r="14" spans="1:38" ht="30" customHeight="1">
      <c r="A14" s="302">
        <f>COUNT(B5:B13)</f>
        <v>9</v>
      </c>
      <c r="B14" s="555"/>
      <c r="C14" s="556" t="s">
        <v>409</v>
      </c>
      <c r="D14" s="65">
        <f t="shared" ref="D14:AA14" si="11">SUM(D5:D13)</f>
        <v>74318000</v>
      </c>
      <c r="E14" s="65">
        <f t="shared" si="11"/>
        <v>58798000</v>
      </c>
      <c r="F14" s="65">
        <f t="shared" si="11"/>
        <v>15520000</v>
      </c>
      <c r="G14" s="65">
        <f t="shared" si="11"/>
        <v>42391000</v>
      </c>
      <c r="H14" s="65">
        <f t="shared" si="11"/>
        <v>30329540</v>
      </c>
      <c r="I14" s="65">
        <f t="shared" si="11"/>
        <v>54300</v>
      </c>
      <c r="J14" s="65">
        <f t="shared" si="11"/>
        <v>7304816</v>
      </c>
      <c r="K14" s="65">
        <f t="shared" si="11"/>
        <v>7359116</v>
      </c>
      <c r="L14" s="65">
        <f t="shared" si="11"/>
        <v>37688656</v>
      </c>
      <c r="M14" s="65">
        <f t="shared" si="11"/>
        <v>4702344</v>
      </c>
      <c r="N14" s="65">
        <f t="shared" si="11"/>
        <v>14650000</v>
      </c>
      <c r="O14" s="65">
        <f t="shared" si="11"/>
        <v>17277000</v>
      </c>
      <c r="P14" s="65">
        <f t="shared" si="11"/>
        <v>4702344</v>
      </c>
      <c r="Q14" s="65">
        <f t="shared" si="11"/>
        <v>0</v>
      </c>
      <c r="R14" s="65">
        <f t="shared" si="11"/>
        <v>0</v>
      </c>
      <c r="S14" s="65">
        <f t="shared" si="11"/>
        <v>0</v>
      </c>
      <c r="T14" s="65">
        <f t="shared" si="11"/>
        <v>0</v>
      </c>
      <c r="U14" s="65">
        <f t="shared" si="11"/>
        <v>14650000</v>
      </c>
      <c r="V14" s="65">
        <f t="shared" si="11"/>
        <v>8900000</v>
      </c>
      <c r="W14" s="65">
        <f t="shared" si="11"/>
        <v>3450000</v>
      </c>
      <c r="X14" s="65">
        <f t="shared" si="11"/>
        <v>0</v>
      </c>
      <c r="Y14" s="65">
        <f t="shared" si="11"/>
        <v>0</v>
      </c>
      <c r="Z14" s="65">
        <f t="shared" si="11"/>
        <v>0</v>
      </c>
      <c r="AA14" s="65">
        <f t="shared" si="11"/>
        <v>2300000</v>
      </c>
      <c r="AB14" s="555"/>
      <c r="AC14" s="555"/>
    </row>
    <row r="15" spans="1:38" ht="15" hidden="1">
      <c r="A15" s="558"/>
      <c r="B15" s="559"/>
      <c r="C15" s="559"/>
      <c r="D15" s="560"/>
      <c r="E15" s="560"/>
      <c r="F15" s="560"/>
      <c r="G15" s="560"/>
      <c r="H15" s="560"/>
      <c r="I15" s="560"/>
      <c r="J15" s="560"/>
      <c r="K15" s="560"/>
      <c r="L15" s="560">
        <f>K14+H14</f>
        <v>37688656</v>
      </c>
      <c r="M15" s="560">
        <f>P15+S14-T14</f>
        <v>4702344</v>
      </c>
      <c r="N15" s="560"/>
      <c r="O15" s="560"/>
      <c r="P15" s="560">
        <f>G14-L14</f>
        <v>4702344</v>
      </c>
      <c r="Q15" s="560"/>
      <c r="R15" s="560"/>
      <c r="S15" s="560"/>
      <c r="T15" s="560"/>
      <c r="U15" s="560"/>
      <c r="V15" s="559"/>
      <c r="W15" s="559"/>
      <c r="X15" s="559"/>
      <c r="Y15" s="559"/>
      <c r="Z15" s="559"/>
      <c r="AA15" s="559"/>
      <c r="AB15" s="558"/>
      <c r="AC15" s="559"/>
    </row>
    <row r="16" spans="1:38" ht="15">
      <c r="A16" s="558"/>
      <c r="B16" s="559"/>
      <c r="C16" s="559"/>
      <c r="D16" s="560"/>
      <c r="E16" s="560"/>
      <c r="F16" s="560"/>
      <c r="G16" s="560"/>
      <c r="H16" s="560"/>
      <c r="I16" s="560"/>
      <c r="J16" s="560"/>
      <c r="K16" s="560"/>
      <c r="L16" s="560"/>
      <c r="M16" s="560"/>
      <c r="N16" s="560"/>
      <c r="O16" s="560"/>
      <c r="P16" s="560"/>
      <c r="Q16" s="560"/>
      <c r="R16" s="560"/>
      <c r="S16" s="560"/>
      <c r="T16" s="560"/>
      <c r="U16" s="559"/>
      <c r="V16" s="559"/>
      <c r="W16" s="559"/>
      <c r="X16" s="559"/>
      <c r="Y16" s="559"/>
      <c r="Z16" s="559"/>
      <c r="AA16" s="559"/>
      <c r="AB16" s="558"/>
      <c r="AC16" s="559"/>
    </row>
    <row r="17" spans="1:29" ht="15">
      <c r="A17" s="558"/>
      <c r="B17" s="559"/>
      <c r="C17" s="559"/>
      <c r="D17" s="560"/>
      <c r="E17" s="560"/>
      <c r="F17" s="560"/>
      <c r="G17" s="560"/>
      <c r="H17" s="560"/>
      <c r="I17" s="560"/>
      <c r="J17" s="560"/>
      <c r="K17" s="560"/>
      <c r="L17" s="560"/>
      <c r="M17" s="560"/>
      <c r="N17" s="560"/>
      <c r="O17" s="560"/>
      <c r="P17" s="560"/>
      <c r="Q17" s="560"/>
      <c r="R17" s="560"/>
      <c r="S17" s="560"/>
      <c r="T17" s="560"/>
      <c r="U17" s="559"/>
      <c r="V17" s="559"/>
      <c r="W17" s="559"/>
      <c r="X17" s="559"/>
      <c r="Y17" s="559"/>
      <c r="Z17" s="559"/>
      <c r="AA17" s="559"/>
      <c r="AB17" s="558"/>
      <c r="AC17" s="559"/>
    </row>
    <row r="18" spans="1:29" ht="15">
      <c r="A18" s="558"/>
      <c r="B18" s="559"/>
      <c r="C18" s="559"/>
      <c r="D18" s="560"/>
      <c r="E18" s="560"/>
      <c r="F18" s="560"/>
      <c r="G18" s="560"/>
      <c r="H18" s="560"/>
      <c r="I18" s="560"/>
      <c r="J18" s="560"/>
      <c r="K18" s="560"/>
      <c r="L18" s="560"/>
      <c r="M18" s="560"/>
      <c r="N18" s="560"/>
      <c r="O18" s="560"/>
      <c r="P18" s="560"/>
      <c r="Q18" s="560"/>
      <c r="R18" s="560"/>
      <c r="S18" s="560"/>
      <c r="T18" s="560"/>
      <c r="U18" s="559"/>
      <c r="V18" s="559"/>
      <c r="W18" s="559"/>
      <c r="X18" s="559"/>
      <c r="Y18" s="559"/>
      <c r="Z18" s="559"/>
      <c r="AA18" s="559"/>
      <c r="AB18" s="558"/>
      <c r="AC18" s="559"/>
    </row>
    <row r="19" spans="1:29" ht="15">
      <c r="A19" s="558"/>
      <c r="B19" s="559"/>
      <c r="C19" s="559"/>
      <c r="D19" s="560"/>
      <c r="E19" s="560"/>
      <c r="F19" s="560"/>
      <c r="G19" s="560"/>
      <c r="H19" s="560"/>
      <c r="I19" s="560"/>
      <c r="J19" s="560"/>
      <c r="K19" s="560"/>
      <c r="L19" s="560"/>
      <c r="M19" s="560"/>
      <c r="N19" s="560"/>
      <c r="O19" s="560"/>
      <c r="P19" s="560"/>
      <c r="Q19" s="560"/>
      <c r="R19" s="560"/>
      <c r="S19" s="560"/>
      <c r="T19" s="560"/>
      <c r="U19" s="559"/>
      <c r="V19" s="559"/>
      <c r="W19" s="559"/>
      <c r="X19" s="559"/>
      <c r="Y19" s="559"/>
      <c r="Z19" s="559"/>
      <c r="AA19" s="559"/>
      <c r="AB19" s="558"/>
      <c r="AC19" s="559"/>
    </row>
    <row r="20" spans="1:29" ht="15">
      <c r="A20" s="558"/>
      <c r="B20" s="559"/>
      <c r="C20" s="559"/>
      <c r="D20" s="560"/>
      <c r="E20" s="560"/>
      <c r="F20" s="560"/>
      <c r="G20" s="560"/>
      <c r="H20" s="560"/>
      <c r="I20" s="560"/>
      <c r="J20" s="560"/>
      <c r="K20" s="560"/>
      <c r="L20" s="560"/>
      <c r="M20" s="560"/>
      <c r="N20" s="560"/>
      <c r="O20" s="560"/>
      <c r="P20" s="560"/>
      <c r="Q20" s="560"/>
      <c r="R20" s="560"/>
      <c r="S20" s="560"/>
      <c r="T20" s="560"/>
      <c r="U20" s="559"/>
      <c r="V20" s="559"/>
      <c r="W20" s="559"/>
      <c r="X20" s="559"/>
      <c r="Y20" s="559"/>
      <c r="Z20" s="559"/>
      <c r="AA20" s="559"/>
      <c r="AB20" s="558"/>
      <c r="AC20" s="559"/>
    </row>
  </sheetData>
  <sortState ref="A5:AL13">
    <sortCondition ref="B5:B13"/>
  </sortState>
  <conditionalFormatting sqref="F5:F13">
    <cfRule type="cellIs" dxfId="108" priority="55" operator="equal">
      <formula>0</formula>
    </cfRule>
  </conditionalFormatting>
  <conditionalFormatting sqref="A2:W3 AB10:AC10 B6:E8 Z2:AA2 Z1:AB1 G6:J8 K6:X13 Z6:AA13 X1:X5 Z3:AB5 Y1:Y13 AB14:AC14 B14 B4:L4 V4:W4 AC1:AC9 A1:M1 O1:W1 F6:F13 AB12:AC12 B5:W5 A15:AC20">
    <cfRule type="cellIs" dxfId="107" priority="54" operator="equal">
      <formula>0</formula>
    </cfRule>
  </conditionalFormatting>
  <conditionalFormatting sqref="AB8">
    <cfRule type="cellIs" dxfId="106" priority="51" operator="equal">
      <formula>0</formula>
    </cfRule>
  </conditionalFormatting>
  <conditionalFormatting sqref="AB6">
    <cfRule type="cellIs" dxfId="105" priority="53" operator="equal">
      <formula>0</formula>
    </cfRule>
  </conditionalFormatting>
  <conditionalFormatting sqref="AB7">
    <cfRule type="cellIs" dxfId="104" priority="52" operator="equal">
      <formula>0</formula>
    </cfRule>
  </conditionalFormatting>
  <conditionalFormatting sqref="B9:E9 G9:J9">
    <cfRule type="cellIs" dxfId="103" priority="50" operator="equal">
      <formula>0</formula>
    </cfRule>
  </conditionalFormatting>
  <conditionalFormatting sqref="AB9">
    <cfRule type="cellIs" dxfId="102" priority="49" operator="equal">
      <formula>0</formula>
    </cfRule>
  </conditionalFormatting>
  <conditionalFormatting sqref="B12:E12 B10:C10 G12:J12">
    <cfRule type="cellIs" dxfId="101" priority="48" operator="equal">
      <formula>0</formula>
    </cfRule>
  </conditionalFormatting>
  <conditionalFormatting sqref="B10 E10 G10:J10">
    <cfRule type="cellIs" dxfId="100" priority="47" operator="equal">
      <formula>0</formula>
    </cfRule>
  </conditionalFormatting>
  <conditionalFormatting sqref="C10">
    <cfRule type="cellIs" dxfId="99" priority="46" operator="equal">
      <formula>0</formula>
    </cfRule>
  </conditionalFormatting>
  <conditionalFormatting sqref="D10">
    <cfRule type="cellIs" dxfId="98" priority="45" operator="equal">
      <formula>0</formula>
    </cfRule>
  </conditionalFormatting>
  <conditionalFormatting sqref="AB11">
    <cfRule type="cellIs" dxfId="97" priority="44" operator="equal">
      <formula>0</formula>
    </cfRule>
  </conditionalFormatting>
  <conditionalFormatting sqref="B11:E11 G11:J11">
    <cfRule type="cellIs" dxfId="96" priority="43" operator="equal">
      <formula>0</formula>
    </cfRule>
  </conditionalFormatting>
  <conditionalFormatting sqref="AC11">
    <cfRule type="cellIs" dxfId="95" priority="42" operator="equal">
      <formula>0</formula>
    </cfRule>
  </conditionalFormatting>
  <conditionalFormatting sqref="AC13">
    <cfRule type="cellIs" dxfId="94" priority="41" operator="equal">
      <formula>0</formula>
    </cfRule>
  </conditionalFormatting>
  <conditionalFormatting sqref="AB2">
    <cfRule type="cellIs" dxfId="93" priority="40" operator="equal">
      <formula>0</formula>
    </cfRule>
  </conditionalFormatting>
  <conditionalFormatting sqref="AA12">
    <cfRule type="cellIs" dxfId="92" priority="38" operator="equal">
      <formula>0</formula>
    </cfRule>
  </conditionalFormatting>
  <conditionalFormatting sqref="A5:A13">
    <cfRule type="cellIs" dxfId="91" priority="29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M26"/>
  <sheetViews>
    <sheetView showZeros="0" rightToLeft="1" workbookViewId="0">
      <pane xSplit="6" ySplit="4" topLeftCell="G11" activePane="bottomRight" state="frozen"/>
      <selection activeCell="E41" sqref="E41"/>
      <selection pane="topRight" activeCell="E41" sqref="E41"/>
      <selection pane="bottomLeft" activeCell="E41" sqref="E41"/>
      <selection pane="bottomRight" activeCell="E41" sqref="E41"/>
    </sheetView>
  </sheetViews>
  <sheetFormatPr defaultColWidth="8.5703125" defaultRowHeight="12.75"/>
  <cols>
    <col min="1" max="1" width="3.7109375" style="194" customWidth="1"/>
    <col min="2" max="2" width="5.42578125" style="194" customWidth="1"/>
    <col min="3" max="3" width="23.85546875" style="194" customWidth="1"/>
    <col min="4" max="4" width="9.42578125" style="194" customWidth="1"/>
    <col min="5" max="5" width="13.7109375" style="194" hidden="1" customWidth="1"/>
    <col min="6" max="6" width="9.42578125" style="194" hidden="1" customWidth="1"/>
    <col min="7" max="7" width="14.42578125" style="194" hidden="1" customWidth="1"/>
    <col min="8" max="10" width="9.42578125" style="194" hidden="1" customWidth="1"/>
    <col min="11" max="11" width="10.28515625" style="194" hidden="1" customWidth="1"/>
    <col min="12" max="12" width="9.42578125" style="194" customWidth="1"/>
    <col min="13" max="13" width="9.140625" style="194" customWidth="1"/>
    <col min="14" max="15" width="10.140625" style="194" customWidth="1"/>
    <col min="16" max="19" width="9.42578125" style="194" hidden="1" customWidth="1"/>
    <col min="20" max="20" width="9.85546875" style="194" customWidth="1"/>
    <col min="21" max="21" width="10" style="194" customWidth="1"/>
    <col min="22" max="23" width="9.140625" style="194" customWidth="1"/>
    <col min="24" max="26" width="8.42578125" style="194" hidden="1" customWidth="1"/>
    <col min="27" max="27" width="8.42578125" style="194" customWidth="1"/>
    <col min="28" max="28" width="38.85546875" style="194" customWidth="1"/>
    <col min="29" max="29" width="8.5703125" style="194" customWidth="1"/>
    <col min="30" max="31" width="32.85546875" style="194" hidden="1" customWidth="1"/>
    <col min="32" max="32" width="24.7109375" style="194" hidden="1" customWidth="1"/>
    <col min="33" max="35" width="18.140625" style="194" hidden="1" customWidth="1"/>
    <col min="36" max="37" width="9" style="194" hidden="1" customWidth="1"/>
    <col min="38" max="38" width="22.140625" style="681" hidden="1" customWidth="1"/>
    <col min="39" max="39" width="14.5703125" style="194" hidden="1" customWidth="1"/>
    <col min="40" max="16384" width="8.5703125" style="194"/>
  </cols>
  <sheetData>
    <row r="1" spans="1:39" ht="18.75">
      <c r="A1" s="542"/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O1" s="542"/>
      <c r="P1" s="542"/>
      <c r="Q1" s="542"/>
      <c r="R1" s="542"/>
      <c r="S1" s="542"/>
      <c r="T1" s="542"/>
      <c r="U1" s="542"/>
      <c r="V1" s="542"/>
      <c r="W1" s="542"/>
      <c r="X1" s="543"/>
      <c r="Y1" s="543"/>
      <c r="Z1" s="543"/>
      <c r="AA1" s="544"/>
      <c r="AB1" s="545"/>
      <c r="AC1" s="544"/>
      <c r="AD1" s="544"/>
      <c r="AE1" s="544"/>
      <c r="AF1" s="546"/>
      <c r="AG1" s="546"/>
      <c r="AH1" s="546"/>
      <c r="AI1" s="546"/>
      <c r="AJ1" s="546"/>
      <c r="AK1" s="546"/>
      <c r="AL1" s="678"/>
    </row>
    <row r="2" spans="1:39" ht="18.75">
      <c r="A2" s="542" t="s">
        <v>394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7"/>
      <c r="Y2" s="547"/>
      <c r="Z2" s="547"/>
      <c r="AA2" s="547"/>
      <c r="AB2" s="546"/>
      <c r="AC2" s="547"/>
      <c r="AD2" s="547"/>
      <c r="AE2" s="547"/>
      <c r="AF2" s="546"/>
      <c r="AG2" s="546"/>
      <c r="AH2" s="546"/>
      <c r="AI2" s="546"/>
      <c r="AJ2" s="546"/>
      <c r="AK2" s="546"/>
      <c r="AL2" s="678"/>
    </row>
    <row r="3" spans="1:39" ht="15">
      <c r="A3" s="548"/>
      <c r="B3" s="547"/>
      <c r="C3" s="547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  <c r="U3" s="547"/>
      <c r="V3" s="547"/>
      <c r="W3" s="547"/>
      <c r="X3" s="547"/>
      <c r="Y3" s="547"/>
      <c r="Z3" s="547"/>
      <c r="AA3" s="547"/>
      <c r="AB3" s="548"/>
      <c r="AC3" s="547"/>
      <c r="AD3" s="547"/>
      <c r="AE3" s="547"/>
      <c r="AF3" s="546"/>
      <c r="AG3" s="546"/>
      <c r="AH3" s="546"/>
      <c r="AI3" s="546"/>
      <c r="AJ3" s="546"/>
      <c r="AK3" s="546"/>
      <c r="AL3" s="678"/>
    </row>
    <row r="4" spans="1:39" ht="105">
      <c r="A4" s="157" t="s">
        <v>1849</v>
      </c>
      <c r="B4" s="550" t="s">
        <v>587</v>
      </c>
      <c r="C4" s="550" t="s">
        <v>2</v>
      </c>
      <c r="D4" s="550" t="s">
        <v>3</v>
      </c>
      <c r="E4" s="550" t="s">
        <v>4</v>
      </c>
      <c r="F4" s="550" t="s">
        <v>5</v>
      </c>
      <c r="G4" s="550" t="s">
        <v>6</v>
      </c>
      <c r="H4" s="550" t="s">
        <v>7</v>
      </c>
      <c r="I4" s="550" t="s">
        <v>9</v>
      </c>
      <c r="J4" s="550" t="s">
        <v>153</v>
      </c>
      <c r="K4" s="550" t="s">
        <v>10</v>
      </c>
      <c r="L4" s="550" t="s">
        <v>11</v>
      </c>
      <c r="M4" s="9" t="s">
        <v>891</v>
      </c>
      <c r="N4" s="9" t="s">
        <v>892</v>
      </c>
      <c r="O4" s="9" t="s">
        <v>893</v>
      </c>
      <c r="P4" s="9" t="s">
        <v>12</v>
      </c>
      <c r="Q4" s="9" t="s">
        <v>894</v>
      </c>
      <c r="R4" s="9" t="s">
        <v>895</v>
      </c>
      <c r="S4" s="9" t="s">
        <v>896</v>
      </c>
      <c r="T4" s="9" t="s">
        <v>897</v>
      </c>
      <c r="U4" s="9" t="s">
        <v>898</v>
      </c>
      <c r="V4" s="550" t="s">
        <v>13</v>
      </c>
      <c r="W4" s="550" t="s">
        <v>14</v>
      </c>
      <c r="X4" s="550" t="s">
        <v>15</v>
      </c>
      <c r="Y4" s="550" t="s">
        <v>265</v>
      </c>
      <c r="Z4" s="550" t="s">
        <v>749</v>
      </c>
      <c r="AA4" s="550" t="s">
        <v>84</v>
      </c>
      <c r="AB4" s="551" t="s">
        <v>304</v>
      </c>
      <c r="AC4" s="550" t="s">
        <v>16</v>
      </c>
      <c r="AD4" s="550" t="s">
        <v>1860</v>
      </c>
      <c r="AE4" s="550" t="s">
        <v>1861</v>
      </c>
      <c r="AF4" s="550" t="s">
        <v>1862</v>
      </c>
      <c r="AG4" s="550" t="s">
        <v>1863</v>
      </c>
      <c r="AH4" s="550" t="s">
        <v>1144</v>
      </c>
      <c r="AI4" s="16" t="s">
        <v>938</v>
      </c>
      <c r="AJ4" s="9" t="s">
        <v>2223</v>
      </c>
      <c r="AK4" s="9" t="s">
        <v>2224</v>
      </c>
      <c r="AL4" s="658" t="s">
        <v>2216</v>
      </c>
      <c r="AM4" s="658" t="s">
        <v>2220</v>
      </c>
    </row>
    <row r="5" spans="1:39" ht="54.6" customHeight="1">
      <c r="A5" s="552">
        <v>1</v>
      </c>
      <c r="B5" s="552">
        <f>'תקציב אגף המיחשוב 2022'!B8</f>
        <v>1871</v>
      </c>
      <c r="C5" s="788" t="str">
        <f>'תקציב אגף המיחשוב 2022'!C8</f>
        <v>פריסת תשתיות תקשורת ברחבי העיר ומוס"ח</v>
      </c>
      <c r="D5" s="553">
        <f>'תקציב אגף המיחשוב 2022'!D8</f>
        <v>28240000</v>
      </c>
      <c r="E5" s="553">
        <f>'תקציב אגף המיחשוב 2022'!E8</f>
        <v>16000000</v>
      </c>
      <c r="F5" s="553">
        <f>'תקציב אגף המיחשוב 2022'!F8</f>
        <v>12240000</v>
      </c>
      <c r="G5" s="553">
        <f>'תקציב אגף המיחשוב 2022'!G8</f>
        <v>10440000</v>
      </c>
      <c r="H5" s="553">
        <f>'תקציב אגף המיחשוב 2022'!H8</f>
        <v>5715227</v>
      </c>
      <c r="I5" s="553">
        <f>'תקציב אגף המיחשוב 2022'!I8</f>
        <v>0</v>
      </c>
      <c r="J5" s="553">
        <f>'תקציב אגף המיחשוב 2022'!J8</f>
        <v>3443356</v>
      </c>
      <c r="K5" s="553">
        <f>'תקציב אגף המיחשוב 2022'!K8</f>
        <v>3443356</v>
      </c>
      <c r="L5" s="553">
        <f>'תקציב אגף המיחשוב 2022'!L8</f>
        <v>9158583</v>
      </c>
      <c r="M5" s="553">
        <f>'תקציב אגף המיחשוב 2022'!M8</f>
        <v>1281417</v>
      </c>
      <c r="N5" s="553">
        <f>'תקציב אגף המיחשוב 2022'!N8</f>
        <v>8900000</v>
      </c>
      <c r="O5" s="553">
        <f>'תקציב אגף המיחשוב 2022'!O8</f>
        <v>8900000</v>
      </c>
      <c r="P5" s="553">
        <f>'תקציב אגף המיחשוב 2022'!P8</f>
        <v>1281417</v>
      </c>
      <c r="Q5" s="553">
        <f>'תקציב אגף המיחשוב 2022'!Q8</f>
        <v>0</v>
      </c>
      <c r="R5" s="553">
        <f>'תקציב אגף המיחשוב 2022'!R8</f>
        <v>0</v>
      </c>
      <c r="S5" s="553">
        <f>'תקציב אגף המיחשוב 2022'!S8</f>
        <v>0</v>
      </c>
      <c r="T5" s="553">
        <f>'תקציב אגף המיחשוב 2022'!T8</f>
        <v>0</v>
      </c>
      <c r="U5" s="553">
        <f>'תקציב אגף המיחשוב 2022'!U8</f>
        <v>8900000</v>
      </c>
      <c r="V5" s="553">
        <f>'תקציב אגף המיחשוב 2022'!V8</f>
        <v>8900000</v>
      </c>
      <c r="W5" s="553">
        <f>'תקציב אגף המיחשוב 2022'!W8</f>
        <v>0</v>
      </c>
      <c r="X5" s="553">
        <f>'תקציב אגף המיחשוב 2022'!X8</f>
        <v>0</v>
      </c>
      <c r="Y5" s="553">
        <f>'תקציב אגף המיחשוב 2022'!Y8</f>
        <v>0</v>
      </c>
      <c r="Z5" s="553">
        <f>'תקציב אגף המיחשוב 2022'!Z8</f>
        <v>0</v>
      </c>
      <c r="AA5" s="553">
        <f>'תקציב אגף המיחשוב 2022'!AA8</f>
        <v>0</v>
      </c>
      <c r="AB5" s="788" t="str">
        <f>'תקציב אגף המיחשוב 2022'!AB8</f>
        <v>תשתיות תקשורת אלחוטית וסיבים אופטיים לעיר חכמה במוס"ח וברחבי העיר בהתאם לתוכנית רב שנתית.</v>
      </c>
      <c r="AC5" s="552">
        <f>'תקציב אגף המיחשוב 2022'!AC8</f>
        <v>760000</v>
      </c>
      <c r="AD5" s="552" t="s">
        <v>1876</v>
      </c>
      <c r="AE5" s="552" t="s">
        <v>1877</v>
      </c>
      <c r="AF5" s="552"/>
      <c r="AG5" s="552"/>
      <c r="AH5" s="552"/>
      <c r="AI5" s="552"/>
      <c r="AJ5" s="541"/>
      <c r="AK5" s="541"/>
      <c r="AL5" s="675"/>
      <c r="AM5" s="669"/>
    </row>
    <row r="6" spans="1:39" s="414" customFormat="1" ht="25.15" customHeight="1">
      <c r="A6" s="821"/>
      <c r="B6" s="821"/>
      <c r="C6" s="822" t="s">
        <v>810</v>
      </c>
      <c r="D6" s="823">
        <f>SUM(D5)</f>
        <v>28240000</v>
      </c>
      <c r="E6" s="823">
        <f t="shared" ref="E6:AA6" si="0">SUM(E5)</f>
        <v>16000000</v>
      </c>
      <c r="F6" s="823">
        <f t="shared" si="0"/>
        <v>12240000</v>
      </c>
      <c r="G6" s="823">
        <f t="shared" si="0"/>
        <v>10440000</v>
      </c>
      <c r="H6" s="823">
        <f t="shared" si="0"/>
        <v>5715227</v>
      </c>
      <c r="I6" s="823">
        <f t="shared" si="0"/>
        <v>0</v>
      </c>
      <c r="J6" s="823">
        <f t="shared" si="0"/>
        <v>3443356</v>
      </c>
      <c r="K6" s="823">
        <f t="shared" si="0"/>
        <v>3443356</v>
      </c>
      <c r="L6" s="823">
        <f t="shared" si="0"/>
        <v>9158583</v>
      </c>
      <c r="M6" s="823">
        <f t="shared" si="0"/>
        <v>1281417</v>
      </c>
      <c r="N6" s="823">
        <f t="shared" si="0"/>
        <v>8900000</v>
      </c>
      <c r="O6" s="823">
        <f t="shared" si="0"/>
        <v>8900000</v>
      </c>
      <c r="P6" s="823">
        <f t="shared" si="0"/>
        <v>1281417</v>
      </c>
      <c r="Q6" s="823">
        <f t="shared" si="0"/>
        <v>0</v>
      </c>
      <c r="R6" s="823">
        <f t="shared" si="0"/>
        <v>0</v>
      </c>
      <c r="S6" s="823">
        <f t="shared" si="0"/>
        <v>0</v>
      </c>
      <c r="T6" s="823">
        <f t="shared" si="0"/>
        <v>0</v>
      </c>
      <c r="U6" s="823">
        <f t="shared" si="0"/>
        <v>8900000</v>
      </c>
      <c r="V6" s="823">
        <f t="shared" si="0"/>
        <v>8900000</v>
      </c>
      <c r="W6" s="823">
        <f t="shared" si="0"/>
        <v>0</v>
      </c>
      <c r="X6" s="823">
        <f t="shared" si="0"/>
        <v>0</v>
      </c>
      <c r="Y6" s="823">
        <f t="shared" si="0"/>
        <v>0</v>
      </c>
      <c r="Z6" s="823">
        <f t="shared" si="0"/>
        <v>0</v>
      </c>
      <c r="AA6" s="823">
        <f t="shared" si="0"/>
        <v>0</v>
      </c>
      <c r="AB6" s="822"/>
      <c r="AC6" s="821"/>
      <c r="AD6" s="821"/>
      <c r="AE6" s="821"/>
      <c r="AF6" s="821"/>
      <c r="AG6" s="821"/>
      <c r="AH6" s="821"/>
      <c r="AI6" s="821"/>
      <c r="AJ6" s="824"/>
      <c r="AK6" s="824"/>
      <c r="AL6" s="825"/>
      <c r="AM6" s="679"/>
    </row>
    <row r="7" spans="1:39" ht="64.900000000000006" customHeight="1">
      <c r="A7" s="350">
        <v>2</v>
      </c>
      <c r="B7" s="552">
        <f>'תקציב אגף המיחשוב 2022'!B6</f>
        <v>1497</v>
      </c>
      <c r="C7" s="788" t="str">
        <f>'תקציב אגף המיחשוב 2022'!C6</f>
        <v>שדרוג מערכות הליבה</v>
      </c>
      <c r="D7" s="553">
        <f>'תקציב אגף המיחשוב 2022'!D6</f>
        <v>8820000</v>
      </c>
      <c r="E7" s="553">
        <f>'תקציב אגף המיחשוב 2022'!E6</f>
        <v>8820000</v>
      </c>
      <c r="F7" s="553">
        <f>'תקציב אגף המיחשוב 2022'!F6</f>
        <v>0</v>
      </c>
      <c r="G7" s="553">
        <f>'תקציב אגף המיחשוב 2022'!G6</f>
        <v>3023000</v>
      </c>
      <c r="H7" s="553">
        <f>'תקציב אגף המיחשוב 2022'!H6</f>
        <v>2895345</v>
      </c>
      <c r="I7" s="553">
        <f>'תקציב אגף המיחשוב 2022'!I6</f>
        <v>54300</v>
      </c>
      <c r="J7" s="553">
        <f>'תקציב אגף המיחשוב 2022'!J6</f>
        <v>72465</v>
      </c>
      <c r="K7" s="553">
        <f>'תקציב אגף המיחשוב 2022'!K6</f>
        <v>126765</v>
      </c>
      <c r="L7" s="553">
        <f>'תקציב אגף המיחשוב 2022'!L6</f>
        <v>3022110</v>
      </c>
      <c r="M7" s="553">
        <f>'תקציב אגף המיחשוב 2022'!M6</f>
        <v>890</v>
      </c>
      <c r="N7" s="553">
        <f>'תקציב אגף המיחשוב 2022'!N6</f>
        <v>400000</v>
      </c>
      <c r="O7" s="553">
        <f>'תקציב אגף המיחשוב 2022'!O6</f>
        <v>5397000</v>
      </c>
      <c r="P7" s="553">
        <f>'תקציב אגף המיחשוב 2022'!P6</f>
        <v>890</v>
      </c>
      <c r="Q7" s="553">
        <f>'תקציב אגף המיחשוב 2022'!Q6</f>
        <v>0</v>
      </c>
      <c r="R7" s="553">
        <f>'תקציב אגף המיחשוב 2022'!R6</f>
        <v>0</v>
      </c>
      <c r="S7" s="553">
        <f>'תקציב אגף המיחשוב 2022'!S6</f>
        <v>0</v>
      </c>
      <c r="T7" s="553">
        <f>'תקציב אגף המיחשוב 2022'!T6</f>
        <v>0</v>
      </c>
      <c r="U7" s="553">
        <f>'תקציב אגף המיחשוב 2022'!U6</f>
        <v>400000</v>
      </c>
      <c r="V7" s="553">
        <f>'תקציב אגף המיחשוב 2022'!V6</f>
        <v>0</v>
      </c>
      <c r="W7" s="553">
        <f>'תקציב אגף המיחשוב 2022'!W6</f>
        <v>400000</v>
      </c>
      <c r="X7" s="553">
        <f>'תקציב אגף המיחשוב 2022'!X6</f>
        <v>0</v>
      </c>
      <c r="Y7" s="553">
        <f>'תקציב אגף המיחשוב 2022'!Y6</f>
        <v>0</v>
      </c>
      <c r="Z7" s="553">
        <f>'תקציב אגף המיחשוב 2022'!Z6</f>
        <v>0</v>
      </c>
      <c r="AA7" s="553">
        <f>'תקציב אגף המיחשוב 2022'!AA6</f>
        <v>0</v>
      </c>
      <c r="AB7" s="788" t="str">
        <f>'תקציב אגף המיחשוב 2022'!AB6</f>
        <v>תוספות שינויים ושיפורים שדרוג מערכות הליבה הח.לאוטומציה וציוד חומרה. בהתאם לבקשות מעת לעת. ב - 2022: השדרוג כולל מערכת CRM.</v>
      </c>
      <c r="AC7" s="552">
        <f>'תקציב אגף המיחשוב 2022'!AC6</f>
        <v>610000</v>
      </c>
      <c r="AD7" s="552" t="s">
        <v>1869</v>
      </c>
      <c r="AE7" s="552" t="s">
        <v>1870</v>
      </c>
      <c r="AF7" s="552" t="s">
        <v>1871</v>
      </c>
      <c r="AG7" s="554" t="s">
        <v>1720</v>
      </c>
      <c r="AH7" s="554" t="s">
        <v>1868</v>
      </c>
      <c r="AI7" s="554" t="s">
        <v>1868</v>
      </c>
      <c r="AJ7" s="684">
        <v>-500000</v>
      </c>
      <c r="AK7" s="541"/>
      <c r="AL7" s="669">
        <f>3300000/2</f>
        <v>1650000</v>
      </c>
      <c r="AM7" s="669">
        <f>AL7-N7</f>
        <v>1250000</v>
      </c>
    </row>
    <row r="8" spans="1:39" s="414" customFormat="1" ht="25.15" customHeight="1">
      <c r="A8" s="826"/>
      <c r="B8" s="821"/>
      <c r="C8" s="822" t="s">
        <v>811</v>
      </c>
      <c r="D8" s="823">
        <f>SUM(D7)</f>
        <v>8820000</v>
      </c>
      <c r="E8" s="823">
        <f t="shared" ref="E8:AA8" si="1">SUM(E7)</f>
        <v>8820000</v>
      </c>
      <c r="F8" s="823">
        <f t="shared" si="1"/>
        <v>0</v>
      </c>
      <c r="G8" s="823">
        <f t="shared" si="1"/>
        <v>3023000</v>
      </c>
      <c r="H8" s="823">
        <f t="shared" si="1"/>
        <v>2895345</v>
      </c>
      <c r="I8" s="823">
        <f t="shared" si="1"/>
        <v>54300</v>
      </c>
      <c r="J8" s="823">
        <f t="shared" si="1"/>
        <v>72465</v>
      </c>
      <c r="K8" s="823">
        <f t="shared" si="1"/>
        <v>126765</v>
      </c>
      <c r="L8" s="823">
        <f t="shared" si="1"/>
        <v>3022110</v>
      </c>
      <c r="M8" s="823">
        <f t="shared" si="1"/>
        <v>890</v>
      </c>
      <c r="N8" s="823">
        <f t="shared" si="1"/>
        <v>400000</v>
      </c>
      <c r="O8" s="823">
        <f t="shared" si="1"/>
        <v>5397000</v>
      </c>
      <c r="P8" s="823">
        <f t="shared" si="1"/>
        <v>890</v>
      </c>
      <c r="Q8" s="823">
        <f t="shared" si="1"/>
        <v>0</v>
      </c>
      <c r="R8" s="823">
        <f t="shared" si="1"/>
        <v>0</v>
      </c>
      <c r="S8" s="823">
        <f t="shared" si="1"/>
        <v>0</v>
      </c>
      <c r="T8" s="823">
        <f t="shared" si="1"/>
        <v>0</v>
      </c>
      <c r="U8" s="823">
        <f t="shared" si="1"/>
        <v>400000</v>
      </c>
      <c r="V8" s="823">
        <f t="shared" si="1"/>
        <v>0</v>
      </c>
      <c r="W8" s="823">
        <f t="shared" si="1"/>
        <v>400000</v>
      </c>
      <c r="X8" s="823">
        <f t="shared" si="1"/>
        <v>0</v>
      </c>
      <c r="Y8" s="823">
        <f t="shared" si="1"/>
        <v>0</v>
      </c>
      <c r="Z8" s="823">
        <f t="shared" si="1"/>
        <v>0</v>
      </c>
      <c r="AA8" s="823">
        <f t="shared" si="1"/>
        <v>0</v>
      </c>
      <c r="AB8" s="822"/>
      <c r="AC8" s="821"/>
      <c r="AD8" s="821"/>
      <c r="AE8" s="821"/>
      <c r="AF8" s="821"/>
      <c r="AG8" s="554"/>
      <c r="AH8" s="554"/>
      <c r="AI8" s="554"/>
      <c r="AJ8" s="827"/>
      <c r="AK8" s="824"/>
      <c r="AL8" s="679"/>
      <c r="AM8" s="679"/>
    </row>
    <row r="9" spans="1:39" ht="105">
      <c r="A9" s="350">
        <v>3</v>
      </c>
      <c r="B9" s="552">
        <f>'תקציב אגף המיחשוב 2022'!B5</f>
        <v>1002</v>
      </c>
      <c r="C9" s="788" t="str">
        <f>'תקציב אגף המיחשוב 2022'!C5</f>
        <v>פרויקט תכסיות וניתוח מרחבי</v>
      </c>
      <c r="D9" s="553">
        <f>'תקציב אגף המיחשוב 2022'!D5</f>
        <v>3290000</v>
      </c>
      <c r="E9" s="553">
        <f>'תקציב אגף המיחשוב 2022'!E5</f>
        <v>3290000</v>
      </c>
      <c r="F9" s="553">
        <f>'תקציב אגף המיחשוב 2022'!F5</f>
        <v>0</v>
      </c>
      <c r="G9" s="553">
        <f>'תקציב אגף המיחשוב 2022'!G5</f>
        <v>2210000</v>
      </c>
      <c r="H9" s="553">
        <f>'תקציב אגף המיחשוב 2022'!H5</f>
        <v>2150485</v>
      </c>
      <c r="I9" s="553">
        <f>'תקציב אגף המיחשוב 2022'!I5</f>
        <v>0</v>
      </c>
      <c r="J9" s="553">
        <f>'תקציב אגף המיחשוב 2022'!J5</f>
        <v>59482</v>
      </c>
      <c r="K9" s="553">
        <f>'תקציב אגף המיחשוב 2022'!K5</f>
        <v>59482</v>
      </c>
      <c r="L9" s="553">
        <f>'תקציב אגף המיחשוב 2022'!L5</f>
        <v>2209967</v>
      </c>
      <c r="M9" s="553">
        <f>'תקציב אגף המיחשוב 2022'!M5</f>
        <v>33</v>
      </c>
      <c r="N9" s="553">
        <f>'תקציב אגף המיחשוב 2022'!N5</f>
        <v>100000</v>
      </c>
      <c r="O9" s="553">
        <f>'תקציב אגף המיחשוב 2022'!O5</f>
        <v>980000</v>
      </c>
      <c r="P9" s="553">
        <f>'תקציב אגף המיחשוב 2022'!P5</f>
        <v>33</v>
      </c>
      <c r="Q9" s="553">
        <f>'תקציב אגף המיחשוב 2022'!Q5</f>
        <v>0</v>
      </c>
      <c r="R9" s="553">
        <f>'תקציב אגף המיחשוב 2022'!R5</f>
        <v>0</v>
      </c>
      <c r="S9" s="553">
        <f>'תקציב אגף המיחשוב 2022'!S5</f>
        <v>0</v>
      </c>
      <c r="T9" s="553">
        <f>'תקציב אגף המיחשוב 2022'!T5</f>
        <v>0</v>
      </c>
      <c r="U9" s="553">
        <f>'תקציב אגף המיחשוב 2022'!U5</f>
        <v>100000</v>
      </c>
      <c r="V9" s="553">
        <f>'תקציב אגף המיחשוב 2022'!V5</f>
        <v>0</v>
      </c>
      <c r="W9" s="553">
        <f>'תקציב אגף המיחשוב 2022'!W5</f>
        <v>100000</v>
      </c>
      <c r="X9" s="553">
        <f>'תקציב אגף המיחשוב 2022'!X5</f>
        <v>0</v>
      </c>
      <c r="Y9" s="553">
        <f>'תקציב אגף המיחשוב 2022'!Y5</f>
        <v>0</v>
      </c>
      <c r="Z9" s="553">
        <f>'תקציב אגף המיחשוב 2022'!Z5</f>
        <v>0</v>
      </c>
      <c r="AA9" s="553">
        <f>'תקציב אגף המיחשוב 2022'!AA5</f>
        <v>0</v>
      </c>
      <c r="AB9" s="788" t="str">
        <f>'תקציב אגף המיחשוב 2022'!AB5</f>
        <v>פרויקט המושתת על מערכת GIS: שדרוג, הרחבת שרתים,תוספות לאפליקציות חדשות.</v>
      </c>
      <c r="AC9" s="552">
        <f>'תקציב אגף המיחשוב 2022'!AC5</f>
        <v>760000</v>
      </c>
      <c r="AD9" s="552" t="s">
        <v>1864</v>
      </c>
      <c r="AE9" s="552" t="s">
        <v>1865</v>
      </c>
      <c r="AF9" s="552" t="s">
        <v>1866</v>
      </c>
      <c r="AG9" s="554" t="s">
        <v>1867</v>
      </c>
      <c r="AH9" s="554" t="s">
        <v>1868</v>
      </c>
      <c r="AI9" s="554" t="s">
        <v>1868</v>
      </c>
      <c r="AJ9" s="684">
        <v>-2500000</v>
      </c>
      <c r="AK9" s="541"/>
      <c r="AL9" s="669">
        <f>17800000/2</f>
        <v>8900000</v>
      </c>
      <c r="AM9" s="669">
        <f>AL9-N9</f>
        <v>8800000</v>
      </c>
    </row>
    <row r="10" spans="1:39" ht="75">
      <c r="A10" s="350">
        <f>A9+1</f>
        <v>4</v>
      </c>
      <c r="B10" s="552">
        <f>'תקציב אגף המיחשוב 2022'!B7</f>
        <v>1647</v>
      </c>
      <c r="C10" s="788" t="str">
        <f>'תקציב אגף המיחשוב 2022'!C7</f>
        <v xml:space="preserve">תשתיות פס רחב מוס"ח </v>
      </c>
      <c r="D10" s="553">
        <f>'תקציב אגף המיחשוב 2022'!D7</f>
        <v>4700000</v>
      </c>
      <c r="E10" s="553">
        <f>'תקציב אגף המיחשוב 2022'!E7</f>
        <v>4700000</v>
      </c>
      <c r="F10" s="553">
        <f>'תקציב אגף המיחשוב 2022'!F7</f>
        <v>0</v>
      </c>
      <c r="G10" s="553">
        <f>'תקציב אגף המיחשוב 2022'!G7</f>
        <v>4250000</v>
      </c>
      <c r="H10" s="553">
        <f>'תקציב אגף המיחשוב 2022'!H7</f>
        <v>4217235</v>
      </c>
      <c r="I10" s="553">
        <f>'תקציב אגף המיחשוב 2022'!I7</f>
        <v>0</v>
      </c>
      <c r="J10" s="553">
        <f>'תקציב אגף המיחשוב 2022'!J7</f>
        <v>32765</v>
      </c>
      <c r="K10" s="553">
        <f>'תקציב אגף המיחשוב 2022'!K7</f>
        <v>32765</v>
      </c>
      <c r="L10" s="553">
        <f>'תקציב אגף המיחשוב 2022'!L7</f>
        <v>4250000</v>
      </c>
      <c r="M10" s="553">
        <f>'תקציב אגף המיחשוב 2022'!M7</f>
        <v>0</v>
      </c>
      <c r="N10" s="553">
        <f>'תקציב אגף המיחשוב 2022'!N7</f>
        <v>100000</v>
      </c>
      <c r="O10" s="553">
        <f>'תקציב אגף המיחשוב 2022'!O7</f>
        <v>350000</v>
      </c>
      <c r="P10" s="553">
        <f>'תקציב אגף המיחשוב 2022'!P7</f>
        <v>0</v>
      </c>
      <c r="Q10" s="553">
        <f>'תקציב אגף המיחשוב 2022'!Q7</f>
        <v>0</v>
      </c>
      <c r="R10" s="553">
        <f>'תקציב אגף המיחשוב 2022'!R7</f>
        <v>0</v>
      </c>
      <c r="S10" s="553">
        <f>'תקציב אגף המיחשוב 2022'!S7</f>
        <v>0</v>
      </c>
      <c r="T10" s="553">
        <f>'תקציב אגף המיחשוב 2022'!T7</f>
        <v>0</v>
      </c>
      <c r="U10" s="553">
        <f>'תקציב אגף המיחשוב 2022'!U7</f>
        <v>100000</v>
      </c>
      <c r="V10" s="553">
        <f>'תקציב אגף המיחשוב 2022'!V7</f>
        <v>0</v>
      </c>
      <c r="W10" s="553">
        <f>'תקציב אגף המיחשוב 2022'!W7</f>
        <v>100000</v>
      </c>
      <c r="X10" s="553">
        <f>'תקציב אגף המיחשוב 2022'!X7</f>
        <v>0</v>
      </c>
      <c r="Y10" s="553">
        <f>'תקציב אגף המיחשוב 2022'!Y7</f>
        <v>0</v>
      </c>
      <c r="Z10" s="553">
        <f>'תקציב אגף המיחשוב 2022'!Z7</f>
        <v>0</v>
      </c>
      <c r="AA10" s="553">
        <f>'תקציב אגף המיחשוב 2022'!AA7</f>
        <v>0</v>
      </c>
      <c r="AB10" s="788" t="str">
        <f>'תקציב אגף המיחשוב 2022'!AB7</f>
        <v>שדרוג תשתיות אינטרנט במוס"ח.</v>
      </c>
      <c r="AC10" s="552">
        <f>'תקציב אגף המיחשוב 2022'!AC7</f>
        <v>810000</v>
      </c>
      <c r="AD10" s="552" t="s">
        <v>1873</v>
      </c>
      <c r="AE10" s="552" t="s">
        <v>1874</v>
      </c>
      <c r="AF10" s="552"/>
      <c r="AG10" s="554" t="s">
        <v>1875</v>
      </c>
      <c r="AH10" s="554"/>
      <c r="AI10" s="554"/>
      <c r="AJ10" s="541"/>
      <c r="AK10" s="541"/>
      <c r="AL10" s="679"/>
      <c r="AM10" s="669"/>
    </row>
    <row r="11" spans="1:39" ht="30">
      <c r="A11" s="350">
        <f>A10+1</f>
        <v>5</v>
      </c>
      <c r="B11" s="552">
        <f>'תקציב אגף המיחשוב 2022'!B9</f>
        <v>1982</v>
      </c>
      <c r="C11" s="788" t="str">
        <f>'תקציב אגף המיחשוב 2022'!C9</f>
        <v>התקנת מערכות שו"ב מצלמות מוס"ח מבני ציבור</v>
      </c>
      <c r="D11" s="553">
        <f>'תקציב אגף המיחשוב 2022'!D9</f>
        <v>15500000</v>
      </c>
      <c r="E11" s="553">
        <f>'תקציב אגף המיחשוב 2022'!E9</f>
        <v>14800000</v>
      </c>
      <c r="F11" s="553">
        <f>'תקציב אגף המיחשוב 2022'!F9</f>
        <v>700000</v>
      </c>
      <c r="G11" s="553">
        <f>'תקציב אגף המיחשוב 2022'!G9</f>
        <v>12200000</v>
      </c>
      <c r="H11" s="553">
        <f>'תקציב אגף המיחשוב 2022'!H9</f>
        <v>8517554</v>
      </c>
      <c r="I11" s="553">
        <f>'תקציב אגף המיחשוב 2022'!I9</f>
        <v>0</v>
      </c>
      <c r="J11" s="553">
        <f>'תקציב אגף המיחשוב 2022'!J9</f>
        <v>3660421</v>
      </c>
      <c r="K11" s="553">
        <f>'תקציב אגף המיחשוב 2022'!K9</f>
        <v>3660421</v>
      </c>
      <c r="L11" s="553">
        <f>'תקציב אגף המיחשוב 2022'!L9</f>
        <v>12177975</v>
      </c>
      <c r="M11" s="553">
        <f>'תקציב אגף המיחשוב 2022'!M9</f>
        <v>22025</v>
      </c>
      <c r="N11" s="553">
        <f>'תקציב אגף המיחשוב 2022'!N9</f>
        <v>1650000</v>
      </c>
      <c r="O11" s="553">
        <f>'תקציב אגף המיחשוב 2022'!O9</f>
        <v>1650000</v>
      </c>
      <c r="P11" s="553">
        <f>'תקציב אגף המיחשוב 2022'!P9</f>
        <v>22025</v>
      </c>
      <c r="Q11" s="553">
        <f>'תקציב אגף המיחשוב 2022'!Q9</f>
        <v>0</v>
      </c>
      <c r="R11" s="553">
        <f>'תקציב אגף המיחשוב 2022'!R9</f>
        <v>0</v>
      </c>
      <c r="S11" s="553">
        <f>'תקציב אגף המיחשוב 2022'!S9</f>
        <v>0</v>
      </c>
      <c r="T11" s="553">
        <f>'תקציב אגף המיחשוב 2022'!T9</f>
        <v>0</v>
      </c>
      <c r="U11" s="553">
        <f>'תקציב אגף המיחשוב 2022'!U9</f>
        <v>1650000</v>
      </c>
      <c r="V11" s="553">
        <f>'תקציב אגף המיחשוב 2022'!V9</f>
        <v>0</v>
      </c>
      <c r="W11" s="553">
        <f>'תקציב אגף המיחשוב 2022'!W9</f>
        <v>1650000</v>
      </c>
      <c r="X11" s="553">
        <f>'תקציב אגף המיחשוב 2022'!X9</f>
        <v>0</v>
      </c>
      <c r="Y11" s="553">
        <f>'תקציב אגף המיחשוב 2022'!Y9</f>
        <v>0</v>
      </c>
      <c r="Z11" s="553">
        <f>'תקציב אגף המיחשוב 2022'!Z9</f>
        <v>0</v>
      </c>
      <c r="AA11" s="553">
        <f>'תקציב אגף המיחשוב 2022'!AA9</f>
        <v>0</v>
      </c>
      <c r="AB11" s="788" t="str">
        <f>'תקציב אגף המיחשוב 2022'!AB9</f>
        <v xml:space="preserve">מערכות מתקדמות לעיר חכמה כולל שו"ב מצלמות , ציוד נלווה ותשתיות מיחשוב. </v>
      </c>
      <c r="AC11" s="552">
        <f>'תקציב אגף המיחשוב 2022'!AC9</f>
        <v>722000</v>
      </c>
      <c r="AD11" s="552" t="s">
        <v>1878</v>
      </c>
      <c r="AE11" s="552" t="s">
        <v>1879</v>
      </c>
      <c r="AF11" s="555"/>
      <c r="AG11" s="552"/>
      <c r="AH11" s="552"/>
      <c r="AI11" s="552"/>
      <c r="AJ11" s="541"/>
      <c r="AK11" s="541"/>
      <c r="AL11" s="675"/>
      <c r="AM11" s="669"/>
    </row>
    <row r="12" spans="1:39" ht="27.6" customHeight="1">
      <c r="A12" s="350">
        <f>A11+1</f>
        <v>6</v>
      </c>
      <c r="B12" s="552">
        <f>'תקציב אגף המיחשוב 2022'!B11</f>
        <v>2083</v>
      </c>
      <c r="C12" s="788" t="str">
        <f>'תקציב אגף המיחשוב 2022'!C11</f>
        <v>תוכנית הצטיידות  מיחשוב מוס"ח</v>
      </c>
      <c r="D12" s="553">
        <f>'תקציב אגף המיחשוב 2022'!D11</f>
        <v>7880000</v>
      </c>
      <c r="E12" s="553">
        <f>'תקציב אגף המיחשוב 2022'!E11</f>
        <v>5580000</v>
      </c>
      <c r="F12" s="553">
        <f>'תקציב אגף המיחשוב 2022'!F11</f>
        <v>2300000</v>
      </c>
      <c r="G12" s="553">
        <f>'תקציב אגף המיחשוב 2022'!G11</f>
        <v>5580000</v>
      </c>
      <c r="H12" s="553">
        <f>'תקציב אגף המיחשוב 2022'!H11</f>
        <v>2975445</v>
      </c>
      <c r="I12" s="553">
        <f>'תקציב אגף המיחשוב 2022'!I11</f>
        <v>0</v>
      </c>
      <c r="J12" s="553">
        <f>'תקציב אגף המיחשוב 2022'!J11</f>
        <v>0</v>
      </c>
      <c r="K12" s="553">
        <f>'תקציב אגף המיחשוב 2022'!K11</f>
        <v>0</v>
      </c>
      <c r="L12" s="553">
        <f>'תקציב אגף המיחשוב 2022'!L11</f>
        <v>2975445</v>
      </c>
      <c r="M12" s="553">
        <f>'תקציב אגף המיחשוב 2022'!M11</f>
        <v>2604555</v>
      </c>
      <c r="N12" s="553">
        <f>'תקציב אגף המיחשוב 2022'!N11</f>
        <v>2300000</v>
      </c>
      <c r="O12" s="553">
        <f>'תקציב אגף המיחשוב 2022'!O11</f>
        <v>0</v>
      </c>
      <c r="P12" s="553">
        <f>'תקציב אגף המיחשוב 2022'!P11</f>
        <v>2604555</v>
      </c>
      <c r="Q12" s="553">
        <f>'תקציב אגף המיחשוב 2022'!Q11</f>
        <v>0</v>
      </c>
      <c r="R12" s="553">
        <f>'תקציב אגף המיחשוב 2022'!R11</f>
        <v>0</v>
      </c>
      <c r="S12" s="553">
        <f>'תקציב אגף המיחשוב 2022'!S11</f>
        <v>0</v>
      </c>
      <c r="T12" s="553">
        <f>'תקציב אגף המיחשוב 2022'!T11</f>
        <v>0</v>
      </c>
      <c r="U12" s="553">
        <f>'תקציב אגף המיחשוב 2022'!U11</f>
        <v>2300000</v>
      </c>
      <c r="V12" s="553">
        <f>'תקציב אגף המיחשוב 2022'!V11</f>
        <v>0</v>
      </c>
      <c r="W12" s="553">
        <f>'תקציב אגף המיחשוב 2022'!W11</f>
        <v>0</v>
      </c>
      <c r="X12" s="553">
        <f>'תקציב אגף המיחשוב 2022'!X11</f>
        <v>0</v>
      </c>
      <c r="Y12" s="553">
        <f>'תקציב אגף המיחשוב 2022'!Y11</f>
        <v>0</v>
      </c>
      <c r="Z12" s="553">
        <f>'תקציב אגף המיחשוב 2022'!Z11</f>
        <v>0</v>
      </c>
      <c r="AA12" s="553">
        <f>'תקציב אגף המיחשוב 2022'!AA11</f>
        <v>2300000</v>
      </c>
      <c r="AB12" s="788" t="str">
        <f>'תקציב אגף המיחשוב 2022'!AB11</f>
        <v>תוכנית הצטיידות למיחשוב כל מוס"ח .החלפת מחשבים ראוטרים וציוד מיחשוב. מימון מפעל הפיס.</v>
      </c>
      <c r="AC12" s="552">
        <f>'תקציב אגף המיחשוב 2022'!AC11</f>
        <v>810000</v>
      </c>
      <c r="AD12" s="552" t="s">
        <v>1880</v>
      </c>
      <c r="AE12" s="552" t="s">
        <v>1883</v>
      </c>
      <c r="AF12" s="552" t="s">
        <v>1884</v>
      </c>
      <c r="AG12" s="552"/>
      <c r="AH12" s="552"/>
      <c r="AI12" s="552"/>
      <c r="AJ12" s="541"/>
      <c r="AK12" s="541"/>
      <c r="AL12" s="675"/>
      <c r="AM12" s="669"/>
    </row>
    <row r="13" spans="1:39" s="414" customFormat="1" ht="25.15" customHeight="1">
      <c r="A13" s="821"/>
      <c r="B13" s="821"/>
      <c r="C13" s="822" t="s">
        <v>802</v>
      </c>
      <c r="D13" s="823">
        <f>SUM(D9:D12)</f>
        <v>31370000</v>
      </c>
      <c r="E13" s="823">
        <f t="shared" ref="E13:AA13" si="2">SUM(E9:E12)</f>
        <v>28370000</v>
      </c>
      <c r="F13" s="823">
        <f t="shared" si="2"/>
        <v>3000000</v>
      </c>
      <c r="G13" s="823">
        <f t="shared" si="2"/>
        <v>24240000</v>
      </c>
      <c r="H13" s="823">
        <f t="shared" si="2"/>
        <v>17860719</v>
      </c>
      <c r="I13" s="823">
        <f t="shared" si="2"/>
        <v>0</v>
      </c>
      <c r="J13" s="823">
        <f t="shared" si="2"/>
        <v>3752668</v>
      </c>
      <c r="K13" s="823">
        <f t="shared" si="2"/>
        <v>3752668</v>
      </c>
      <c r="L13" s="823">
        <f t="shared" si="2"/>
        <v>21613387</v>
      </c>
      <c r="M13" s="823">
        <f t="shared" si="2"/>
        <v>2626613</v>
      </c>
      <c r="N13" s="823">
        <f t="shared" si="2"/>
        <v>4150000</v>
      </c>
      <c r="O13" s="823">
        <f t="shared" si="2"/>
        <v>2980000</v>
      </c>
      <c r="P13" s="823">
        <f t="shared" si="2"/>
        <v>2626613</v>
      </c>
      <c r="Q13" s="823">
        <f t="shared" si="2"/>
        <v>0</v>
      </c>
      <c r="R13" s="823">
        <f t="shared" si="2"/>
        <v>0</v>
      </c>
      <c r="S13" s="823">
        <f t="shared" si="2"/>
        <v>0</v>
      </c>
      <c r="T13" s="823">
        <f t="shared" si="2"/>
        <v>0</v>
      </c>
      <c r="U13" s="823">
        <f t="shared" si="2"/>
        <v>4150000</v>
      </c>
      <c r="V13" s="823">
        <f t="shared" si="2"/>
        <v>0</v>
      </c>
      <c r="W13" s="823">
        <f t="shared" si="2"/>
        <v>1850000</v>
      </c>
      <c r="X13" s="823">
        <f t="shared" si="2"/>
        <v>0</v>
      </c>
      <c r="Y13" s="823">
        <f t="shared" si="2"/>
        <v>0</v>
      </c>
      <c r="Z13" s="823">
        <f t="shared" si="2"/>
        <v>0</v>
      </c>
      <c r="AA13" s="823">
        <f t="shared" si="2"/>
        <v>2300000</v>
      </c>
      <c r="AB13" s="822"/>
      <c r="AC13" s="821"/>
      <c r="AD13" s="821"/>
      <c r="AE13" s="821"/>
      <c r="AF13" s="821"/>
      <c r="AG13" s="821"/>
      <c r="AH13" s="821"/>
      <c r="AI13" s="821"/>
      <c r="AJ13" s="824"/>
      <c r="AK13" s="824"/>
      <c r="AL13" s="825"/>
      <c r="AM13" s="679"/>
    </row>
    <row r="14" spans="1:39" ht="90">
      <c r="A14" s="350">
        <v>7</v>
      </c>
      <c r="B14" s="552">
        <f>'תקציב אגף המיחשוב 2022'!B10</f>
        <v>2082</v>
      </c>
      <c r="C14" s="788" t="str">
        <f>'תקציב אגף המיחשוב 2022'!C10</f>
        <v>הקמת אתר עירוני , פורטל ומע. לניהול פניות (*) עדכון שם</v>
      </c>
      <c r="D14" s="553">
        <f>'תקציב אגף המיחשוב 2022'!D10</f>
        <v>1200000</v>
      </c>
      <c r="E14" s="553">
        <f>'תקציב אגף המיחשוב 2022'!E10</f>
        <v>1000000</v>
      </c>
      <c r="F14" s="553">
        <f>'תקציב אגף המיחשוב 2022'!F10</f>
        <v>200000</v>
      </c>
      <c r="G14" s="553">
        <f>'תקציב אגף המיחשוב 2022'!G10</f>
        <v>200000</v>
      </c>
      <c r="H14" s="553">
        <f>'תקציב אגף המיחשוב 2022'!H10</f>
        <v>27574</v>
      </c>
      <c r="I14" s="553">
        <f>'תקציב אגף המיחשוב 2022'!I10</f>
        <v>0</v>
      </c>
      <c r="J14" s="553">
        <f>'תקציב אגף המיחשוב 2022'!J10</f>
        <v>22561</v>
      </c>
      <c r="K14" s="553">
        <f>'תקציב אגף המיחשוב 2022'!K10</f>
        <v>22561</v>
      </c>
      <c r="L14" s="553">
        <f>'תקציב אגף המיחשוב 2022'!L10</f>
        <v>50135</v>
      </c>
      <c r="M14" s="553">
        <f>'תקציב אגף המיחשוב 2022'!M10</f>
        <v>149865</v>
      </c>
      <c r="N14" s="553">
        <f>'תקציב אגף המיחשוב 2022'!N10</f>
        <v>1000000</v>
      </c>
      <c r="O14" s="553">
        <f>'תקציב אגף המיחשוב 2022'!O10</f>
        <v>0</v>
      </c>
      <c r="P14" s="553">
        <f>'תקציב אגף המיחשוב 2022'!P10</f>
        <v>149865</v>
      </c>
      <c r="Q14" s="553">
        <f>'תקציב אגף המיחשוב 2022'!Q10</f>
        <v>0</v>
      </c>
      <c r="R14" s="553">
        <f>'תקציב אגף המיחשוב 2022'!R10</f>
        <v>0</v>
      </c>
      <c r="S14" s="553">
        <f>'תקציב אגף המיחשוב 2022'!S10</f>
        <v>0</v>
      </c>
      <c r="T14" s="553">
        <f>'תקציב אגף המיחשוב 2022'!T10</f>
        <v>0</v>
      </c>
      <c r="U14" s="553">
        <f>'תקציב אגף המיחשוב 2022'!U10</f>
        <v>1000000</v>
      </c>
      <c r="V14" s="553">
        <f>'תקציב אגף המיחשוב 2022'!V10</f>
        <v>0</v>
      </c>
      <c r="W14" s="553">
        <f>'תקציב אגף המיחשוב 2022'!W10</f>
        <v>1000000</v>
      </c>
      <c r="X14" s="553">
        <f>'תקציב אגף המיחשוב 2022'!X10</f>
        <v>0</v>
      </c>
      <c r="Y14" s="553">
        <f>'תקציב אגף המיחשוב 2022'!Y10</f>
        <v>0</v>
      </c>
      <c r="Z14" s="553">
        <f>'תקציב אגף המיחשוב 2022'!Z10</f>
        <v>0</v>
      </c>
      <c r="AA14" s="553">
        <f>'תקציב אגף המיחשוב 2022'!AA10</f>
        <v>0</v>
      </c>
      <c r="AB14" s="788" t="str">
        <f>'תקציב אגף המיחשוב 2022'!AB10</f>
        <v>הקמת אתר עירוני חדש מתקדם , ידידותי ומותאם לכלל הצרכים העירוניים כולל מימשקים לתושבים ומימשקים למערכות התפעוליות . האתר יהיה רספונסיבי  בנוסף מתן מענה לפורטל האירגוני על בסיס אותה תשתית.</v>
      </c>
      <c r="AC14" s="552">
        <f>'תקציב אגף המיחשוב 2022'!AC10</f>
        <v>760000</v>
      </c>
      <c r="AD14" s="552" t="s">
        <v>1880</v>
      </c>
      <c r="AE14" s="552" t="s">
        <v>1881</v>
      </c>
      <c r="AF14" s="552" t="s">
        <v>1882</v>
      </c>
      <c r="AG14" s="552"/>
      <c r="AH14" s="552"/>
      <c r="AI14" s="552"/>
      <c r="AJ14" s="541"/>
      <c r="AK14" s="541"/>
      <c r="AL14" s="675"/>
      <c r="AM14" s="669"/>
    </row>
    <row r="15" spans="1:39" ht="90">
      <c r="A15" s="552">
        <v>8</v>
      </c>
      <c r="B15" s="552">
        <f>'תקציב אגף המיחשוב 2022'!B12</f>
        <v>2170</v>
      </c>
      <c r="C15" s="788" t="str">
        <f>'תקציב אגף המיחשוב 2022'!C12</f>
        <v xml:space="preserve">מיזמים קהילתיים </v>
      </c>
      <c r="D15" s="553">
        <f>'תקציב אגף המיחשוב 2022'!D12</f>
        <v>360000</v>
      </c>
      <c r="E15" s="553">
        <f>'תקציב אגף המיחשוב 2022'!E12</f>
        <v>280000</v>
      </c>
      <c r="F15" s="553">
        <f>'תקציב אגף המיחשוב 2022'!F12</f>
        <v>80000</v>
      </c>
      <c r="G15" s="553">
        <f>'תקציב אגף המיחשוב 2022'!G12</f>
        <v>160000</v>
      </c>
      <c r="H15" s="553">
        <f>'תקציב אגף המיחשוב 2022'!H12</f>
        <v>112689</v>
      </c>
      <c r="I15" s="553">
        <f>'תקציב אגף המיחשוב 2022'!I12</f>
        <v>0</v>
      </c>
      <c r="J15" s="553">
        <f>'תקציב אגף המיחשוב 2022'!J12</f>
        <v>0</v>
      </c>
      <c r="K15" s="553">
        <f>'תקציב אגף המיחשוב 2022'!K12</f>
        <v>0</v>
      </c>
      <c r="L15" s="553">
        <f>'תקציב אגף המיחשוב 2022'!L12</f>
        <v>112689</v>
      </c>
      <c r="M15" s="553">
        <f>'תקציב אגף המיחשוב 2022'!M12</f>
        <v>47311</v>
      </c>
      <c r="N15" s="553">
        <f>'תקציב אגף המיחשוב 2022'!N12</f>
        <v>200000</v>
      </c>
      <c r="O15" s="553">
        <f>'תקציב אגף המיחשוב 2022'!O12</f>
        <v>0</v>
      </c>
      <c r="P15" s="553">
        <f>'תקציב אגף המיחשוב 2022'!P12</f>
        <v>47311</v>
      </c>
      <c r="Q15" s="553">
        <f>'תקציב אגף המיחשוב 2022'!Q12</f>
        <v>0</v>
      </c>
      <c r="R15" s="553">
        <f>'תקציב אגף המיחשוב 2022'!R12</f>
        <v>0</v>
      </c>
      <c r="S15" s="553">
        <f>'תקציב אגף המיחשוב 2022'!S12</f>
        <v>0</v>
      </c>
      <c r="T15" s="553">
        <f>'תקציב אגף המיחשוב 2022'!T12</f>
        <v>0</v>
      </c>
      <c r="U15" s="553">
        <f>'תקציב אגף המיחשוב 2022'!U12</f>
        <v>200000</v>
      </c>
      <c r="V15" s="553">
        <f>'תקציב אגף המיחשוב 2022'!V12</f>
        <v>0</v>
      </c>
      <c r="W15" s="553">
        <f>'תקציב אגף המיחשוב 2022'!W12</f>
        <v>200000</v>
      </c>
      <c r="X15" s="553">
        <f>'תקציב אגף המיחשוב 2022'!X12</f>
        <v>0</v>
      </c>
      <c r="Y15" s="553">
        <f>'תקציב אגף המיחשוב 2022'!Y12</f>
        <v>0</v>
      </c>
      <c r="Z15" s="553">
        <f>'תקציב אגף המיחשוב 2022'!Z12</f>
        <v>0</v>
      </c>
      <c r="AA15" s="553">
        <f>'תקציב אגף המיחשוב 2022'!AA12</f>
        <v>0</v>
      </c>
      <c r="AB15" s="788" t="str">
        <f>'תקציב אגף המיחשוב 2022'!AB12</f>
        <v xml:space="preserve"> הקמת מערכת ניטור קולי התראות לפיקוח במסגרת עיר חכמה. הכל בשיתוף פעולה עם מרכז היזמות העירוני. פרויקט השקייה חכמה , מערכת לניהול פדגוגי בניהול אפליקציה ייעודית לגננות , ניהול דאטה בענן, מיזם לחיסכון אנרגיה.</v>
      </c>
      <c r="AC15" s="552">
        <f>'תקציב אגף המיחשוב 2022'!AC12</f>
        <v>760000</v>
      </c>
      <c r="AD15" s="552" t="s">
        <v>1885</v>
      </c>
      <c r="AE15" s="552" t="s">
        <v>1885</v>
      </c>
      <c r="AF15" s="552"/>
      <c r="AG15" s="552"/>
      <c r="AH15" s="552"/>
      <c r="AI15" s="552"/>
      <c r="AJ15" s="541"/>
      <c r="AK15" s="541"/>
      <c r="AL15" s="675"/>
      <c r="AM15" s="669"/>
    </row>
    <row r="16" spans="1:39" ht="45">
      <c r="A16" s="552">
        <v>9</v>
      </c>
      <c r="B16" s="552">
        <f>'תקציב אגף המיחשוב 2022'!B13</f>
        <v>2188</v>
      </c>
      <c r="C16" s="788" t="str">
        <f>'תקציב אגף המיחשוב 2022'!C13</f>
        <v xml:space="preserve">ציוד מחשוב היקפי ללמידה מרחוק </v>
      </c>
      <c r="D16" s="553">
        <f>'תקציב אגף המיחשוב 2022'!D13</f>
        <v>4328000</v>
      </c>
      <c r="E16" s="553">
        <f>'תקציב אגף המיחשוב 2022'!E13</f>
        <v>4328000</v>
      </c>
      <c r="F16" s="553">
        <f>'תקציב אגף המיחשוב 2022'!F13</f>
        <v>0</v>
      </c>
      <c r="G16" s="553">
        <f>'תקציב אגף המיחשוב 2022'!G13</f>
        <v>4328000</v>
      </c>
      <c r="H16" s="553">
        <f>'תקציב אגף המיחשוב 2022'!H13</f>
        <v>3717986</v>
      </c>
      <c r="I16" s="553">
        <f>'תקציב אגף המיחשוב 2022'!I13</f>
        <v>0</v>
      </c>
      <c r="J16" s="553">
        <f>'תקציב אגף המיחשוב 2022'!J13</f>
        <v>13766</v>
      </c>
      <c r="K16" s="553">
        <f>'תקציב אגף המיחשוב 2022'!K13</f>
        <v>13766</v>
      </c>
      <c r="L16" s="553">
        <f>'תקציב אגף המיחשוב 2022'!L13</f>
        <v>3731752</v>
      </c>
      <c r="M16" s="553">
        <f>'תקציב אגף המיחשוב 2022'!M13</f>
        <v>596248</v>
      </c>
      <c r="N16" s="553">
        <f>'תקציב אגף המיחשוב 2022'!N13</f>
        <v>0</v>
      </c>
      <c r="O16" s="553">
        <f>'תקציב אגף המיחשוב 2022'!O13</f>
        <v>0</v>
      </c>
      <c r="P16" s="553">
        <f>'תקציב אגף המיחשוב 2022'!P13</f>
        <v>596248</v>
      </c>
      <c r="Q16" s="553">
        <f>'תקציב אגף המיחשוב 2022'!Q13</f>
        <v>0</v>
      </c>
      <c r="R16" s="553">
        <f>'תקציב אגף המיחשוב 2022'!R13</f>
        <v>0</v>
      </c>
      <c r="S16" s="553">
        <f>'תקציב אגף המיחשוב 2022'!S13</f>
        <v>0</v>
      </c>
      <c r="T16" s="553">
        <f>'תקציב אגף המיחשוב 2022'!T13</f>
        <v>0</v>
      </c>
      <c r="U16" s="553">
        <f>'תקציב אגף המיחשוב 2022'!U13</f>
        <v>0</v>
      </c>
      <c r="V16" s="553">
        <f>'תקציב אגף המיחשוב 2022'!V13</f>
        <v>0</v>
      </c>
      <c r="W16" s="553">
        <f>'תקציב אגף המיחשוב 2022'!W13</f>
        <v>0</v>
      </c>
      <c r="X16" s="553">
        <f>'תקציב אגף המיחשוב 2022'!X13</f>
        <v>0</v>
      </c>
      <c r="Y16" s="553">
        <f>'תקציב אגף המיחשוב 2022'!Y13</f>
        <v>0</v>
      </c>
      <c r="Z16" s="553">
        <f>'תקציב אגף המיחשוב 2022'!Z13</f>
        <v>0</v>
      </c>
      <c r="AA16" s="553">
        <f>'תקציב אגף המיחשוב 2022'!AA13</f>
        <v>0</v>
      </c>
      <c r="AB16" s="788" t="str">
        <f>'תקציב אגף המיחשוב 2022'!AB13</f>
        <v>סל הצטיידות מיחשוב היקפי לקידום למידה דיגיטלית מרחוק בבי"ס. ציוד מיחשוב מחודש. מימון מ. החינוך.</v>
      </c>
      <c r="AC16" s="552">
        <f>'תקציב אגף המיחשוב 2022'!AC13</f>
        <v>810000</v>
      </c>
      <c r="AD16" s="552"/>
      <c r="AE16" s="552"/>
      <c r="AF16" s="555"/>
      <c r="AG16" s="552"/>
      <c r="AH16" s="552"/>
      <c r="AI16" s="552"/>
      <c r="AJ16" s="541"/>
      <c r="AK16" s="541"/>
      <c r="AL16" s="675"/>
      <c r="AM16" s="669"/>
    </row>
    <row r="17" spans="1:39" s="414" customFormat="1" ht="25.15" customHeight="1">
      <c r="A17" s="821"/>
      <c r="B17" s="821"/>
      <c r="C17" s="822" t="s">
        <v>804</v>
      </c>
      <c r="D17" s="823">
        <f>SUM(D14:D16)</f>
        <v>5888000</v>
      </c>
      <c r="E17" s="823">
        <f t="shared" ref="E17:AA17" si="3">SUM(E14:E16)</f>
        <v>5608000</v>
      </c>
      <c r="F17" s="823">
        <f t="shared" si="3"/>
        <v>280000</v>
      </c>
      <c r="G17" s="823">
        <f t="shared" si="3"/>
        <v>4688000</v>
      </c>
      <c r="H17" s="823">
        <f t="shared" si="3"/>
        <v>3858249</v>
      </c>
      <c r="I17" s="823">
        <f t="shared" si="3"/>
        <v>0</v>
      </c>
      <c r="J17" s="823">
        <f t="shared" si="3"/>
        <v>36327</v>
      </c>
      <c r="K17" s="823">
        <f t="shared" si="3"/>
        <v>36327</v>
      </c>
      <c r="L17" s="823">
        <f t="shared" si="3"/>
        <v>3894576</v>
      </c>
      <c r="M17" s="823">
        <f t="shared" si="3"/>
        <v>793424</v>
      </c>
      <c r="N17" s="823">
        <f t="shared" si="3"/>
        <v>1200000</v>
      </c>
      <c r="O17" s="823">
        <f t="shared" si="3"/>
        <v>0</v>
      </c>
      <c r="P17" s="823">
        <f t="shared" si="3"/>
        <v>793424</v>
      </c>
      <c r="Q17" s="823">
        <f t="shared" si="3"/>
        <v>0</v>
      </c>
      <c r="R17" s="823">
        <f t="shared" si="3"/>
        <v>0</v>
      </c>
      <c r="S17" s="823">
        <f t="shared" si="3"/>
        <v>0</v>
      </c>
      <c r="T17" s="823">
        <f t="shared" si="3"/>
        <v>0</v>
      </c>
      <c r="U17" s="823">
        <f t="shared" si="3"/>
        <v>1200000</v>
      </c>
      <c r="V17" s="823">
        <f t="shared" si="3"/>
        <v>0</v>
      </c>
      <c r="W17" s="823">
        <f t="shared" si="3"/>
        <v>1200000</v>
      </c>
      <c r="X17" s="823">
        <f t="shared" si="3"/>
        <v>0</v>
      </c>
      <c r="Y17" s="823">
        <f t="shared" si="3"/>
        <v>0</v>
      </c>
      <c r="Z17" s="823">
        <f t="shared" si="3"/>
        <v>0</v>
      </c>
      <c r="AA17" s="823">
        <f t="shared" si="3"/>
        <v>0</v>
      </c>
      <c r="AB17" s="822"/>
      <c r="AC17" s="821"/>
      <c r="AD17" s="821"/>
      <c r="AE17" s="821"/>
      <c r="AF17" s="828"/>
      <c r="AG17" s="821"/>
      <c r="AH17" s="821"/>
      <c r="AI17" s="821"/>
      <c r="AJ17" s="824"/>
      <c r="AK17" s="824"/>
      <c r="AL17" s="825"/>
      <c r="AM17" s="679"/>
    </row>
    <row r="18" spans="1:39" ht="25.15" customHeight="1">
      <c r="A18" s="302">
        <f>COUNT(B5:B16)</f>
        <v>9</v>
      </c>
      <c r="B18" s="555"/>
      <c r="C18" s="556" t="s">
        <v>409</v>
      </c>
      <c r="D18" s="65">
        <f>D17+D13+D8+D6</f>
        <v>74318000</v>
      </c>
      <c r="E18" s="65">
        <f t="shared" ref="E18:AA18" si="4">E17+E13+E8+E6</f>
        <v>58798000</v>
      </c>
      <c r="F18" s="65">
        <f t="shared" si="4"/>
        <v>15520000</v>
      </c>
      <c r="G18" s="65">
        <f t="shared" si="4"/>
        <v>42391000</v>
      </c>
      <c r="H18" s="65">
        <f t="shared" si="4"/>
        <v>30329540</v>
      </c>
      <c r="I18" s="65">
        <f t="shared" si="4"/>
        <v>54300</v>
      </c>
      <c r="J18" s="65">
        <f t="shared" si="4"/>
        <v>7304816</v>
      </c>
      <c r="K18" s="65">
        <f t="shared" si="4"/>
        <v>7359116</v>
      </c>
      <c r="L18" s="65">
        <f t="shared" si="4"/>
        <v>37688656</v>
      </c>
      <c r="M18" s="65">
        <f t="shared" si="4"/>
        <v>4702344</v>
      </c>
      <c r="N18" s="65">
        <f t="shared" si="4"/>
        <v>14650000</v>
      </c>
      <c r="O18" s="65">
        <f t="shared" si="4"/>
        <v>17277000</v>
      </c>
      <c r="P18" s="65">
        <f t="shared" si="4"/>
        <v>4702344</v>
      </c>
      <c r="Q18" s="65">
        <f t="shared" si="4"/>
        <v>0</v>
      </c>
      <c r="R18" s="65">
        <f t="shared" si="4"/>
        <v>0</v>
      </c>
      <c r="S18" s="65">
        <f t="shared" si="4"/>
        <v>0</v>
      </c>
      <c r="T18" s="65">
        <f t="shared" si="4"/>
        <v>0</v>
      </c>
      <c r="U18" s="65">
        <f t="shared" si="4"/>
        <v>14650000</v>
      </c>
      <c r="V18" s="65">
        <f t="shared" si="4"/>
        <v>8900000</v>
      </c>
      <c r="W18" s="65">
        <f t="shared" si="4"/>
        <v>3450000</v>
      </c>
      <c r="X18" s="65">
        <f t="shared" si="4"/>
        <v>0</v>
      </c>
      <c r="Y18" s="65">
        <f t="shared" si="4"/>
        <v>0</v>
      </c>
      <c r="Z18" s="65">
        <f t="shared" si="4"/>
        <v>0</v>
      </c>
      <c r="AA18" s="65">
        <f t="shared" si="4"/>
        <v>2300000</v>
      </c>
      <c r="AB18" s="555"/>
      <c r="AC18" s="555"/>
      <c r="AD18" s="555"/>
      <c r="AE18" s="555"/>
      <c r="AF18" s="555"/>
      <c r="AG18" s="552"/>
      <c r="AH18" s="552"/>
      <c r="AI18" s="552"/>
      <c r="AJ18" s="65">
        <f>SUM(AJ5:AJ16)</f>
        <v>-3000000</v>
      </c>
      <c r="AK18" s="65">
        <f>SUM(AK5:AK16)</f>
        <v>0</v>
      </c>
      <c r="AL18" s="65">
        <f>SUM(AL5:AL16)</f>
        <v>10550000</v>
      </c>
      <c r="AM18" s="65">
        <f>SUM(AM5:AM16)</f>
        <v>10050000</v>
      </c>
    </row>
    <row r="19" spans="1:39" ht="15" hidden="1">
      <c r="A19" s="558"/>
      <c r="B19" s="559"/>
      <c r="C19" s="559"/>
      <c r="D19" s="560"/>
      <c r="E19" s="560"/>
      <c r="F19" s="560"/>
      <c r="G19" s="560"/>
      <c r="H19" s="560"/>
      <c r="I19" s="560"/>
      <c r="J19" s="560"/>
      <c r="K19" s="560"/>
      <c r="L19" s="560">
        <f>K18+H18</f>
        <v>37688656</v>
      </c>
      <c r="M19" s="560">
        <f>P19+S18-T18</f>
        <v>4702344</v>
      </c>
      <c r="N19" s="560"/>
      <c r="O19" s="560"/>
      <c r="P19" s="560">
        <f>G18-L18</f>
        <v>4702344</v>
      </c>
      <c r="Q19" s="560"/>
      <c r="R19" s="560"/>
      <c r="S19" s="560"/>
      <c r="T19" s="560"/>
      <c r="U19" s="560"/>
      <c r="V19" s="559"/>
      <c r="W19" s="559"/>
      <c r="X19" s="559"/>
      <c r="Y19" s="559"/>
      <c r="Z19" s="559"/>
      <c r="AA19" s="559"/>
      <c r="AB19" s="558"/>
      <c r="AC19" s="559"/>
      <c r="AD19" s="559"/>
      <c r="AE19" s="559"/>
      <c r="AF19" s="557"/>
      <c r="AG19" s="557"/>
      <c r="AH19" s="557"/>
      <c r="AI19" s="557"/>
      <c r="AJ19" s="557"/>
      <c r="AK19" s="557"/>
      <c r="AL19" s="680"/>
    </row>
    <row r="20" spans="1:39" ht="15">
      <c r="A20" s="558"/>
      <c r="B20" s="559"/>
      <c r="C20" s="559"/>
      <c r="D20" s="560"/>
      <c r="E20" s="560"/>
      <c r="F20" s="560"/>
      <c r="G20" s="560"/>
      <c r="H20" s="560"/>
      <c r="I20" s="560"/>
      <c r="J20" s="560"/>
      <c r="K20" s="560"/>
      <c r="L20" s="560"/>
      <c r="M20" s="560"/>
      <c r="N20" s="560"/>
      <c r="O20" s="560"/>
      <c r="P20" s="560"/>
      <c r="Q20" s="560"/>
      <c r="R20" s="560"/>
      <c r="S20" s="560"/>
      <c r="T20" s="560"/>
      <c r="U20" s="559"/>
      <c r="V20" s="559"/>
      <c r="W20" s="559"/>
      <c r="X20" s="559"/>
      <c r="Y20" s="559"/>
      <c r="Z20" s="559"/>
      <c r="AA20" s="559"/>
      <c r="AB20" s="558"/>
      <c r="AC20" s="559"/>
      <c r="AD20" s="559"/>
      <c r="AE20" s="559"/>
      <c r="AF20" s="557"/>
      <c r="AG20" s="557"/>
      <c r="AH20" s="557"/>
      <c r="AI20" s="557"/>
      <c r="AJ20" s="557"/>
      <c r="AK20" s="557"/>
      <c r="AL20" s="680"/>
    </row>
    <row r="21" spans="1:39" ht="15">
      <c r="A21" s="558"/>
      <c r="B21" s="559"/>
      <c r="C21" s="559"/>
      <c r="D21" s="560"/>
      <c r="E21" s="560"/>
      <c r="F21" s="560"/>
      <c r="G21" s="560"/>
      <c r="H21" s="560"/>
      <c r="I21" s="560"/>
      <c r="J21" s="560"/>
      <c r="K21" s="560"/>
      <c r="L21" s="560"/>
      <c r="M21" s="560"/>
      <c r="N21" s="560"/>
      <c r="O21" s="560"/>
      <c r="P21" s="560"/>
      <c r="Q21" s="560"/>
      <c r="R21" s="560"/>
      <c r="S21" s="560"/>
      <c r="T21" s="560"/>
      <c r="U21" s="559"/>
      <c r="V21" s="559"/>
      <c r="W21" s="559"/>
      <c r="X21" s="559"/>
      <c r="Y21" s="559"/>
      <c r="Z21" s="559"/>
      <c r="AA21" s="559"/>
      <c r="AB21" s="558"/>
      <c r="AC21" s="559"/>
      <c r="AD21" s="559"/>
      <c r="AE21" s="559"/>
      <c r="AF21" s="557"/>
      <c r="AG21" s="557"/>
      <c r="AH21" s="557"/>
      <c r="AI21" s="557"/>
      <c r="AJ21" s="557"/>
      <c r="AK21" s="557"/>
      <c r="AL21" s="680"/>
    </row>
    <row r="22" spans="1:39" ht="15">
      <c r="A22" s="558"/>
      <c r="B22" s="559"/>
      <c r="C22" s="559"/>
      <c r="D22" s="560"/>
      <c r="E22" s="560"/>
      <c r="F22" s="560"/>
      <c r="G22" s="560"/>
      <c r="H22" s="560"/>
      <c r="I22" s="560"/>
      <c r="J22" s="560"/>
      <c r="K22" s="560"/>
      <c r="L22" s="560"/>
      <c r="M22" s="560"/>
      <c r="N22" s="560"/>
      <c r="O22" s="560"/>
      <c r="P22" s="560"/>
      <c r="Q22" s="560"/>
      <c r="R22" s="560"/>
      <c r="S22" s="560"/>
      <c r="T22" s="560"/>
      <c r="U22" s="559"/>
      <c r="V22" s="559"/>
      <c r="W22" s="559"/>
      <c r="X22" s="559"/>
      <c r="Y22" s="559"/>
      <c r="Z22" s="559"/>
      <c r="AA22" s="559"/>
      <c r="AB22" s="558"/>
      <c r="AC22" s="559"/>
      <c r="AD22" s="559"/>
      <c r="AE22" s="559"/>
      <c r="AF22" s="557"/>
      <c r="AG22" s="557"/>
      <c r="AH22" s="557"/>
      <c r="AI22" s="557"/>
      <c r="AJ22" s="557"/>
      <c r="AK22" s="557"/>
      <c r="AL22" s="680"/>
    </row>
    <row r="23" spans="1:39" ht="15">
      <c r="A23" s="558"/>
      <c r="B23" s="559"/>
      <c r="C23" s="559"/>
      <c r="D23" s="560"/>
      <c r="E23" s="560"/>
      <c r="F23" s="560"/>
      <c r="G23" s="560"/>
      <c r="H23" s="560"/>
      <c r="I23" s="560"/>
      <c r="J23" s="560"/>
      <c r="K23" s="560"/>
      <c r="L23" s="560"/>
      <c r="M23" s="560"/>
      <c r="N23" s="560"/>
      <c r="O23" s="560"/>
      <c r="P23" s="560"/>
      <c r="Q23" s="560"/>
      <c r="R23" s="560"/>
      <c r="S23" s="560"/>
      <c r="T23" s="560"/>
      <c r="U23" s="559"/>
      <c r="V23" s="559"/>
      <c r="W23" s="559"/>
      <c r="X23" s="559"/>
      <c r="Y23" s="559"/>
      <c r="Z23" s="559"/>
      <c r="AA23" s="559"/>
      <c r="AB23" s="558"/>
      <c r="AC23" s="559"/>
      <c r="AD23" s="559"/>
      <c r="AE23" s="559"/>
      <c r="AF23" s="557"/>
      <c r="AG23" s="557"/>
      <c r="AH23" s="557"/>
      <c r="AI23" s="557"/>
      <c r="AJ23" s="557"/>
      <c r="AK23" s="557"/>
      <c r="AL23" s="680"/>
    </row>
    <row r="24" spans="1:39" ht="15">
      <c r="A24" s="558"/>
      <c r="B24" s="559"/>
      <c r="C24" s="559"/>
      <c r="D24" s="560"/>
      <c r="E24" s="560"/>
      <c r="F24" s="560"/>
      <c r="G24" s="560"/>
      <c r="H24" s="560"/>
      <c r="I24" s="560"/>
      <c r="J24" s="560"/>
      <c r="K24" s="560"/>
      <c r="L24" s="560"/>
      <c r="M24" s="560"/>
      <c r="N24" s="560"/>
      <c r="O24" s="560"/>
      <c r="P24" s="560"/>
      <c r="Q24" s="560"/>
      <c r="R24" s="560"/>
      <c r="S24" s="560"/>
      <c r="T24" s="560"/>
      <c r="U24" s="559"/>
      <c r="V24" s="559"/>
      <c r="W24" s="559"/>
      <c r="X24" s="559"/>
      <c r="Y24" s="559"/>
      <c r="Z24" s="559"/>
      <c r="AA24" s="559"/>
      <c r="AB24" s="558"/>
      <c r="AC24" s="559"/>
      <c r="AD24" s="559"/>
      <c r="AE24" s="557"/>
      <c r="AF24" s="557"/>
      <c r="AG24" s="557"/>
      <c r="AH24" s="557"/>
      <c r="AI24" s="557"/>
      <c r="AJ24" s="557"/>
      <c r="AK24" s="557"/>
      <c r="AL24" s="680"/>
    </row>
    <row r="25" spans="1:39" ht="15">
      <c r="AE25" s="559"/>
    </row>
    <row r="26" spans="1:39" ht="15">
      <c r="AE26" s="559"/>
    </row>
  </sheetData>
  <sortState ref="A5:AM13">
    <sortCondition ref="AC5:AC13"/>
  </sortState>
  <conditionalFormatting sqref="A2:W3 Z2:AA2 Z1:AB1 Z3:AB4 X1:Y4 B4:L4 V4:W4 AC1:AD6 A1:M1 O1:W1 AF1:AG3 AJ1:AJ3 AF16:AF18 A21:AG23 A24:AL24 AD15:AD18 AF19:AG20 A19:AD20 AE15:AE20 AH19:AL23 B7:B18 AD7:AD13 B5:AB6 C7:AC16 AB17:AC18 C17:AA17">
    <cfRule type="cellIs" dxfId="90" priority="38" operator="equal">
      <formula>0</formula>
    </cfRule>
  </conditionalFormatting>
  <conditionalFormatting sqref="AD14">
    <cfRule type="cellIs" dxfId="89" priority="26" operator="equal">
      <formula>0</formula>
    </cfRule>
  </conditionalFormatting>
  <conditionalFormatting sqref="AB2">
    <cfRule type="cellIs" dxfId="88" priority="24" operator="equal">
      <formula>0</formula>
    </cfRule>
  </conditionalFormatting>
  <conditionalFormatting sqref="AE1:AE13 AE25:AE26">
    <cfRule type="cellIs" dxfId="87" priority="22" operator="equal">
      <formula>0</formula>
    </cfRule>
  </conditionalFormatting>
  <conditionalFormatting sqref="AE14">
    <cfRule type="cellIs" dxfId="86" priority="21" operator="equal">
      <formula>0</formula>
    </cfRule>
  </conditionalFormatting>
  <conditionalFormatting sqref="AF5:AF15">
    <cfRule type="cellIs" dxfId="85" priority="20" operator="equal">
      <formula>0</formula>
    </cfRule>
  </conditionalFormatting>
  <conditionalFormatting sqref="AF4:AG4">
    <cfRule type="cellIs" dxfId="84" priority="19" operator="equal">
      <formula>0</formula>
    </cfRule>
  </conditionalFormatting>
  <conditionalFormatting sqref="A13:A17">
    <cfRule type="cellIs" dxfId="83" priority="18" operator="equal">
      <formula>0</formula>
    </cfRule>
  </conditionalFormatting>
  <conditionalFormatting sqref="A13:A17">
    <cfRule type="cellIs" dxfId="82" priority="17" operator="equal">
      <formula>0</formula>
    </cfRule>
  </conditionalFormatting>
  <conditionalFormatting sqref="A5:A12">
    <cfRule type="cellIs" dxfId="81" priority="16" operator="equal">
      <formula>0</formula>
    </cfRule>
  </conditionalFormatting>
  <conditionalFormatting sqref="AG5:AG17">
    <cfRule type="cellIs" dxfId="80" priority="15" operator="equal">
      <formula>0</formula>
    </cfRule>
  </conditionalFormatting>
  <conditionalFormatting sqref="AG18">
    <cfRule type="cellIs" dxfId="79" priority="14" operator="equal">
      <formula>0</formula>
    </cfRule>
  </conditionalFormatting>
  <conditionalFormatting sqref="AH1:AH3">
    <cfRule type="cellIs" dxfId="78" priority="13" operator="equal">
      <formula>0</formula>
    </cfRule>
  </conditionalFormatting>
  <conditionalFormatting sqref="AH4">
    <cfRule type="cellIs" dxfId="77" priority="12" operator="equal">
      <formula>0</formula>
    </cfRule>
  </conditionalFormatting>
  <conditionalFormatting sqref="AH5:AH17">
    <cfRule type="cellIs" dxfId="76" priority="11" operator="equal">
      <formula>0</formula>
    </cfRule>
  </conditionalFormatting>
  <conditionalFormatting sqref="AH18">
    <cfRule type="cellIs" dxfId="75" priority="10" operator="equal">
      <formula>0</formula>
    </cfRule>
  </conditionalFormatting>
  <conditionalFormatting sqref="AJ5:AJ17">
    <cfRule type="cellIs" dxfId="74" priority="9" operator="equal">
      <formula>0</formula>
    </cfRule>
  </conditionalFormatting>
  <conditionalFormatting sqref="AI1:AI3">
    <cfRule type="cellIs" dxfId="73" priority="8" operator="equal">
      <formula>0</formula>
    </cfRule>
  </conditionalFormatting>
  <conditionalFormatting sqref="AI5:AI17">
    <cfRule type="cellIs" dxfId="72" priority="7" operator="equal">
      <formula>0</formula>
    </cfRule>
  </conditionalFormatting>
  <conditionalFormatting sqref="AI18">
    <cfRule type="cellIs" dxfId="71" priority="6" operator="equal">
      <formula>0</formula>
    </cfRule>
  </conditionalFormatting>
  <conditionalFormatting sqref="AL1:AL3">
    <cfRule type="cellIs" dxfId="70" priority="5" operator="equal">
      <formula>0</formula>
    </cfRule>
  </conditionalFormatting>
  <conditionalFormatting sqref="AL5:AL17">
    <cfRule type="cellIs" dxfId="69" priority="4" operator="equal">
      <formula>0</formula>
    </cfRule>
  </conditionalFormatting>
  <conditionalFormatting sqref="AM5:AM17">
    <cfRule type="cellIs" dxfId="68" priority="3" operator="equal">
      <formula>0</formula>
    </cfRule>
  </conditionalFormatting>
  <conditionalFormatting sqref="AK1:AK3">
    <cfRule type="cellIs" dxfId="67" priority="2" operator="equal">
      <formula>0</formula>
    </cfRule>
  </conditionalFormatting>
  <conditionalFormatting sqref="AK5:AK17">
    <cfRule type="cellIs" dxfId="66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3:Q13"/>
  <sheetViews>
    <sheetView showZeros="0" rightToLeft="1" workbookViewId="0">
      <selection activeCell="C55" sqref="C55"/>
    </sheetView>
  </sheetViews>
  <sheetFormatPr defaultColWidth="9.140625" defaultRowHeight="14.25"/>
  <cols>
    <col min="1" max="3" width="4.140625" style="295" customWidth="1"/>
    <col min="4" max="4" width="34.85546875" style="295" customWidth="1"/>
    <col min="5" max="5" width="30.42578125" style="295" customWidth="1"/>
    <col min="6" max="6" width="10.85546875" style="295" customWidth="1"/>
    <col min="7" max="7" width="5.5703125" style="295" customWidth="1"/>
    <col min="8" max="9" width="12.140625" style="295" customWidth="1"/>
    <col min="10" max="10" width="7.85546875" style="295" customWidth="1"/>
    <col min="11" max="16384" width="9.140625" style="295"/>
  </cols>
  <sheetData>
    <row r="3" spans="1:17" ht="20.25">
      <c r="A3" s="294"/>
      <c r="C3" s="296" t="s">
        <v>380</v>
      </c>
      <c r="D3" s="294"/>
      <c r="E3" s="294"/>
      <c r="F3" s="294"/>
      <c r="G3" s="294"/>
      <c r="H3" s="294"/>
      <c r="I3" s="294"/>
      <c r="J3" s="294"/>
      <c r="K3" s="294"/>
      <c r="L3" s="294"/>
    </row>
    <row r="4" spans="1:17" ht="20.25">
      <c r="A4" s="294"/>
      <c r="C4" s="296"/>
      <c r="D4" s="294"/>
      <c r="E4" s="294"/>
      <c r="F4" s="294"/>
      <c r="G4" s="294"/>
      <c r="H4" s="294"/>
      <c r="I4" s="294"/>
      <c r="J4" s="294"/>
      <c r="K4" s="294"/>
      <c r="L4" s="294"/>
    </row>
    <row r="5" spans="1:17" ht="21" thickBot="1">
      <c r="A5" s="294"/>
      <c r="C5" s="296"/>
      <c r="D5" s="294"/>
      <c r="E5" s="294"/>
      <c r="F5" s="294"/>
      <c r="G5" s="294"/>
      <c r="H5" s="294"/>
      <c r="I5" s="294"/>
      <c r="J5" s="294"/>
      <c r="K5" s="294"/>
      <c r="L5" s="294"/>
    </row>
    <row r="6" spans="1:17" ht="16.5" thickBot="1">
      <c r="A6" s="294"/>
      <c r="B6" s="297" t="s">
        <v>160</v>
      </c>
      <c r="C6" s="294" t="s">
        <v>2389</v>
      </c>
      <c r="D6" s="294"/>
      <c r="E6" s="294"/>
      <c r="F6" s="298">
        <f>'תקציב אגף נכסים וביטוח 2022 '!U17</f>
        <v>1090000</v>
      </c>
      <c r="I6" s="294"/>
      <c r="J6" s="294"/>
      <c r="K6" s="294"/>
      <c r="L6" s="294"/>
    </row>
    <row r="7" spans="1:17" ht="15.75">
      <c r="B7" s="297"/>
      <c r="C7" s="294"/>
      <c r="D7" s="294"/>
      <c r="E7" s="294"/>
      <c r="F7" s="294"/>
      <c r="H7" s="294"/>
      <c r="I7" s="294"/>
      <c r="J7" s="294"/>
      <c r="K7" s="294"/>
      <c r="L7" s="294"/>
      <c r="M7" s="294"/>
      <c r="N7" s="294"/>
      <c r="O7" s="294"/>
      <c r="P7" s="294"/>
      <c r="Q7" s="294"/>
    </row>
    <row r="8" spans="1:17" ht="15.75">
      <c r="B8" s="297" t="s">
        <v>160</v>
      </c>
      <c r="C8" s="294" t="s">
        <v>286</v>
      </c>
      <c r="D8" s="294"/>
      <c r="E8" s="294"/>
      <c r="F8" s="294"/>
      <c r="G8" s="294"/>
      <c r="H8" s="294"/>
      <c r="I8" s="294"/>
      <c r="J8" s="294"/>
      <c r="K8" s="294"/>
      <c r="L8" s="294"/>
    </row>
    <row r="9" spans="1:17" ht="15.75">
      <c r="B9" s="297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</row>
    <row r="10" spans="1:17" ht="15.75">
      <c r="B10" s="297" t="s">
        <v>160</v>
      </c>
      <c r="C10" s="294" t="s">
        <v>474</v>
      </c>
      <c r="D10" s="294"/>
      <c r="F10" s="294"/>
      <c r="H10" s="299"/>
      <c r="I10" s="294"/>
      <c r="J10" s="294"/>
      <c r="K10" s="294"/>
      <c r="L10" s="294"/>
      <c r="M10" s="294"/>
      <c r="N10" s="294"/>
      <c r="O10" s="294"/>
      <c r="P10" s="294"/>
      <c r="Q10" s="294"/>
    </row>
    <row r="11" spans="1:17" ht="15.75">
      <c r="C11" s="294" t="s">
        <v>287</v>
      </c>
      <c r="D11" s="294"/>
      <c r="E11" s="294"/>
      <c r="F11" s="294"/>
      <c r="H11" s="294"/>
      <c r="I11" s="294"/>
      <c r="J11" s="294"/>
      <c r="K11" s="294"/>
      <c r="L11" s="294"/>
    </row>
    <row r="12" spans="1:17" ht="15.75">
      <c r="B12" s="297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</row>
    <row r="13" spans="1:17" ht="15.75">
      <c r="B13" s="297"/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E18"/>
  <sheetViews>
    <sheetView showZeros="0" rightToLeft="1" zoomScaleNormal="100" workbookViewId="0">
      <pane xSplit="3" ySplit="4" topLeftCell="D11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8.85546875" defaultRowHeight="15"/>
  <cols>
    <col min="1" max="1" width="3.28515625" style="153" customWidth="1"/>
    <col min="2" max="2" width="4.5703125" style="152" customWidth="1"/>
    <col min="3" max="3" width="29.5703125" style="152" customWidth="1"/>
    <col min="4" max="6" width="10.140625" style="156" customWidth="1"/>
    <col min="7" max="8" width="9.85546875" style="156" hidden="1" customWidth="1"/>
    <col min="9" max="10" width="9.42578125" style="156" hidden="1" customWidth="1"/>
    <col min="11" max="11" width="10.140625" style="156" hidden="1" customWidth="1"/>
    <col min="12" max="15" width="10.140625" style="156" customWidth="1"/>
    <col min="16" max="16" width="9.85546875" style="156" hidden="1" customWidth="1"/>
    <col min="17" max="19" width="9.42578125" style="156" hidden="1" customWidth="1"/>
    <col min="20" max="20" width="10.140625" style="156" customWidth="1"/>
    <col min="21" max="22" width="10.140625" style="152" customWidth="1"/>
    <col min="23" max="23" width="11.5703125" style="152" hidden="1" customWidth="1"/>
    <col min="24" max="26" width="9.85546875" style="152" hidden="1" customWidth="1"/>
    <col min="27" max="27" width="9.42578125" style="152" hidden="1" customWidth="1"/>
    <col min="28" max="28" width="31.7109375" style="152" customWidth="1"/>
    <col min="29" max="29" width="7.7109375" style="152" hidden="1" customWidth="1"/>
    <col min="30" max="16384" width="8.85546875" style="152"/>
  </cols>
  <sheetData>
    <row r="1" spans="1:31" s="172" customFormat="1" ht="18.75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</row>
    <row r="2" spans="1:31" ht="18.75">
      <c r="A2" s="189" t="s">
        <v>380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</row>
    <row r="3" spans="1:31" ht="21" customHeight="1"/>
    <row r="4" spans="1:31" s="173" customFormat="1" ht="86.25" customHeight="1">
      <c r="A4" s="151" t="s">
        <v>0</v>
      </c>
      <c r="B4" s="151" t="s">
        <v>1</v>
      </c>
      <c r="C4" s="151" t="s">
        <v>2</v>
      </c>
      <c r="D4" s="151" t="s">
        <v>3</v>
      </c>
      <c r="E4" s="151" t="s">
        <v>4</v>
      </c>
      <c r="F4" s="151" t="s">
        <v>5</v>
      </c>
      <c r="G4" s="151" t="s">
        <v>6</v>
      </c>
      <c r="H4" s="151" t="s">
        <v>7</v>
      </c>
      <c r="I4" s="151" t="s">
        <v>9</v>
      </c>
      <c r="J4" s="151" t="s">
        <v>153</v>
      </c>
      <c r="K4" s="151" t="s">
        <v>10</v>
      </c>
      <c r="L4" s="151" t="s">
        <v>11</v>
      </c>
      <c r="M4" s="9" t="s">
        <v>891</v>
      </c>
      <c r="N4" s="9" t="s">
        <v>892</v>
      </c>
      <c r="O4" s="9" t="s">
        <v>893</v>
      </c>
      <c r="P4" s="9" t="s">
        <v>12</v>
      </c>
      <c r="Q4" s="9" t="s">
        <v>894</v>
      </c>
      <c r="R4" s="9" t="s">
        <v>895</v>
      </c>
      <c r="S4" s="9" t="s">
        <v>896</v>
      </c>
      <c r="T4" s="9" t="s">
        <v>897</v>
      </c>
      <c r="U4" s="9" t="s">
        <v>898</v>
      </c>
      <c r="V4" s="151" t="s">
        <v>13</v>
      </c>
      <c r="W4" s="151" t="s">
        <v>14</v>
      </c>
      <c r="X4" s="151" t="s">
        <v>15</v>
      </c>
      <c r="Y4" s="151" t="s">
        <v>265</v>
      </c>
      <c r="Z4" s="151" t="s">
        <v>749</v>
      </c>
      <c r="AA4" s="151" t="s">
        <v>84</v>
      </c>
      <c r="AB4" s="561" t="s">
        <v>304</v>
      </c>
      <c r="AC4" s="151" t="s">
        <v>16</v>
      </c>
    </row>
    <row r="5" spans="1:31" s="158" customFormat="1" ht="45">
      <c r="A5" s="159">
        <v>1</v>
      </c>
      <c r="B5" s="160">
        <v>470</v>
      </c>
      <c r="C5" s="159" t="s">
        <v>65</v>
      </c>
      <c r="D5" s="140">
        <v>2130000</v>
      </c>
      <c r="E5" s="140">
        <v>2130000</v>
      </c>
      <c r="F5" s="140">
        <f t="shared" ref="F5:F14" si="0">D5-E5</f>
        <v>0</v>
      </c>
      <c r="G5" s="140">
        <v>1830000</v>
      </c>
      <c r="H5" s="140">
        <v>1737007</v>
      </c>
      <c r="I5" s="140">
        <v>0</v>
      </c>
      <c r="J5" s="140">
        <v>0</v>
      </c>
      <c r="K5" s="140">
        <f>SUM(I5:J5)</f>
        <v>0</v>
      </c>
      <c r="L5" s="140">
        <f t="shared" ref="L5:L16" si="1">H5+K5</f>
        <v>1737007</v>
      </c>
      <c r="M5" s="140">
        <f>P5+S5-90000</f>
        <v>2993</v>
      </c>
      <c r="N5" s="140">
        <v>90000</v>
      </c>
      <c r="O5" s="140">
        <f t="shared" ref="O5:O16" si="2">D5-L5-M5-N5</f>
        <v>300000</v>
      </c>
      <c r="P5" s="140">
        <f t="shared" ref="P5:P16" si="3">G5-L5</f>
        <v>92993</v>
      </c>
      <c r="Q5" s="140"/>
      <c r="R5" s="140"/>
      <c r="S5" s="140">
        <f t="shared" ref="S5:S16" si="4">SUM(Q5:R5)</f>
        <v>0</v>
      </c>
      <c r="T5" s="140">
        <f t="shared" ref="T5:T16" si="5">P5-M5+S5</f>
        <v>90000</v>
      </c>
      <c r="U5" s="140">
        <f t="shared" ref="U5:U16" si="6">N5-T5</f>
        <v>0</v>
      </c>
      <c r="V5" s="140">
        <f t="shared" ref="V5:V16" si="7">U5-W5-Z5-AA5</f>
        <v>0</v>
      </c>
      <c r="W5" s="140"/>
      <c r="X5" s="140"/>
      <c r="Y5" s="140"/>
      <c r="Z5" s="140"/>
      <c r="AA5" s="159"/>
      <c r="AB5" s="363" t="s">
        <v>376</v>
      </c>
      <c r="AC5" s="159">
        <v>935000</v>
      </c>
      <c r="AD5" s="279"/>
      <c r="AE5" s="279"/>
    </row>
    <row r="6" spans="1:31" s="158" customFormat="1" ht="30" customHeight="1">
      <c r="A6" s="159">
        <f>A5+1</f>
        <v>2</v>
      </c>
      <c r="B6" s="160">
        <v>1066</v>
      </c>
      <c r="C6" s="159" t="s">
        <v>66</v>
      </c>
      <c r="D6" s="140">
        <v>75000</v>
      </c>
      <c r="E6" s="140">
        <v>75000</v>
      </c>
      <c r="F6" s="140">
        <f t="shared" si="0"/>
        <v>0</v>
      </c>
      <c r="G6" s="140">
        <v>75000</v>
      </c>
      <c r="H6" s="140">
        <v>40172</v>
      </c>
      <c r="I6" s="140">
        <v>0</v>
      </c>
      <c r="J6" s="140">
        <v>0</v>
      </c>
      <c r="K6" s="140">
        <f t="shared" ref="K6:K16" si="8">SUM(I6:J6)</f>
        <v>0</v>
      </c>
      <c r="L6" s="140">
        <f t="shared" si="1"/>
        <v>40172</v>
      </c>
      <c r="M6" s="140">
        <f>P6+S6-30000</f>
        <v>4828</v>
      </c>
      <c r="N6" s="140">
        <v>30000</v>
      </c>
      <c r="O6" s="140">
        <f t="shared" si="2"/>
        <v>0</v>
      </c>
      <c r="P6" s="140">
        <f t="shared" si="3"/>
        <v>34828</v>
      </c>
      <c r="Q6" s="140"/>
      <c r="R6" s="140"/>
      <c r="S6" s="140">
        <f t="shared" si="4"/>
        <v>0</v>
      </c>
      <c r="T6" s="140">
        <f t="shared" si="5"/>
        <v>30000</v>
      </c>
      <c r="U6" s="140">
        <f t="shared" si="6"/>
        <v>0</v>
      </c>
      <c r="V6" s="140">
        <f t="shared" si="7"/>
        <v>0</v>
      </c>
      <c r="W6" s="140"/>
      <c r="X6" s="140"/>
      <c r="Y6" s="140"/>
      <c r="Z6" s="140"/>
      <c r="AA6" s="159"/>
      <c r="AB6" s="364" t="s">
        <v>404</v>
      </c>
      <c r="AC6" s="159">
        <v>935000</v>
      </c>
      <c r="AD6" s="279"/>
      <c r="AE6" s="279"/>
    </row>
    <row r="7" spans="1:31" s="158" customFormat="1" ht="30" customHeight="1">
      <c r="A7" s="159">
        <f t="shared" ref="A7:A16" si="9">A6+1</f>
        <v>3</v>
      </c>
      <c r="B7" s="160">
        <v>1177</v>
      </c>
      <c r="C7" s="159" t="s">
        <v>67</v>
      </c>
      <c r="D7" s="140">
        <v>41850000</v>
      </c>
      <c r="E7" s="140">
        <v>41850000</v>
      </c>
      <c r="F7" s="140">
        <f t="shared" si="0"/>
        <v>0</v>
      </c>
      <c r="G7" s="140">
        <v>28957000</v>
      </c>
      <c r="H7" s="140">
        <v>26727455</v>
      </c>
      <c r="I7" s="140">
        <v>0</v>
      </c>
      <c r="J7" s="140">
        <v>0</v>
      </c>
      <c r="K7" s="140">
        <f t="shared" si="8"/>
        <v>0</v>
      </c>
      <c r="L7" s="140">
        <f t="shared" si="1"/>
        <v>26727455</v>
      </c>
      <c r="M7" s="140">
        <f>P7+S7-2200000</f>
        <v>29545</v>
      </c>
      <c r="N7" s="140">
        <v>2200000</v>
      </c>
      <c r="O7" s="140">
        <f t="shared" si="2"/>
        <v>12893000</v>
      </c>
      <c r="P7" s="140">
        <f t="shared" si="3"/>
        <v>2229545</v>
      </c>
      <c r="Q7" s="140"/>
      <c r="R7" s="140"/>
      <c r="S7" s="140">
        <f t="shared" si="4"/>
        <v>0</v>
      </c>
      <c r="T7" s="140">
        <f t="shared" si="5"/>
        <v>2200000</v>
      </c>
      <c r="U7" s="140">
        <f t="shared" si="6"/>
        <v>0</v>
      </c>
      <c r="V7" s="140">
        <f t="shared" si="7"/>
        <v>0</v>
      </c>
      <c r="W7" s="140"/>
      <c r="X7" s="140"/>
      <c r="Y7" s="140"/>
      <c r="Z7" s="140"/>
      <c r="AA7" s="159"/>
      <c r="AB7" s="364" t="s">
        <v>405</v>
      </c>
      <c r="AC7" s="159">
        <v>930000</v>
      </c>
      <c r="AD7" s="279"/>
      <c r="AE7" s="279"/>
    </row>
    <row r="8" spans="1:31" s="158" customFormat="1" ht="30" customHeight="1">
      <c r="A8" s="159">
        <f t="shared" si="9"/>
        <v>4</v>
      </c>
      <c r="B8" s="160">
        <v>1258</v>
      </c>
      <c r="C8" s="159" t="s">
        <v>68</v>
      </c>
      <c r="D8" s="140">
        <v>1400000</v>
      </c>
      <c r="E8" s="140">
        <v>1400000</v>
      </c>
      <c r="F8" s="140">
        <f t="shared" si="0"/>
        <v>0</v>
      </c>
      <c r="G8" s="140">
        <v>950000</v>
      </c>
      <c r="H8" s="140">
        <v>894110</v>
      </c>
      <c r="I8" s="140">
        <v>0</v>
      </c>
      <c r="J8" s="140">
        <v>0</v>
      </c>
      <c r="K8" s="140">
        <f t="shared" si="8"/>
        <v>0</v>
      </c>
      <c r="L8" s="140">
        <f t="shared" si="1"/>
        <v>894110</v>
      </c>
      <c r="M8" s="140">
        <f>P8+S8</f>
        <v>55890</v>
      </c>
      <c r="N8" s="140">
        <v>350000</v>
      </c>
      <c r="O8" s="140">
        <f t="shared" si="2"/>
        <v>100000</v>
      </c>
      <c r="P8" s="140">
        <f t="shared" si="3"/>
        <v>55890</v>
      </c>
      <c r="Q8" s="140"/>
      <c r="R8" s="140"/>
      <c r="S8" s="140">
        <f t="shared" si="4"/>
        <v>0</v>
      </c>
      <c r="T8" s="140">
        <f t="shared" si="5"/>
        <v>0</v>
      </c>
      <c r="U8" s="140">
        <f t="shared" si="6"/>
        <v>350000</v>
      </c>
      <c r="V8" s="140">
        <f t="shared" si="7"/>
        <v>350000</v>
      </c>
      <c r="W8" s="140"/>
      <c r="X8" s="140"/>
      <c r="Y8" s="140"/>
      <c r="Z8" s="140"/>
      <c r="AA8" s="159"/>
      <c r="AB8" s="365" t="s">
        <v>299</v>
      </c>
      <c r="AC8" s="159">
        <v>930000</v>
      </c>
      <c r="AD8" s="279"/>
      <c r="AE8" s="279"/>
    </row>
    <row r="9" spans="1:31" s="158" customFormat="1" ht="30" customHeight="1">
      <c r="A9" s="159">
        <f t="shared" si="9"/>
        <v>5</v>
      </c>
      <c r="B9" s="160">
        <v>1330</v>
      </c>
      <c r="C9" s="159" t="s">
        <v>69</v>
      </c>
      <c r="D9" s="140">
        <v>60700000</v>
      </c>
      <c r="E9" s="140">
        <v>60700000</v>
      </c>
      <c r="F9" s="140">
        <f t="shared" si="0"/>
        <v>0</v>
      </c>
      <c r="G9" s="140">
        <v>17249825</v>
      </c>
      <c r="H9" s="140">
        <v>7567471</v>
      </c>
      <c r="I9" s="140">
        <v>0</v>
      </c>
      <c r="J9" s="140">
        <v>0</v>
      </c>
      <c r="K9" s="140">
        <f t="shared" si="8"/>
        <v>0</v>
      </c>
      <c r="L9" s="140">
        <f t="shared" si="1"/>
        <v>7567471</v>
      </c>
      <c r="M9" s="140">
        <f>P9+S9-9600000</f>
        <v>82354</v>
      </c>
      <c r="N9" s="140">
        <v>9600000</v>
      </c>
      <c r="O9" s="140">
        <f t="shared" si="2"/>
        <v>43450175</v>
      </c>
      <c r="P9" s="140">
        <f t="shared" si="3"/>
        <v>9682354</v>
      </c>
      <c r="Q9" s="140"/>
      <c r="R9" s="140"/>
      <c r="S9" s="140">
        <f t="shared" si="4"/>
        <v>0</v>
      </c>
      <c r="T9" s="140">
        <f t="shared" si="5"/>
        <v>9600000</v>
      </c>
      <c r="U9" s="140">
        <f t="shared" si="6"/>
        <v>0</v>
      </c>
      <c r="V9" s="140">
        <f t="shared" si="7"/>
        <v>0</v>
      </c>
      <c r="W9" s="140"/>
      <c r="X9" s="140"/>
      <c r="Y9" s="140"/>
      <c r="Z9" s="140"/>
      <c r="AA9" s="159"/>
      <c r="AB9" s="364" t="s">
        <v>406</v>
      </c>
      <c r="AC9" s="159">
        <v>930000</v>
      </c>
      <c r="AD9" s="279"/>
      <c r="AE9" s="279"/>
    </row>
    <row r="10" spans="1:31" s="158" customFormat="1" ht="45">
      <c r="A10" s="159">
        <f t="shared" si="9"/>
        <v>6</v>
      </c>
      <c r="B10" s="159">
        <v>1704</v>
      </c>
      <c r="C10" s="159" t="s">
        <v>70</v>
      </c>
      <c r="D10" s="140">
        <v>5784000</v>
      </c>
      <c r="E10" s="140">
        <v>5784000</v>
      </c>
      <c r="F10" s="140">
        <f t="shared" si="0"/>
        <v>0</v>
      </c>
      <c r="G10" s="140">
        <v>40000</v>
      </c>
      <c r="H10" s="140">
        <v>37961</v>
      </c>
      <c r="I10" s="140">
        <v>0</v>
      </c>
      <c r="J10" s="140">
        <v>0</v>
      </c>
      <c r="K10" s="140">
        <f t="shared" si="8"/>
        <v>0</v>
      </c>
      <c r="L10" s="140">
        <f t="shared" si="1"/>
        <v>37961</v>
      </c>
      <c r="M10" s="140">
        <f>P10+S10</f>
        <v>2039</v>
      </c>
      <c r="N10" s="140">
        <v>1540000</v>
      </c>
      <c r="O10" s="140">
        <f t="shared" si="2"/>
        <v>4204000</v>
      </c>
      <c r="P10" s="140">
        <f t="shared" si="3"/>
        <v>2039</v>
      </c>
      <c r="Q10" s="140"/>
      <c r="R10" s="140"/>
      <c r="S10" s="140">
        <f t="shared" si="4"/>
        <v>0</v>
      </c>
      <c r="T10" s="140">
        <f t="shared" si="5"/>
        <v>0</v>
      </c>
      <c r="U10" s="140">
        <f t="shared" si="6"/>
        <v>1540000</v>
      </c>
      <c r="V10" s="140">
        <f t="shared" si="7"/>
        <v>1540000</v>
      </c>
      <c r="W10" s="140"/>
      <c r="X10" s="140"/>
      <c r="Y10" s="140"/>
      <c r="Z10" s="140"/>
      <c r="AA10" s="159"/>
      <c r="AB10" s="365" t="s">
        <v>378</v>
      </c>
      <c r="AC10" s="159">
        <v>930000</v>
      </c>
      <c r="AD10" s="279"/>
      <c r="AE10" s="279"/>
    </row>
    <row r="11" spans="1:31" s="5" customFormat="1" ht="30" customHeight="1">
      <c r="A11" s="159">
        <f t="shared" si="9"/>
        <v>7</v>
      </c>
      <c r="B11" s="3">
        <v>1805</v>
      </c>
      <c r="C11" s="3" t="s">
        <v>107</v>
      </c>
      <c r="D11" s="4">
        <v>2250000</v>
      </c>
      <c r="E11" s="4">
        <v>2250000</v>
      </c>
      <c r="F11" s="4">
        <f t="shared" si="0"/>
        <v>0</v>
      </c>
      <c r="G11" s="4">
        <v>2250000</v>
      </c>
      <c r="H11" s="4">
        <v>29019</v>
      </c>
      <c r="I11" s="4">
        <v>0</v>
      </c>
      <c r="J11" s="4">
        <v>12003</v>
      </c>
      <c r="K11" s="4">
        <f t="shared" si="8"/>
        <v>12003</v>
      </c>
      <c r="L11" s="4">
        <f t="shared" si="1"/>
        <v>41022</v>
      </c>
      <c r="M11" s="4">
        <f>P11+S11-2200000</f>
        <v>8978</v>
      </c>
      <c r="N11" s="4">
        <f>2200000-1200000-200000</f>
        <v>800000</v>
      </c>
      <c r="O11" s="4">
        <f>D11-L11-M11-N11</f>
        <v>1400000</v>
      </c>
      <c r="P11" s="4">
        <f>G11-L11</f>
        <v>2208978</v>
      </c>
      <c r="Q11" s="4"/>
      <c r="R11" s="4"/>
      <c r="S11" s="4">
        <f>SUM(Q11:R11)</f>
        <v>0</v>
      </c>
      <c r="T11" s="4">
        <f>P11-M11+S11</f>
        <v>2200000</v>
      </c>
      <c r="U11" s="4">
        <f>N11-T11</f>
        <v>-1400000</v>
      </c>
      <c r="V11" s="4">
        <f>U11-AA11-W11-Z11</f>
        <v>-1400000</v>
      </c>
      <c r="W11" s="4"/>
      <c r="X11" s="4"/>
      <c r="Y11" s="4"/>
      <c r="Z11" s="4"/>
      <c r="AA11" s="3"/>
      <c r="AB11" s="3" t="s">
        <v>519</v>
      </c>
      <c r="AC11" s="3">
        <v>742000</v>
      </c>
    </row>
    <row r="12" spans="1:31" s="158" customFormat="1" ht="30" customHeight="1">
      <c r="A12" s="159">
        <f t="shared" si="9"/>
        <v>8</v>
      </c>
      <c r="B12" s="160">
        <v>1983</v>
      </c>
      <c r="C12" s="159" t="s">
        <v>144</v>
      </c>
      <c r="D12" s="140">
        <v>800000</v>
      </c>
      <c r="E12" s="140">
        <v>800000</v>
      </c>
      <c r="F12" s="140">
        <f t="shared" si="0"/>
        <v>0</v>
      </c>
      <c r="G12" s="140">
        <v>100000</v>
      </c>
      <c r="H12" s="140">
        <v>10249</v>
      </c>
      <c r="I12" s="140">
        <v>0</v>
      </c>
      <c r="J12" s="140">
        <v>0</v>
      </c>
      <c r="K12" s="140">
        <f t="shared" si="8"/>
        <v>0</v>
      </c>
      <c r="L12" s="140">
        <f t="shared" si="1"/>
        <v>10249</v>
      </c>
      <c r="M12" s="140">
        <f>P12+S12-80000</f>
        <v>9751</v>
      </c>
      <c r="N12" s="140">
        <v>80000</v>
      </c>
      <c r="O12" s="140">
        <f t="shared" si="2"/>
        <v>700000</v>
      </c>
      <c r="P12" s="140">
        <f t="shared" si="3"/>
        <v>89751</v>
      </c>
      <c r="Q12" s="140"/>
      <c r="R12" s="140"/>
      <c r="S12" s="140">
        <f t="shared" si="4"/>
        <v>0</v>
      </c>
      <c r="T12" s="140">
        <f t="shared" si="5"/>
        <v>80000</v>
      </c>
      <c r="U12" s="140">
        <f t="shared" si="6"/>
        <v>0</v>
      </c>
      <c r="V12" s="140">
        <f t="shared" si="7"/>
        <v>0</v>
      </c>
      <c r="W12" s="140"/>
      <c r="X12" s="140"/>
      <c r="Y12" s="140"/>
      <c r="Z12" s="140"/>
      <c r="AA12" s="159"/>
      <c r="AB12" s="365" t="s">
        <v>300</v>
      </c>
      <c r="AC12" s="159">
        <v>930000</v>
      </c>
      <c r="AD12" s="279"/>
      <c r="AE12" s="279"/>
    </row>
    <row r="13" spans="1:31" s="158" customFormat="1" ht="30" customHeight="1">
      <c r="A13" s="159">
        <f t="shared" si="9"/>
        <v>9</v>
      </c>
      <c r="B13" s="160">
        <v>1993</v>
      </c>
      <c r="C13" s="159" t="s">
        <v>159</v>
      </c>
      <c r="D13" s="140">
        <v>6000000</v>
      </c>
      <c r="E13" s="140">
        <v>6000000</v>
      </c>
      <c r="F13" s="140">
        <f t="shared" si="0"/>
        <v>0</v>
      </c>
      <c r="G13" s="140">
        <v>6000000</v>
      </c>
      <c r="H13" s="140">
        <v>2653188</v>
      </c>
      <c r="I13" s="140">
        <v>2630028</v>
      </c>
      <c r="J13" s="140">
        <v>0</v>
      </c>
      <c r="K13" s="140">
        <f t="shared" si="8"/>
        <v>2630028</v>
      </c>
      <c r="L13" s="140">
        <f t="shared" si="1"/>
        <v>5283216</v>
      </c>
      <c r="M13" s="140">
        <f>P13+S13-700000</f>
        <v>16784</v>
      </c>
      <c r="N13" s="140">
        <v>700000</v>
      </c>
      <c r="O13" s="140">
        <f t="shared" si="2"/>
        <v>0</v>
      </c>
      <c r="P13" s="140">
        <f t="shared" si="3"/>
        <v>716784</v>
      </c>
      <c r="Q13" s="140"/>
      <c r="R13" s="140"/>
      <c r="S13" s="140">
        <f t="shared" si="4"/>
        <v>0</v>
      </c>
      <c r="T13" s="140">
        <f t="shared" si="5"/>
        <v>700000</v>
      </c>
      <c r="U13" s="140">
        <f t="shared" si="6"/>
        <v>0</v>
      </c>
      <c r="V13" s="140">
        <f t="shared" si="7"/>
        <v>0</v>
      </c>
      <c r="W13" s="140"/>
      <c r="X13" s="140"/>
      <c r="Y13" s="140"/>
      <c r="Z13" s="140"/>
      <c r="AA13" s="159"/>
      <c r="AB13" s="364" t="s">
        <v>379</v>
      </c>
      <c r="AC13" s="159">
        <v>930000</v>
      </c>
      <c r="AD13" s="279"/>
      <c r="AE13" s="279"/>
    </row>
    <row r="14" spans="1:31" s="158" customFormat="1" ht="30" customHeight="1">
      <c r="A14" s="159">
        <f t="shared" si="9"/>
        <v>10</v>
      </c>
      <c r="B14" s="160">
        <v>2055</v>
      </c>
      <c r="C14" s="159" t="s">
        <v>373</v>
      </c>
      <c r="D14" s="140">
        <v>220000</v>
      </c>
      <c r="E14" s="140">
        <v>220000</v>
      </c>
      <c r="F14" s="140">
        <f t="shared" si="0"/>
        <v>0</v>
      </c>
      <c r="G14" s="140">
        <v>200000</v>
      </c>
      <c r="H14" s="140">
        <v>122292</v>
      </c>
      <c r="I14" s="140">
        <v>0</v>
      </c>
      <c r="J14" s="140">
        <v>0</v>
      </c>
      <c r="K14" s="140">
        <f t="shared" si="8"/>
        <v>0</v>
      </c>
      <c r="L14" s="140">
        <f t="shared" si="1"/>
        <v>122292</v>
      </c>
      <c r="M14" s="140">
        <f>P14+S14-70000</f>
        <v>7708</v>
      </c>
      <c r="N14" s="140">
        <v>70000</v>
      </c>
      <c r="O14" s="140">
        <f t="shared" si="2"/>
        <v>20000</v>
      </c>
      <c r="P14" s="140">
        <f t="shared" si="3"/>
        <v>77708</v>
      </c>
      <c r="Q14" s="140"/>
      <c r="R14" s="140"/>
      <c r="S14" s="140">
        <f t="shared" si="4"/>
        <v>0</v>
      </c>
      <c r="T14" s="140">
        <f t="shared" si="5"/>
        <v>70000</v>
      </c>
      <c r="U14" s="140">
        <f t="shared" si="6"/>
        <v>0</v>
      </c>
      <c r="V14" s="140">
        <f t="shared" si="7"/>
        <v>0</v>
      </c>
      <c r="W14" s="140"/>
      <c r="X14" s="140"/>
      <c r="Y14" s="140"/>
      <c r="Z14" s="140"/>
      <c r="AA14" s="159"/>
      <c r="AB14" s="364" t="s">
        <v>407</v>
      </c>
      <c r="AC14" s="159">
        <v>930000</v>
      </c>
      <c r="AD14" s="279"/>
      <c r="AE14" s="279"/>
    </row>
    <row r="15" spans="1:31" s="158" customFormat="1" ht="30" customHeight="1">
      <c r="A15" s="159">
        <f t="shared" si="9"/>
        <v>11</v>
      </c>
      <c r="B15" s="160">
        <v>2072</v>
      </c>
      <c r="C15" s="159" t="s">
        <v>451</v>
      </c>
      <c r="D15" s="140">
        <v>100000</v>
      </c>
      <c r="E15" s="140">
        <v>100000</v>
      </c>
      <c r="F15" s="140">
        <f>D15-E15</f>
        <v>0</v>
      </c>
      <c r="G15" s="140">
        <v>100000</v>
      </c>
      <c r="H15" s="140">
        <v>33379</v>
      </c>
      <c r="I15" s="140">
        <v>0</v>
      </c>
      <c r="J15" s="140">
        <v>0</v>
      </c>
      <c r="K15" s="140">
        <f t="shared" si="8"/>
        <v>0</v>
      </c>
      <c r="L15" s="140">
        <f t="shared" si="1"/>
        <v>33379</v>
      </c>
      <c r="M15" s="140">
        <f>P15+S15-60000</f>
        <v>6621</v>
      </c>
      <c r="N15" s="140">
        <v>60000</v>
      </c>
      <c r="O15" s="140">
        <f t="shared" si="2"/>
        <v>0</v>
      </c>
      <c r="P15" s="140">
        <f t="shared" si="3"/>
        <v>66621</v>
      </c>
      <c r="Q15" s="140"/>
      <c r="R15" s="140"/>
      <c r="S15" s="140">
        <f t="shared" si="4"/>
        <v>0</v>
      </c>
      <c r="T15" s="140">
        <f t="shared" si="5"/>
        <v>60000</v>
      </c>
      <c r="U15" s="140">
        <f t="shared" si="6"/>
        <v>0</v>
      </c>
      <c r="V15" s="140">
        <f t="shared" si="7"/>
        <v>0</v>
      </c>
      <c r="W15" s="140"/>
      <c r="X15" s="140"/>
      <c r="Y15" s="140"/>
      <c r="Z15" s="140"/>
      <c r="AA15" s="159"/>
      <c r="AB15" s="364" t="s">
        <v>408</v>
      </c>
      <c r="AC15" s="159">
        <v>930000</v>
      </c>
      <c r="AD15" s="279"/>
      <c r="AE15" s="279"/>
    </row>
    <row r="16" spans="1:31" s="158" customFormat="1" ht="30" customHeight="1">
      <c r="A16" s="159">
        <f t="shared" si="9"/>
        <v>12</v>
      </c>
      <c r="B16" s="160">
        <v>2223</v>
      </c>
      <c r="C16" s="159" t="s">
        <v>654</v>
      </c>
      <c r="D16" s="140">
        <v>600000</v>
      </c>
      <c r="E16" s="140">
        <v>500000</v>
      </c>
      <c r="F16" s="140">
        <f>D16-E16</f>
        <v>100000</v>
      </c>
      <c r="G16" s="140">
        <v>0</v>
      </c>
      <c r="H16" s="140">
        <v>0</v>
      </c>
      <c r="I16" s="140">
        <v>0</v>
      </c>
      <c r="J16" s="140">
        <v>0</v>
      </c>
      <c r="K16" s="140">
        <f t="shared" si="8"/>
        <v>0</v>
      </c>
      <c r="L16" s="140">
        <f t="shared" si="1"/>
        <v>0</v>
      </c>
      <c r="M16" s="140">
        <f>P16+S16</f>
        <v>0</v>
      </c>
      <c r="N16" s="140">
        <v>600000</v>
      </c>
      <c r="O16" s="140">
        <f t="shared" si="2"/>
        <v>0</v>
      </c>
      <c r="P16" s="140">
        <f t="shared" si="3"/>
        <v>0</v>
      </c>
      <c r="Q16" s="140"/>
      <c r="R16" s="140"/>
      <c r="S16" s="140">
        <f t="shared" si="4"/>
        <v>0</v>
      </c>
      <c r="T16" s="140">
        <f t="shared" si="5"/>
        <v>0</v>
      </c>
      <c r="U16" s="140">
        <f t="shared" si="6"/>
        <v>600000</v>
      </c>
      <c r="V16" s="140">
        <f t="shared" si="7"/>
        <v>600000</v>
      </c>
      <c r="W16" s="140"/>
      <c r="X16" s="140"/>
      <c r="Y16" s="140"/>
      <c r="Z16" s="140"/>
      <c r="AA16" s="159"/>
      <c r="AB16" s="364" t="s">
        <v>655</v>
      </c>
      <c r="AC16" s="159">
        <v>930000</v>
      </c>
      <c r="AD16" s="279"/>
      <c r="AE16" s="279"/>
    </row>
    <row r="17" spans="1:31" s="162" customFormat="1" ht="30" customHeight="1">
      <c r="A17" s="163">
        <f>A16</f>
        <v>12</v>
      </c>
      <c r="B17" s="163"/>
      <c r="C17" s="166" t="s">
        <v>389</v>
      </c>
      <c r="D17" s="169">
        <f t="shared" ref="D17:AA17" si="10">SUM(D5:D16)</f>
        <v>121909000</v>
      </c>
      <c r="E17" s="169">
        <f t="shared" si="10"/>
        <v>121809000</v>
      </c>
      <c r="F17" s="169">
        <f t="shared" si="10"/>
        <v>100000</v>
      </c>
      <c r="G17" s="169">
        <f t="shared" si="10"/>
        <v>57751825</v>
      </c>
      <c r="H17" s="169">
        <f t="shared" si="10"/>
        <v>39852303</v>
      </c>
      <c r="I17" s="169">
        <f t="shared" si="10"/>
        <v>2630028</v>
      </c>
      <c r="J17" s="169">
        <f t="shared" si="10"/>
        <v>12003</v>
      </c>
      <c r="K17" s="169">
        <f t="shared" si="10"/>
        <v>2642031</v>
      </c>
      <c r="L17" s="169">
        <f t="shared" si="10"/>
        <v>42494334</v>
      </c>
      <c r="M17" s="169">
        <f t="shared" si="10"/>
        <v>227491</v>
      </c>
      <c r="N17" s="169">
        <f t="shared" si="10"/>
        <v>16120000</v>
      </c>
      <c r="O17" s="169">
        <f t="shared" si="10"/>
        <v>63067175</v>
      </c>
      <c r="P17" s="169">
        <f t="shared" si="10"/>
        <v>15257491</v>
      </c>
      <c r="Q17" s="169">
        <f t="shared" si="10"/>
        <v>0</v>
      </c>
      <c r="R17" s="169">
        <f t="shared" si="10"/>
        <v>0</v>
      </c>
      <c r="S17" s="169">
        <f t="shared" si="10"/>
        <v>0</v>
      </c>
      <c r="T17" s="169">
        <f t="shared" si="10"/>
        <v>15030000</v>
      </c>
      <c r="U17" s="169">
        <f t="shared" si="10"/>
        <v>1090000</v>
      </c>
      <c r="V17" s="169">
        <f t="shared" si="10"/>
        <v>1090000</v>
      </c>
      <c r="W17" s="169">
        <f t="shared" si="10"/>
        <v>0</v>
      </c>
      <c r="X17" s="169">
        <f t="shared" si="10"/>
        <v>0</v>
      </c>
      <c r="Y17" s="169">
        <f t="shared" si="10"/>
        <v>0</v>
      </c>
      <c r="Z17" s="169">
        <f t="shared" si="10"/>
        <v>0</v>
      </c>
      <c r="AA17" s="169">
        <f t="shared" si="10"/>
        <v>0</v>
      </c>
      <c r="AB17" s="163"/>
      <c r="AC17" s="163"/>
      <c r="AD17" s="279"/>
      <c r="AE17" s="279"/>
    </row>
    <row r="18" spans="1:31" hidden="1">
      <c r="L18" s="156">
        <f>K17+H17</f>
        <v>42494334</v>
      </c>
      <c r="M18" s="156">
        <f>P18+S17-T17</f>
        <v>227491</v>
      </c>
      <c r="N18" s="156">
        <f>T17+U17</f>
        <v>16120000</v>
      </c>
      <c r="P18" s="156">
        <f>G17-L18</f>
        <v>15257491</v>
      </c>
    </row>
  </sheetData>
  <sheetProtection formatCells="0" formatColumns="0" formatRows="0" insertColumns="0" insertRows="0" insertHyperlinks="0" deleteColumns="0" deleteRows="0" sort="0" autoFilter="0" pivotTables="0"/>
  <conditionalFormatting sqref="AB4">
    <cfRule type="cellIs" dxfId="65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rowBreaks count="1" manualBreakCount="1">
    <brk id="18" max="27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E18"/>
  <sheetViews>
    <sheetView showZeros="0" rightToLeft="1" zoomScaleNormal="100" workbookViewId="0">
      <pane xSplit="3" ySplit="4" topLeftCell="D6" activePane="bottomRight" state="frozen"/>
      <selection activeCell="E41" sqref="E41"/>
      <selection pane="topRight" activeCell="E41" sqref="E41"/>
      <selection pane="bottomLeft" activeCell="E41" sqref="E41"/>
      <selection pane="bottomRight" activeCell="E41" sqref="E41"/>
    </sheetView>
  </sheetViews>
  <sheetFormatPr defaultColWidth="8.85546875" defaultRowHeight="15"/>
  <cols>
    <col min="1" max="1" width="3.28515625" style="153" customWidth="1"/>
    <col min="2" max="2" width="4.5703125" style="152" customWidth="1"/>
    <col min="3" max="3" width="29.5703125" style="152" customWidth="1"/>
    <col min="4" max="4" width="10.7109375" style="156" bestFit="1" customWidth="1"/>
    <col min="5" max="5" width="10.7109375" style="156" hidden="1" customWidth="1"/>
    <col min="6" max="6" width="9.42578125" style="156" hidden="1" customWidth="1"/>
    <col min="7" max="8" width="9.85546875" style="156" hidden="1" customWidth="1"/>
    <col min="9" max="10" width="9.42578125" style="156" hidden="1" customWidth="1"/>
    <col min="11" max="11" width="10.140625" style="156" hidden="1" customWidth="1"/>
    <col min="12" max="12" width="9.85546875" style="156" bestFit="1" customWidth="1"/>
    <col min="13" max="13" width="10.140625" style="156" customWidth="1"/>
    <col min="14" max="15" width="9.85546875" style="156" bestFit="1" customWidth="1"/>
    <col min="16" max="16" width="9.85546875" style="156" hidden="1" customWidth="1"/>
    <col min="17" max="19" width="9.42578125" style="156" hidden="1" customWidth="1"/>
    <col min="20" max="20" width="10" style="156" customWidth="1"/>
    <col min="21" max="22" width="9.42578125" style="152" customWidth="1"/>
    <col min="23" max="23" width="11.5703125" style="152" hidden="1" customWidth="1"/>
    <col min="24" max="26" width="9.85546875" style="152" hidden="1" customWidth="1"/>
    <col min="27" max="27" width="9.42578125" style="152" hidden="1" customWidth="1"/>
    <col min="28" max="28" width="31.7109375" style="152" customWidth="1"/>
    <col min="29" max="29" width="7.7109375" style="152" customWidth="1"/>
    <col min="30" max="16384" width="8.85546875" style="152"/>
  </cols>
  <sheetData>
    <row r="1" spans="1:31" s="172" customFormat="1" ht="18.75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</row>
    <row r="2" spans="1:31" ht="18.75">
      <c r="A2" s="189" t="s">
        <v>380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</row>
    <row r="3" spans="1:31" ht="21" customHeight="1"/>
    <row r="4" spans="1:31" s="173" customFormat="1" ht="86.25" customHeight="1">
      <c r="A4" s="151" t="s">
        <v>0</v>
      </c>
      <c r="B4" s="151" t="s">
        <v>1</v>
      </c>
      <c r="C4" s="151" t="s">
        <v>2</v>
      </c>
      <c r="D4" s="151" t="s">
        <v>3</v>
      </c>
      <c r="E4" s="151" t="s">
        <v>4</v>
      </c>
      <c r="F4" s="151" t="s">
        <v>5</v>
      </c>
      <c r="G4" s="151" t="s">
        <v>6</v>
      </c>
      <c r="H4" s="151" t="s">
        <v>7</v>
      </c>
      <c r="I4" s="151" t="s">
        <v>9</v>
      </c>
      <c r="J4" s="151" t="s">
        <v>153</v>
      </c>
      <c r="K4" s="151" t="s">
        <v>10</v>
      </c>
      <c r="L4" s="151" t="s">
        <v>11</v>
      </c>
      <c r="M4" s="9" t="s">
        <v>891</v>
      </c>
      <c r="N4" s="9" t="s">
        <v>892</v>
      </c>
      <c r="O4" s="9" t="s">
        <v>893</v>
      </c>
      <c r="P4" s="9" t="s">
        <v>12</v>
      </c>
      <c r="Q4" s="9" t="s">
        <v>894</v>
      </c>
      <c r="R4" s="9" t="s">
        <v>895</v>
      </c>
      <c r="S4" s="9" t="s">
        <v>896</v>
      </c>
      <c r="T4" s="9" t="s">
        <v>897</v>
      </c>
      <c r="U4" s="9" t="s">
        <v>898</v>
      </c>
      <c r="V4" s="151" t="s">
        <v>13</v>
      </c>
      <c r="W4" s="151" t="s">
        <v>14</v>
      </c>
      <c r="X4" s="151" t="s">
        <v>15</v>
      </c>
      <c r="Y4" s="151" t="s">
        <v>265</v>
      </c>
      <c r="Z4" s="151" t="s">
        <v>749</v>
      </c>
      <c r="AA4" s="151" t="s">
        <v>84</v>
      </c>
      <c r="AB4" s="561" t="s">
        <v>304</v>
      </c>
      <c r="AC4" s="151" t="s">
        <v>16</v>
      </c>
    </row>
    <row r="5" spans="1:31" s="158" customFormat="1" ht="45">
      <c r="A5" s="159">
        <v>1</v>
      </c>
      <c r="B5" s="160">
        <f>'תקציב אגף נכסים וביטוח 2022 '!B5</f>
        <v>470</v>
      </c>
      <c r="C5" s="292" t="str">
        <f>'תקציב אגף נכסים וביטוח 2022 '!C5</f>
        <v>פצוי והפקעה ב-6525/6 הר' 1704</v>
      </c>
      <c r="D5" s="140">
        <f>'תקציב אגף נכסים וביטוח 2022 '!D5</f>
        <v>2130000</v>
      </c>
      <c r="E5" s="140">
        <f>'תקציב אגף נכסים וביטוח 2022 '!E5</f>
        <v>2130000</v>
      </c>
      <c r="F5" s="140">
        <f>'תקציב אגף נכסים וביטוח 2022 '!F5</f>
        <v>0</v>
      </c>
      <c r="G5" s="140">
        <f>'תקציב אגף נכסים וביטוח 2022 '!G5</f>
        <v>1830000</v>
      </c>
      <c r="H5" s="140">
        <f>'תקציב אגף נכסים וביטוח 2022 '!H5</f>
        <v>1737007</v>
      </c>
      <c r="I5" s="140">
        <f>'תקציב אגף נכסים וביטוח 2022 '!I5</f>
        <v>0</v>
      </c>
      <c r="J5" s="140">
        <f>'תקציב אגף נכסים וביטוח 2022 '!J5</f>
        <v>0</v>
      </c>
      <c r="K5" s="140">
        <f>'תקציב אגף נכסים וביטוח 2022 '!K5</f>
        <v>0</v>
      </c>
      <c r="L5" s="140">
        <f>'תקציב אגף נכסים וביטוח 2022 '!L5</f>
        <v>1737007</v>
      </c>
      <c r="M5" s="140">
        <f>'תקציב אגף נכסים וביטוח 2022 '!M5</f>
        <v>2993</v>
      </c>
      <c r="N5" s="140">
        <f>'תקציב אגף נכסים וביטוח 2022 '!N5</f>
        <v>90000</v>
      </c>
      <c r="O5" s="140">
        <f>'תקציב אגף נכסים וביטוח 2022 '!O5</f>
        <v>300000</v>
      </c>
      <c r="P5" s="140">
        <f>'תקציב אגף נכסים וביטוח 2022 '!P5</f>
        <v>92993</v>
      </c>
      <c r="Q5" s="140">
        <f>'תקציב אגף נכסים וביטוח 2022 '!Q5</f>
        <v>0</v>
      </c>
      <c r="R5" s="140">
        <f>'תקציב אגף נכסים וביטוח 2022 '!R5</f>
        <v>0</v>
      </c>
      <c r="S5" s="140">
        <f>'תקציב אגף נכסים וביטוח 2022 '!S5</f>
        <v>0</v>
      </c>
      <c r="T5" s="140">
        <f>'תקציב אגף נכסים וביטוח 2022 '!T5</f>
        <v>90000</v>
      </c>
      <c r="U5" s="140">
        <f>'תקציב אגף נכסים וביטוח 2022 '!U5</f>
        <v>0</v>
      </c>
      <c r="V5" s="140">
        <f>'תקציב אגף נכסים וביטוח 2022 '!V5</f>
        <v>0</v>
      </c>
      <c r="W5" s="140"/>
      <c r="X5" s="140"/>
      <c r="Y5" s="140"/>
      <c r="Z5" s="140"/>
      <c r="AA5" s="159"/>
      <c r="AB5" s="363" t="str">
        <f>'תקציב אגף נכסים וביטוח 2022 '!AB5</f>
        <v>פיצויי הפקעה בגוש 6525/6 הר/ 1704. טרם שולמו הפיצויים ליתרת בעלי המקרקעין.</v>
      </c>
      <c r="AC5" s="159">
        <f>'תקציב אגף נכסים וביטוח 2022 '!AC5</f>
        <v>935000</v>
      </c>
      <c r="AD5" s="279"/>
      <c r="AE5" s="279"/>
    </row>
    <row r="6" spans="1:31" s="158" customFormat="1" ht="30" customHeight="1">
      <c r="A6" s="159">
        <f>A5+1</f>
        <v>2</v>
      </c>
      <c r="B6" s="160">
        <f>'תקציב אגף נכסים וביטוח 2022 '!B6</f>
        <v>1066</v>
      </c>
      <c r="C6" s="292" t="str">
        <f>'תקציב אגף נכסים וביטוח 2022 '!C6</f>
        <v>בית הרמלין-חלקה 92-גוש 6592</v>
      </c>
      <c r="D6" s="140">
        <f>'תקציב אגף נכסים וביטוח 2022 '!D6</f>
        <v>75000</v>
      </c>
      <c r="E6" s="140">
        <f>'תקציב אגף נכסים וביטוח 2022 '!E6</f>
        <v>75000</v>
      </c>
      <c r="F6" s="140">
        <f>'תקציב אגף נכסים וביטוח 2022 '!F6</f>
        <v>0</v>
      </c>
      <c r="G6" s="140">
        <f>'תקציב אגף נכסים וביטוח 2022 '!G6</f>
        <v>75000</v>
      </c>
      <c r="H6" s="140">
        <f>'תקציב אגף נכסים וביטוח 2022 '!H6</f>
        <v>40172</v>
      </c>
      <c r="I6" s="140">
        <f>'תקציב אגף נכסים וביטוח 2022 '!I6</f>
        <v>0</v>
      </c>
      <c r="J6" s="140">
        <f>'תקציב אגף נכסים וביטוח 2022 '!J6</f>
        <v>0</v>
      </c>
      <c r="K6" s="140">
        <f>'תקציב אגף נכסים וביטוח 2022 '!K6</f>
        <v>0</v>
      </c>
      <c r="L6" s="140">
        <f>'תקציב אגף נכסים וביטוח 2022 '!L6</f>
        <v>40172</v>
      </c>
      <c r="M6" s="140">
        <f>'תקציב אגף נכסים וביטוח 2022 '!M6</f>
        <v>4828</v>
      </c>
      <c r="N6" s="140">
        <f>'תקציב אגף נכסים וביטוח 2022 '!N6</f>
        <v>30000</v>
      </c>
      <c r="O6" s="140">
        <f>'תקציב אגף נכסים וביטוח 2022 '!O6</f>
        <v>0</v>
      </c>
      <c r="P6" s="140">
        <f>'תקציב אגף נכסים וביטוח 2022 '!P6</f>
        <v>34828</v>
      </c>
      <c r="Q6" s="140">
        <f>'תקציב אגף נכסים וביטוח 2022 '!Q6</f>
        <v>0</v>
      </c>
      <c r="R6" s="140">
        <f>'תקציב אגף נכסים וביטוח 2022 '!R6</f>
        <v>0</v>
      </c>
      <c r="S6" s="140">
        <f>'תקציב אגף נכסים וביטוח 2022 '!S6</f>
        <v>0</v>
      </c>
      <c r="T6" s="140">
        <f>'תקציב אגף נכסים וביטוח 2022 '!T6</f>
        <v>30000</v>
      </c>
      <c r="U6" s="140">
        <f>'תקציב אגף נכסים וביטוח 2022 '!U6</f>
        <v>0</v>
      </c>
      <c r="V6" s="140">
        <f>'תקציב אגף נכסים וביטוח 2022 '!V6</f>
        <v>0</v>
      </c>
      <c r="W6" s="140"/>
      <c r="X6" s="140"/>
      <c r="Y6" s="140"/>
      <c r="Z6" s="140"/>
      <c r="AA6" s="159"/>
      <c r="AB6" s="363" t="str">
        <f>'תקציב אגף נכסים וביטוח 2022 '!AB6</f>
        <v>טרם הסתיים הליך רישום הנכס ע"ש העיריה בפנקסי הרישום.</v>
      </c>
      <c r="AC6" s="159">
        <f>'תקציב אגף נכסים וביטוח 2022 '!AC6</f>
        <v>935000</v>
      </c>
      <c r="AD6" s="279"/>
      <c r="AE6" s="279"/>
    </row>
    <row r="7" spans="1:31" s="158" customFormat="1" ht="30" customHeight="1">
      <c r="A7" s="159">
        <f t="shared" ref="A7:A16" si="0">A6+1</f>
        <v>3</v>
      </c>
      <c r="B7" s="160">
        <f>'תקציב אגף נכסים וביטוח 2022 '!B7</f>
        <v>1177</v>
      </c>
      <c r="C7" s="292" t="str">
        <f>'תקציב אגף נכסים וביטוח 2022 '!C7</f>
        <v>פיצויי הפקעה - פארק הבאסה</v>
      </c>
      <c r="D7" s="140">
        <f>'תקציב אגף נכסים וביטוח 2022 '!D7</f>
        <v>41850000</v>
      </c>
      <c r="E7" s="140">
        <f>'תקציב אגף נכסים וביטוח 2022 '!E7</f>
        <v>41850000</v>
      </c>
      <c r="F7" s="140">
        <f>'תקציב אגף נכסים וביטוח 2022 '!F7</f>
        <v>0</v>
      </c>
      <c r="G7" s="140">
        <f>'תקציב אגף נכסים וביטוח 2022 '!G7</f>
        <v>28957000</v>
      </c>
      <c r="H7" s="140">
        <f>'תקציב אגף נכסים וביטוח 2022 '!H7</f>
        <v>26727455</v>
      </c>
      <c r="I7" s="140">
        <f>'תקציב אגף נכסים וביטוח 2022 '!I7</f>
        <v>0</v>
      </c>
      <c r="J7" s="140">
        <f>'תקציב אגף נכסים וביטוח 2022 '!J7</f>
        <v>0</v>
      </c>
      <c r="K7" s="140">
        <f>'תקציב אגף נכסים וביטוח 2022 '!K7</f>
        <v>0</v>
      </c>
      <c r="L7" s="140">
        <f>'תקציב אגף נכסים וביטוח 2022 '!L7</f>
        <v>26727455</v>
      </c>
      <c r="M7" s="140">
        <f>'תקציב אגף נכסים וביטוח 2022 '!M7</f>
        <v>29545</v>
      </c>
      <c r="N7" s="140">
        <f>'תקציב אגף נכסים וביטוח 2022 '!N7</f>
        <v>2200000</v>
      </c>
      <c r="O7" s="140">
        <f>'תקציב אגף נכסים וביטוח 2022 '!O7</f>
        <v>12893000</v>
      </c>
      <c r="P7" s="140">
        <f>'תקציב אגף נכסים וביטוח 2022 '!P7</f>
        <v>2229545</v>
      </c>
      <c r="Q7" s="140">
        <f>'תקציב אגף נכסים וביטוח 2022 '!Q7</f>
        <v>0</v>
      </c>
      <c r="R7" s="140">
        <f>'תקציב אגף נכסים וביטוח 2022 '!R7</f>
        <v>0</v>
      </c>
      <c r="S7" s="140">
        <f>'תקציב אגף נכסים וביטוח 2022 '!S7</f>
        <v>0</v>
      </c>
      <c r="T7" s="140">
        <f>'תקציב אגף נכסים וביטוח 2022 '!T7</f>
        <v>2200000</v>
      </c>
      <c r="U7" s="140">
        <f>'תקציב אגף נכסים וביטוח 2022 '!U7</f>
        <v>0</v>
      </c>
      <c r="V7" s="140">
        <f>'תקציב אגף נכסים וביטוח 2022 '!V7</f>
        <v>0</v>
      </c>
      <c r="W7" s="140"/>
      <c r="X7" s="140"/>
      <c r="Y7" s="140"/>
      <c r="Z7" s="140"/>
      <c r="AA7" s="159"/>
      <c r="AB7" s="363" t="str">
        <f>'תקציב אגף נכסים וביטוח 2022 '!AB7</f>
        <v>פיצויי הפקעה בפארק.</v>
      </c>
      <c r="AC7" s="159">
        <f>'תקציב אגף נכסים וביטוח 2022 '!AC7</f>
        <v>930000</v>
      </c>
      <c r="AD7" s="279"/>
      <c r="AE7" s="279"/>
    </row>
    <row r="8" spans="1:31" s="158" customFormat="1" ht="30" customHeight="1">
      <c r="A8" s="159">
        <f t="shared" si="0"/>
        <v>4</v>
      </c>
      <c r="B8" s="160">
        <f>'תקציב אגף נכסים וביטוח 2022 '!B8</f>
        <v>1258</v>
      </c>
      <c r="C8" s="292" t="str">
        <f>'תקציב אגף נכסים וביטוח 2022 '!C8</f>
        <v>עלויות רכישת מקרקעין</v>
      </c>
      <c r="D8" s="140">
        <f>'תקציב אגף נכסים וביטוח 2022 '!D8</f>
        <v>1400000</v>
      </c>
      <c r="E8" s="140">
        <f>'תקציב אגף נכסים וביטוח 2022 '!E8</f>
        <v>1400000</v>
      </c>
      <c r="F8" s="140">
        <f>'תקציב אגף נכסים וביטוח 2022 '!F8</f>
        <v>0</v>
      </c>
      <c r="G8" s="140">
        <f>'תקציב אגף נכסים וביטוח 2022 '!G8</f>
        <v>950000</v>
      </c>
      <c r="H8" s="140">
        <f>'תקציב אגף נכסים וביטוח 2022 '!H8</f>
        <v>894110</v>
      </c>
      <c r="I8" s="140">
        <f>'תקציב אגף נכסים וביטוח 2022 '!I8</f>
        <v>0</v>
      </c>
      <c r="J8" s="140">
        <f>'תקציב אגף נכסים וביטוח 2022 '!J8</f>
        <v>0</v>
      </c>
      <c r="K8" s="140">
        <f>'תקציב אגף נכסים וביטוח 2022 '!K8</f>
        <v>0</v>
      </c>
      <c r="L8" s="140">
        <f>'תקציב אגף נכסים וביטוח 2022 '!L8</f>
        <v>894110</v>
      </c>
      <c r="M8" s="140">
        <f>'תקציב אגף נכסים וביטוח 2022 '!M8</f>
        <v>55890</v>
      </c>
      <c r="N8" s="140">
        <f>'תקציב אגף נכסים וביטוח 2022 '!N8</f>
        <v>350000</v>
      </c>
      <c r="O8" s="140">
        <f>'תקציב אגף נכסים וביטוח 2022 '!O8</f>
        <v>100000</v>
      </c>
      <c r="P8" s="140">
        <f>'תקציב אגף נכסים וביטוח 2022 '!P8</f>
        <v>55890</v>
      </c>
      <c r="Q8" s="140">
        <f>'תקציב אגף נכסים וביטוח 2022 '!Q8</f>
        <v>0</v>
      </c>
      <c r="R8" s="140">
        <f>'תקציב אגף נכסים וביטוח 2022 '!R8</f>
        <v>0</v>
      </c>
      <c r="S8" s="140">
        <f>'תקציב אגף נכסים וביטוח 2022 '!S8</f>
        <v>0</v>
      </c>
      <c r="T8" s="140">
        <f>'תקציב אגף נכסים וביטוח 2022 '!T8</f>
        <v>0</v>
      </c>
      <c r="U8" s="140">
        <f>'תקציב אגף נכסים וביטוח 2022 '!U8</f>
        <v>350000</v>
      </c>
      <c r="V8" s="140">
        <f>'תקציב אגף נכסים וביטוח 2022 '!V8</f>
        <v>350000</v>
      </c>
      <c r="W8" s="140"/>
      <c r="X8" s="140"/>
      <c r="Y8" s="140"/>
      <c r="Z8" s="140"/>
      <c r="AA8" s="159"/>
      <c r="AB8" s="363" t="str">
        <f>'תקציב אגף נכסים וביטוח 2022 '!AB8</f>
        <v>עלויות כלליות בקשר עם רכישת מקרקעין.</v>
      </c>
      <c r="AC8" s="159">
        <f>'תקציב אגף נכסים וביטוח 2022 '!AC8</f>
        <v>930000</v>
      </c>
      <c r="AD8" s="279"/>
      <c r="AE8" s="279"/>
    </row>
    <row r="9" spans="1:31" s="158" customFormat="1" ht="30" customHeight="1">
      <c r="A9" s="159">
        <f t="shared" si="0"/>
        <v>5</v>
      </c>
      <c r="B9" s="160">
        <f>'תקציב אגף נכסים וביטוח 2022 '!B9</f>
        <v>1330</v>
      </c>
      <c r="C9" s="292" t="str">
        <f>'תקציב אגף נכסים וביטוח 2022 '!C9</f>
        <v>פיצויי הפקעה הר'1941 פארק הבאסה</v>
      </c>
      <c r="D9" s="140">
        <f>'תקציב אגף נכסים וביטוח 2022 '!D9</f>
        <v>60700000</v>
      </c>
      <c r="E9" s="140">
        <f>'תקציב אגף נכסים וביטוח 2022 '!E9</f>
        <v>60700000</v>
      </c>
      <c r="F9" s="140">
        <f>'תקציב אגף נכסים וביטוח 2022 '!F9</f>
        <v>0</v>
      </c>
      <c r="G9" s="140">
        <f>'תקציב אגף נכסים וביטוח 2022 '!G9</f>
        <v>17249825</v>
      </c>
      <c r="H9" s="140">
        <f>'תקציב אגף נכסים וביטוח 2022 '!H9</f>
        <v>7567471</v>
      </c>
      <c r="I9" s="140">
        <f>'תקציב אגף נכסים וביטוח 2022 '!I9</f>
        <v>0</v>
      </c>
      <c r="J9" s="140">
        <f>'תקציב אגף נכסים וביטוח 2022 '!J9</f>
        <v>0</v>
      </c>
      <c r="K9" s="140">
        <f>'תקציב אגף נכסים וביטוח 2022 '!K9</f>
        <v>0</v>
      </c>
      <c r="L9" s="140">
        <f>'תקציב אגף נכסים וביטוח 2022 '!L9</f>
        <v>7567471</v>
      </c>
      <c r="M9" s="140">
        <f>'תקציב אגף נכסים וביטוח 2022 '!M9</f>
        <v>82354</v>
      </c>
      <c r="N9" s="140">
        <f>'תקציב אגף נכסים וביטוח 2022 '!N9</f>
        <v>9600000</v>
      </c>
      <c r="O9" s="140">
        <f>'תקציב אגף נכסים וביטוח 2022 '!O9</f>
        <v>43450175</v>
      </c>
      <c r="P9" s="140">
        <f>'תקציב אגף נכסים וביטוח 2022 '!P9</f>
        <v>9682354</v>
      </c>
      <c r="Q9" s="140">
        <f>'תקציב אגף נכסים וביטוח 2022 '!Q9</f>
        <v>0</v>
      </c>
      <c r="R9" s="140">
        <f>'תקציב אגף נכסים וביטוח 2022 '!R9</f>
        <v>0</v>
      </c>
      <c r="S9" s="140">
        <f>'תקציב אגף נכסים וביטוח 2022 '!S9</f>
        <v>0</v>
      </c>
      <c r="T9" s="140">
        <f>'תקציב אגף נכסים וביטוח 2022 '!T9</f>
        <v>9600000</v>
      </c>
      <c r="U9" s="140">
        <f>'תקציב אגף נכסים וביטוח 2022 '!U9</f>
        <v>0</v>
      </c>
      <c r="V9" s="140">
        <f>'תקציב אגף נכסים וביטוח 2022 '!V9</f>
        <v>0</v>
      </c>
      <c r="W9" s="140"/>
      <c r="X9" s="140"/>
      <c r="Y9" s="140"/>
      <c r="Z9" s="140"/>
      <c r="AA9" s="159"/>
      <c r="AB9" s="363" t="str">
        <f>'תקציב אגף נכסים וביטוח 2022 '!AB9</f>
        <v>פיצויי הפקעה בפארק תוכנית הר' 1941.</v>
      </c>
      <c r="AC9" s="159">
        <f>'תקציב אגף נכסים וביטוח 2022 '!AC9</f>
        <v>930000</v>
      </c>
      <c r="AD9" s="279"/>
      <c r="AE9" s="279"/>
    </row>
    <row r="10" spans="1:31" s="158" customFormat="1" ht="45">
      <c r="A10" s="159">
        <f t="shared" si="0"/>
        <v>6</v>
      </c>
      <c r="B10" s="160">
        <f>'תקציב אגף נכסים וביטוח 2022 '!B10</f>
        <v>1704</v>
      </c>
      <c r="C10" s="292" t="str">
        <f>'תקציב אגף נכסים וביטוח 2022 '!C10</f>
        <v>תביעה פינוי גוש 6521 רחמים</v>
      </c>
      <c r="D10" s="140">
        <f>'תקציב אגף נכסים וביטוח 2022 '!D10</f>
        <v>5784000</v>
      </c>
      <c r="E10" s="140">
        <f>'תקציב אגף נכסים וביטוח 2022 '!E10</f>
        <v>5784000</v>
      </c>
      <c r="F10" s="140">
        <f>'תקציב אגף נכסים וביטוח 2022 '!F10</f>
        <v>0</v>
      </c>
      <c r="G10" s="140">
        <f>'תקציב אגף נכסים וביטוח 2022 '!G10</f>
        <v>40000</v>
      </c>
      <c r="H10" s="140">
        <f>'תקציב אגף נכסים וביטוח 2022 '!H10</f>
        <v>37961</v>
      </c>
      <c r="I10" s="140">
        <f>'תקציב אגף נכסים וביטוח 2022 '!I10</f>
        <v>0</v>
      </c>
      <c r="J10" s="140">
        <f>'תקציב אגף נכסים וביטוח 2022 '!J10</f>
        <v>0</v>
      </c>
      <c r="K10" s="140">
        <f>'תקציב אגף נכסים וביטוח 2022 '!K10</f>
        <v>0</v>
      </c>
      <c r="L10" s="140">
        <f>'תקציב אגף נכסים וביטוח 2022 '!L10</f>
        <v>37961</v>
      </c>
      <c r="M10" s="140">
        <f>'תקציב אגף נכסים וביטוח 2022 '!M10</f>
        <v>2039</v>
      </c>
      <c r="N10" s="140">
        <f>'תקציב אגף נכסים וביטוח 2022 '!N10</f>
        <v>1540000</v>
      </c>
      <c r="O10" s="140">
        <f>'תקציב אגף נכסים וביטוח 2022 '!O10</f>
        <v>4204000</v>
      </c>
      <c r="P10" s="140">
        <f>'תקציב אגף נכסים וביטוח 2022 '!P10</f>
        <v>2039</v>
      </c>
      <c r="Q10" s="140">
        <f>'תקציב אגף נכסים וביטוח 2022 '!Q10</f>
        <v>0</v>
      </c>
      <c r="R10" s="140">
        <f>'תקציב אגף נכסים וביטוח 2022 '!R10</f>
        <v>0</v>
      </c>
      <c r="S10" s="140">
        <f>'תקציב אגף נכסים וביטוח 2022 '!S10</f>
        <v>0</v>
      </c>
      <c r="T10" s="140">
        <f>'תקציב אגף נכסים וביטוח 2022 '!T10</f>
        <v>0</v>
      </c>
      <c r="U10" s="140">
        <f>'תקציב אגף נכסים וביטוח 2022 '!U10</f>
        <v>1540000</v>
      </c>
      <c r="V10" s="140">
        <f>'תקציב אגף נכסים וביטוח 2022 '!V10</f>
        <v>1540000</v>
      </c>
      <c r="W10" s="140"/>
      <c r="X10" s="140"/>
      <c r="Y10" s="140"/>
      <c r="Z10" s="140"/>
      <c r="AA10" s="159"/>
      <c r="AB10" s="363" t="str">
        <f>'תקציב אגף נכסים וביטוח 2022 '!AB10</f>
        <v>עלויות בקשר עם תביעה של פינוי נכס גוש 6521 חלק' 21-23, 67-68. משפחת רחמים. טרם הסתיים ההליך המשפטי.</v>
      </c>
      <c r="AC10" s="159">
        <f>'תקציב אגף נכסים וביטוח 2022 '!AC10</f>
        <v>930000</v>
      </c>
      <c r="AD10" s="279"/>
      <c r="AE10" s="279"/>
    </row>
    <row r="11" spans="1:31" s="5" customFormat="1" ht="30" customHeight="1">
      <c r="A11" s="159">
        <f t="shared" si="0"/>
        <v>7</v>
      </c>
      <c r="B11" s="160">
        <f>'תקציב אגף נכסים וביטוח 2022 '!B11</f>
        <v>1805</v>
      </c>
      <c r="C11" s="292" t="str">
        <f>'תקציב אגף נכסים וביטוח 2022 '!C11</f>
        <v>שביל אופניים הרצליה-ת"א הפקעות</v>
      </c>
      <c r="D11" s="140">
        <f>'תקציב אגף נכסים וביטוח 2022 '!D11</f>
        <v>2250000</v>
      </c>
      <c r="E11" s="140">
        <f>'תקציב אגף נכסים וביטוח 2022 '!E11</f>
        <v>2250000</v>
      </c>
      <c r="F11" s="140">
        <f>'תקציב אגף נכסים וביטוח 2022 '!F11</f>
        <v>0</v>
      </c>
      <c r="G11" s="140">
        <f>'תקציב אגף נכסים וביטוח 2022 '!G11</f>
        <v>2250000</v>
      </c>
      <c r="H11" s="140">
        <f>'תקציב אגף נכסים וביטוח 2022 '!H11</f>
        <v>29019</v>
      </c>
      <c r="I11" s="140">
        <f>'תקציב אגף נכסים וביטוח 2022 '!I11</f>
        <v>0</v>
      </c>
      <c r="J11" s="140">
        <f>'תקציב אגף נכסים וביטוח 2022 '!J11</f>
        <v>12003</v>
      </c>
      <c r="K11" s="140">
        <f>'תקציב אגף נכסים וביטוח 2022 '!K11</f>
        <v>12003</v>
      </c>
      <c r="L11" s="140">
        <f>'תקציב אגף נכסים וביטוח 2022 '!L11</f>
        <v>41022</v>
      </c>
      <c r="M11" s="140">
        <f>'תקציב אגף נכסים וביטוח 2022 '!M11</f>
        <v>8978</v>
      </c>
      <c r="N11" s="140">
        <f>'תקציב אגף נכסים וביטוח 2022 '!N11</f>
        <v>800000</v>
      </c>
      <c r="O11" s="140">
        <f>'תקציב אגף נכסים וביטוח 2022 '!O11</f>
        <v>1400000</v>
      </c>
      <c r="P11" s="140">
        <f>'תקציב אגף נכסים וביטוח 2022 '!P11</f>
        <v>2208978</v>
      </c>
      <c r="Q11" s="140">
        <f>'תקציב אגף נכסים וביטוח 2022 '!Q11</f>
        <v>0</v>
      </c>
      <c r="R11" s="140">
        <f>'תקציב אגף נכסים וביטוח 2022 '!R11</f>
        <v>0</v>
      </c>
      <c r="S11" s="140">
        <f>'תקציב אגף נכסים וביטוח 2022 '!S11</f>
        <v>0</v>
      </c>
      <c r="T11" s="140">
        <f>'תקציב אגף נכסים וביטוח 2022 '!T11</f>
        <v>2200000</v>
      </c>
      <c r="U11" s="140">
        <f>'תקציב אגף נכסים וביטוח 2022 '!U11</f>
        <v>-1400000</v>
      </c>
      <c r="V11" s="140">
        <f>'תקציב אגף נכסים וביטוח 2022 '!V11</f>
        <v>-1400000</v>
      </c>
      <c r="W11" s="4"/>
      <c r="X11" s="4"/>
      <c r="Y11" s="4"/>
      <c r="Z11" s="4"/>
      <c r="AA11" s="3"/>
      <c r="AB11" s="363" t="str">
        <f>'תקציב אגף נכסים וביטוח 2022 '!AB11</f>
        <v>תשלומי פיצויים להפקעות לביצוע שביל אופניים זמני ע"י משרד התחבורה.</v>
      </c>
      <c r="AC11" s="159">
        <f>'תקציב אגף נכסים וביטוח 2022 '!AC11</f>
        <v>742000</v>
      </c>
    </row>
    <row r="12" spans="1:31" s="158" customFormat="1" ht="30" customHeight="1">
      <c r="A12" s="159">
        <f t="shared" si="0"/>
        <v>8</v>
      </c>
      <c r="B12" s="160">
        <f>'תקציב אגף נכסים וביטוח 2022 '!B12</f>
        <v>1983</v>
      </c>
      <c r="C12" s="292" t="str">
        <f>'תקציב אגף נכסים וביטוח 2022 '!C12</f>
        <v>פיצויי הפקעה פטריאלי 6524/21,22</v>
      </c>
      <c r="D12" s="140">
        <f>'תקציב אגף נכסים וביטוח 2022 '!D12</f>
        <v>800000</v>
      </c>
      <c r="E12" s="140">
        <f>'תקציב אגף נכסים וביטוח 2022 '!E12</f>
        <v>800000</v>
      </c>
      <c r="F12" s="140">
        <f>'תקציב אגף נכסים וביטוח 2022 '!F12</f>
        <v>0</v>
      </c>
      <c r="G12" s="140">
        <f>'תקציב אגף נכסים וביטוח 2022 '!G12</f>
        <v>100000</v>
      </c>
      <c r="H12" s="140">
        <f>'תקציב אגף נכסים וביטוח 2022 '!H12</f>
        <v>10249</v>
      </c>
      <c r="I12" s="140">
        <f>'תקציב אגף נכסים וביטוח 2022 '!I12</f>
        <v>0</v>
      </c>
      <c r="J12" s="140">
        <f>'תקציב אגף נכסים וביטוח 2022 '!J12</f>
        <v>0</v>
      </c>
      <c r="K12" s="140">
        <f>'תקציב אגף נכסים וביטוח 2022 '!K12</f>
        <v>0</v>
      </c>
      <c r="L12" s="140">
        <f>'תקציב אגף נכסים וביטוח 2022 '!L12</f>
        <v>10249</v>
      </c>
      <c r="M12" s="140">
        <f>'תקציב אגף נכסים וביטוח 2022 '!M12</f>
        <v>9751</v>
      </c>
      <c r="N12" s="140">
        <f>'תקציב אגף נכסים וביטוח 2022 '!N12</f>
        <v>80000</v>
      </c>
      <c r="O12" s="140">
        <f>'תקציב אגף נכסים וביטוח 2022 '!O12</f>
        <v>700000</v>
      </c>
      <c r="P12" s="140">
        <f>'תקציב אגף נכסים וביטוח 2022 '!P12</f>
        <v>89751</v>
      </c>
      <c r="Q12" s="140">
        <f>'תקציב אגף נכסים וביטוח 2022 '!Q12</f>
        <v>0</v>
      </c>
      <c r="R12" s="140">
        <f>'תקציב אגף נכסים וביטוח 2022 '!R12</f>
        <v>0</v>
      </c>
      <c r="S12" s="140">
        <f>'תקציב אגף נכסים וביטוח 2022 '!S12</f>
        <v>0</v>
      </c>
      <c r="T12" s="140">
        <f>'תקציב אגף נכסים וביטוח 2022 '!T12</f>
        <v>80000</v>
      </c>
      <c r="U12" s="140">
        <f>'תקציב אגף נכסים וביטוח 2022 '!U12</f>
        <v>0</v>
      </c>
      <c r="V12" s="140">
        <f>'תקציב אגף נכסים וביטוח 2022 '!V12</f>
        <v>0</v>
      </c>
      <c r="W12" s="140"/>
      <c r="X12" s="140"/>
      <c r="Y12" s="140"/>
      <c r="Z12" s="140"/>
      <c r="AA12" s="159"/>
      <c r="AB12" s="363" t="str">
        <f>'תקציב אגף נכסים וביטוח 2022 '!AB12</f>
        <v>פיצויי הפקעה נכס גוש 6524/21,22 פטריאלי.</v>
      </c>
      <c r="AC12" s="159">
        <f>'תקציב אגף נכסים וביטוח 2022 '!AC12</f>
        <v>930000</v>
      </c>
      <c r="AD12" s="279"/>
      <c r="AE12" s="279"/>
    </row>
    <row r="13" spans="1:31" s="158" customFormat="1" ht="30" customHeight="1">
      <c r="A13" s="159">
        <f t="shared" si="0"/>
        <v>9</v>
      </c>
      <c r="B13" s="160">
        <f>'תקציב אגף נכסים וביטוח 2022 '!B13</f>
        <v>1993</v>
      </c>
      <c r="C13" s="292" t="str">
        <f>'תקציב אגף נכסים וביטוח 2022 '!C13</f>
        <v>בניה עצמית ליד המתחם הבינתחומי</v>
      </c>
      <c r="D13" s="140">
        <f>'תקציב אגף נכסים וביטוח 2022 '!D13</f>
        <v>6000000</v>
      </c>
      <c r="E13" s="140">
        <f>'תקציב אגף נכסים וביטוח 2022 '!E13</f>
        <v>6000000</v>
      </c>
      <c r="F13" s="140">
        <f>'תקציב אגף נכסים וביטוח 2022 '!F13</f>
        <v>0</v>
      </c>
      <c r="G13" s="140">
        <f>'תקציב אגף נכסים וביטוח 2022 '!G13</f>
        <v>6000000</v>
      </c>
      <c r="H13" s="140">
        <f>'תקציב אגף נכסים וביטוח 2022 '!H13</f>
        <v>2653188</v>
      </c>
      <c r="I13" s="140">
        <f>'תקציב אגף נכסים וביטוח 2022 '!I13</f>
        <v>2630028</v>
      </c>
      <c r="J13" s="140">
        <f>'תקציב אגף נכסים וביטוח 2022 '!J13</f>
        <v>0</v>
      </c>
      <c r="K13" s="140">
        <f>'תקציב אגף נכסים וביטוח 2022 '!K13</f>
        <v>2630028</v>
      </c>
      <c r="L13" s="140">
        <f>'תקציב אגף נכסים וביטוח 2022 '!L13</f>
        <v>5283216</v>
      </c>
      <c r="M13" s="140">
        <f>'תקציב אגף נכסים וביטוח 2022 '!M13</f>
        <v>16784</v>
      </c>
      <c r="N13" s="140">
        <f>'תקציב אגף נכסים וביטוח 2022 '!N13</f>
        <v>700000</v>
      </c>
      <c r="O13" s="140">
        <f>'תקציב אגף נכסים וביטוח 2022 '!O13</f>
        <v>0</v>
      </c>
      <c r="P13" s="140">
        <f>'תקציב אגף נכסים וביטוח 2022 '!P13</f>
        <v>716784</v>
      </c>
      <c r="Q13" s="140">
        <f>'תקציב אגף נכסים וביטוח 2022 '!Q13</f>
        <v>0</v>
      </c>
      <c r="R13" s="140">
        <f>'תקציב אגף נכסים וביטוח 2022 '!R13</f>
        <v>0</v>
      </c>
      <c r="S13" s="140">
        <f>'תקציב אגף נכסים וביטוח 2022 '!S13</f>
        <v>0</v>
      </c>
      <c r="T13" s="140">
        <f>'תקציב אגף נכסים וביטוח 2022 '!T13</f>
        <v>700000</v>
      </c>
      <c r="U13" s="140">
        <f>'תקציב אגף נכסים וביטוח 2022 '!U13</f>
        <v>0</v>
      </c>
      <c r="V13" s="140">
        <f>'תקציב אגף נכסים וביטוח 2022 '!V13</f>
        <v>0</v>
      </c>
      <c r="W13" s="140"/>
      <c r="X13" s="140"/>
      <c r="Y13" s="140"/>
      <c r="Z13" s="140"/>
      <c r="AA13" s="159"/>
      <c r="AB13" s="363" t="str">
        <f>'תקציב אגף נכסים וביטוח 2022 '!AB13</f>
        <v>פרויקט בניה עצמית בו לעיריה 3 יח"ד בבית מגורים משותף.</v>
      </c>
      <c r="AC13" s="159">
        <f>'תקציב אגף נכסים וביטוח 2022 '!AC13</f>
        <v>930000</v>
      </c>
      <c r="AD13" s="279"/>
      <c r="AE13" s="279"/>
    </row>
    <row r="14" spans="1:31" s="158" customFormat="1" ht="30" customHeight="1">
      <c r="A14" s="159">
        <f t="shared" si="0"/>
        <v>10</v>
      </c>
      <c r="B14" s="160">
        <f>'תקציב אגף נכסים וביטוח 2022 '!B14</f>
        <v>2055</v>
      </c>
      <c r="C14" s="292" t="str">
        <f>'תקציב אגף נכסים וביטוח 2022 '!C14</f>
        <v>פיצויי הפקעה הר' 1940 6664/105</v>
      </c>
      <c r="D14" s="140">
        <f>'תקציב אגף נכסים וביטוח 2022 '!D14</f>
        <v>220000</v>
      </c>
      <c r="E14" s="140">
        <f>'תקציב אגף נכסים וביטוח 2022 '!E14</f>
        <v>220000</v>
      </c>
      <c r="F14" s="140">
        <f>'תקציב אגף נכסים וביטוח 2022 '!F14</f>
        <v>0</v>
      </c>
      <c r="G14" s="140">
        <f>'תקציב אגף נכסים וביטוח 2022 '!G14</f>
        <v>200000</v>
      </c>
      <c r="H14" s="140">
        <f>'תקציב אגף נכסים וביטוח 2022 '!H14</f>
        <v>122292</v>
      </c>
      <c r="I14" s="140">
        <f>'תקציב אגף נכסים וביטוח 2022 '!I14</f>
        <v>0</v>
      </c>
      <c r="J14" s="140">
        <f>'תקציב אגף נכסים וביטוח 2022 '!J14</f>
        <v>0</v>
      </c>
      <c r="K14" s="140">
        <f>'תקציב אגף נכסים וביטוח 2022 '!K14</f>
        <v>0</v>
      </c>
      <c r="L14" s="140">
        <f>'תקציב אגף נכסים וביטוח 2022 '!L14</f>
        <v>122292</v>
      </c>
      <c r="M14" s="140">
        <f>'תקציב אגף נכסים וביטוח 2022 '!M14</f>
        <v>7708</v>
      </c>
      <c r="N14" s="140">
        <f>'תקציב אגף נכסים וביטוח 2022 '!N14</f>
        <v>70000</v>
      </c>
      <c r="O14" s="140">
        <f>'תקציב אגף נכסים וביטוח 2022 '!O14</f>
        <v>20000</v>
      </c>
      <c r="P14" s="140">
        <f>'תקציב אגף נכסים וביטוח 2022 '!P14</f>
        <v>77708</v>
      </c>
      <c r="Q14" s="140">
        <f>'תקציב אגף נכסים וביטוח 2022 '!Q14</f>
        <v>0</v>
      </c>
      <c r="R14" s="140">
        <f>'תקציב אגף נכסים וביטוח 2022 '!R14</f>
        <v>0</v>
      </c>
      <c r="S14" s="140">
        <f>'תקציב אגף נכסים וביטוח 2022 '!S14</f>
        <v>0</v>
      </c>
      <c r="T14" s="140">
        <f>'תקציב אגף נכסים וביטוח 2022 '!T14</f>
        <v>70000</v>
      </c>
      <c r="U14" s="140">
        <f>'תקציב אגף נכסים וביטוח 2022 '!U14</f>
        <v>0</v>
      </c>
      <c r="V14" s="140">
        <f>'תקציב אגף נכסים וביטוח 2022 '!V14</f>
        <v>0</v>
      </c>
      <c r="W14" s="140"/>
      <c r="X14" s="140"/>
      <c r="Y14" s="140"/>
      <c r="Z14" s="140"/>
      <c r="AA14" s="159"/>
      <c r="AB14" s="363" t="str">
        <f>'תקציב אגף נכסים וביטוח 2022 '!AB14</f>
        <v>תשלום פיצויי הפקעה בקשר עם תוכנית  הר' 1940 6664/105.</v>
      </c>
      <c r="AC14" s="159">
        <f>'תקציב אגף נכסים וביטוח 2022 '!AC14</f>
        <v>930000</v>
      </c>
      <c r="AD14" s="279"/>
      <c r="AE14" s="279"/>
    </row>
    <row r="15" spans="1:31" s="158" customFormat="1" ht="30" customHeight="1">
      <c r="A15" s="159">
        <f t="shared" si="0"/>
        <v>11</v>
      </c>
      <c r="B15" s="160">
        <f>'תקציב אגף נכסים וביטוח 2022 '!B15</f>
        <v>2072</v>
      </c>
      <c r="C15" s="292" t="str">
        <f>'תקציב אגף נכסים וביטוח 2022 '!C15</f>
        <v>הכנת תצ"ר רישום זכויות תבע 574א</v>
      </c>
      <c r="D15" s="140">
        <f>'תקציב אגף נכסים וביטוח 2022 '!D15</f>
        <v>100000</v>
      </c>
      <c r="E15" s="140">
        <f>'תקציב אגף נכסים וביטוח 2022 '!E15</f>
        <v>100000</v>
      </c>
      <c r="F15" s="140">
        <f>'תקציב אגף נכסים וביטוח 2022 '!F15</f>
        <v>0</v>
      </c>
      <c r="G15" s="140">
        <f>'תקציב אגף נכסים וביטוח 2022 '!G15</f>
        <v>100000</v>
      </c>
      <c r="H15" s="140">
        <f>'תקציב אגף נכסים וביטוח 2022 '!H15</f>
        <v>33379</v>
      </c>
      <c r="I15" s="140">
        <f>'תקציב אגף נכסים וביטוח 2022 '!I15</f>
        <v>0</v>
      </c>
      <c r="J15" s="140">
        <f>'תקציב אגף נכסים וביטוח 2022 '!J15</f>
        <v>0</v>
      </c>
      <c r="K15" s="140">
        <f>'תקציב אגף נכסים וביטוח 2022 '!K15</f>
        <v>0</v>
      </c>
      <c r="L15" s="140">
        <f>'תקציב אגף נכסים וביטוח 2022 '!L15</f>
        <v>33379</v>
      </c>
      <c r="M15" s="140">
        <f>'תקציב אגף נכסים וביטוח 2022 '!M15</f>
        <v>6621</v>
      </c>
      <c r="N15" s="140">
        <f>'תקציב אגף נכסים וביטוח 2022 '!N15</f>
        <v>60000</v>
      </c>
      <c r="O15" s="140">
        <f>'תקציב אגף נכסים וביטוח 2022 '!O15</f>
        <v>0</v>
      </c>
      <c r="P15" s="140">
        <f>'תקציב אגף נכסים וביטוח 2022 '!P15</f>
        <v>66621</v>
      </c>
      <c r="Q15" s="140">
        <f>'תקציב אגף נכסים וביטוח 2022 '!Q15</f>
        <v>0</v>
      </c>
      <c r="R15" s="140">
        <f>'תקציב אגף נכסים וביטוח 2022 '!R15</f>
        <v>0</v>
      </c>
      <c r="S15" s="140">
        <f>'תקציב אגף נכסים וביטוח 2022 '!S15</f>
        <v>0</v>
      </c>
      <c r="T15" s="140">
        <f>'תקציב אגף נכסים וביטוח 2022 '!T15</f>
        <v>60000</v>
      </c>
      <c r="U15" s="140">
        <f>'תקציב אגף נכסים וביטוח 2022 '!U15</f>
        <v>0</v>
      </c>
      <c r="V15" s="140">
        <f>'תקציב אגף נכסים וביטוח 2022 '!V15</f>
        <v>0</v>
      </c>
      <c r="W15" s="140"/>
      <c r="X15" s="140"/>
      <c r="Y15" s="140"/>
      <c r="Z15" s="140"/>
      <c r="AA15" s="159"/>
      <c r="AB15" s="363" t="str">
        <f>'תקציב אגף נכסים וביטוח 2022 '!AB15</f>
        <v>הכנת תוכנית לצרכי רישום מתחם מלון דניאל.</v>
      </c>
      <c r="AC15" s="159">
        <f>'תקציב אגף נכסים וביטוח 2022 '!AC15</f>
        <v>930000</v>
      </c>
      <c r="AD15" s="279"/>
      <c r="AE15" s="279"/>
    </row>
    <row r="16" spans="1:31" s="158" customFormat="1" ht="30" customHeight="1">
      <c r="A16" s="159">
        <f t="shared" si="0"/>
        <v>12</v>
      </c>
      <c r="B16" s="160">
        <f>'תקציב אגף נכסים וביטוח 2022 '!B16</f>
        <v>2223</v>
      </c>
      <c r="C16" s="292" t="str">
        <f>'תקציב אגף נכסים וביטוח 2022 '!C16</f>
        <v>פינוי דיירים מוגנים גוש 6558 חלקה 151</v>
      </c>
      <c r="D16" s="140">
        <f>'תקציב אגף נכסים וביטוח 2022 '!D16</f>
        <v>600000</v>
      </c>
      <c r="E16" s="140">
        <f>'תקציב אגף נכסים וביטוח 2022 '!E16</f>
        <v>500000</v>
      </c>
      <c r="F16" s="140">
        <f>'תקציב אגף נכסים וביטוח 2022 '!F16</f>
        <v>100000</v>
      </c>
      <c r="G16" s="140">
        <f>'תקציב אגף נכסים וביטוח 2022 '!G16</f>
        <v>0</v>
      </c>
      <c r="H16" s="140">
        <f>'תקציב אגף נכסים וביטוח 2022 '!H16</f>
        <v>0</v>
      </c>
      <c r="I16" s="140">
        <f>'תקציב אגף נכסים וביטוח 2022 '!I16</f>
        <v>0</v>
      </c>
      <c r="J16" s="140">
        <f>'תקציב אגף נכסים וביטוח 2022 '!J16</f>
        <v>0</v>
      </c>
      <c r="K16" s="140">
        <f>'תקציב אגף נכסים וביטוח 2022 '!K16</f>
        <v>0</v>
      </c>
      <c r="L16" s="140">
        <f>'תקציב אגף נכסים וביטוח 2022 '!L16</f>
        <v>0</v>
      </c>
      <c r="M16" s="140">
        <f>'תקציב אגף נכסים וביטוח 2022 '!M16</f>
        <v>0</v>
      </c>
      <c r="N16" s="140">
        <f>'תקציב אגף נכסים וביטוח 2022 '!N16</f>
        <v>600000</v>
      </c>
      <c r="O16" s="140">
        <f>'תקציב אגף נכסים וביטוח 2022 '!O16</f>
        <v>0</v>
      </c>
      <c r="P16" s="140">
        <f>'תקציב אגף נכסים וביטוח 2022 '!P16</f>
        <v>0</v>
      </c>
      <c r="Q16" s="140">
        <f>'תקציב אגף נכסים וביטוח 2022 '!Q16</f>
        <v>0</v>
      </c>
      <c r="R16" s="140">
        <f>'תקציב אגף נכסים וביטוח 2022 '!R16</f>
        <v>0</v>
      </c>
      <c r="S16" s="140">
        <f>'תקציב אגף נכסים וביטוח 2022 '!S16</f>
        <v>0</v>
      </c>
      <c r="T16" s="140">
        <f>'תקציב אגף נכסים וביטוח 2022 '!T16</f>
        <v>0</v>
      </c>
      <c r="U16" s="140">
        <f>'תקציב אגף נכסים וביטוח 2022 '!U16</f>
        <v>600000</v>
      </c>
      <c r="V16" s="140">
        <f>'תקציב אגף נכסים וביטוח 2022 '!V16</f>
        <v>600000</v>
      </c>
      <c r="W16" s="140"/>
      <c r="X16" s="140"/>
      <c r="Y16" s="140"/>
      <c r="Z16" s="140"/>
      <c r="AA16" s="159"/>
      <c r="AB16" s="363" t="str">
        <f>'תקציב אגף נכסים וביטוח 2022 '!AB16</f>
        <v>פינוי  2 דיירים מוגנים מרכז מסחרי כצלנסון גוש 6558 חלקה 151.</v>
      </c>
      <c r="AC16" s="159">
        <f>'תקציב אגף נכסים וביטוח 2022 '!AC16</f>
        <v>930000</v>
      </c>
      <c r="AD16" s="279"/>
      <c r="AE16" s="279"/>
    </row>
    <row r="17" spans="1:31" s="162" customFormat="1" ht="25.15" customHeight="1">
      <c r="A17" s="163">
        <f>A16</f>
        <v>12</v>
      </c>
      <c r="B17" s="163"/>
      <c r="C17" s="166" t="s">
        <v>2324</v>
      </c>
      <c r="D17" s="169">
        <f t="shared" ref="D17:AA17" si="1">SUM(D5:D16)</f>
        <v>121909000</v>
      </c>
      <c r="E17" s="169">
        <f t="shared" si="1"/>
        <v>121809000</v>
      </c>
      <c r="F17" s="169">
        <f t="shared" si="1"/>
        <v>100000</v>
      </c>
      <c r="G17" s="169">
        <f t="shared" si="1"/>
        <v>57751825</v>
      </c>
      <c r="H17" s="169">
        <f t="shared" si="1"/>
        <v>39852303</v>
      </c>
      <c r="I17" s="169">
        <f t="shared" si="1"/>
        <v>2630028</v>
      </c>
      <c r="J17" s="169">
        <f t="shared" si="1"/>
        <v>12003</v>
      </c>
      <c r="K17" s="169">
        <f t="shared" si="1"/>
        <v>2642031</v>
      </c>
      <c r="L17" s="169">
        <f t="shared" si="1"/>
        <v>42494334</v>
      </c>
      <c r="M17" s="169">
        <f t="shared" si="1"/>
        <v>227491</v>
      </c>
      <c r="N17" s="169">
        <f t="shared" si="1"/>
        <v>16120000</v>
      </c>
      <c r="O17" s="169">
        <f t="shared" si="1"/>
        <v>63067175</v>
      </c>
      <c r="P17" s="169">
        <f t="shared" si="1"/>
        <v>15257491</v>
      </c>
      <c r="Q17" s="169">
        <f t="shared" si="1"/>
        <v>0</v>
      </c>
      <c r="R17" s="169">
        <f t="shared" si="1"/>
        <v>0</v>
      </c>
      <c r="S17" s="169">
        <f t="shared" si="1"/>
        <v>0</v>
      </c>
      <c r="T17" s="169">
        <f t="shared" si="1"/>
        <v>15030000</v>
      </c>
      <c r="U17" s="169">
        <f t="shared" si="1"/>
        <v>1090000</v>
      </c>
      <c r="V17" s="169">
        <f t="shared" si="1"/>
        <v>1090000</v>
      </c>
      <c r="W17" s="169">
        <f t="shared" si="1"/>
        <v>0</v>
      </c>
      <c r="X17" s="169">
        <f t="shared" si="1"/>
        <v>0</v>
      </c>
      <c r="Y17" s="169">
        <f t="shared" si="1"/>
        <v>0</v>
      </c>
      <c r="Z17" s="169">
        <f t="shared" si="1"/>
        <v>0</v>
      </c>
      <c r="AA17" s="169">
        <f t="shared" si="1"/>
        <v>0</v>
      </c>
      <c r="AB17" s="163"/>
      <c r="AC17" s="163"/>
      <c r="AD17" s="279"/>
      <c r="AE17" s="279"/>
    </row>
    <row r="18" spans="1:31" hidden="1">
      <c r="L18" s="156">
        <f>K17+H17</f>
        <v>42494334</v>
      </c>
      <c r="M18" s="156">
        <f>P18+S17-T17</f>
        <v>227491</v>
      </c>
      <c r="N18" s="156">
        <f>T17+U17</f>
        <v>16120000</v>
      </c>
      <c r="P18" s="156">
        <f>G17-L18</f>
        <v>15257491</v>
      </c>
    </row>
  </sheetData>
  <sheetProtection formatCells="0" formatColumns="0" formatRows="0" insertColumns="0" insertRows="0" insertHyperlinks="0" deleteColumns="0" deleteRows="0" sort="0" autoFilter="0" pivotTables="0"/>
  <conditionalFormatting sqref="AB4">
    <cfRule type="cellIs" dxfId="64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rowBreaks count="1" manualBreakCount="1">
    <brk id="18" max="27" man="1"/>
  </rowBreak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3:H36"/>
  <sheetViews>
    <sheetView showZeros="0" rightToLeft="1" topLeftCell="A7" zoomScaleNormal="100" workbookViewId="0">
      <selection activeCell="C55" sqref="C55"/>
    </sheetView>
  </sheetViews>
  <sheetFormatPr defaultColWidth="9.140625" defaultRowHeight="14.25"/>
  <cols>
    <col min="1" max="3" width="4.140625" style="213" customWidth="1"/>
    <col min="4" max="4" width="34.85546875" style="213" customWidth="1"/>
    <col min="5" max="5" width="30.42578125" style="213" customWidth="1"/>
    <col min="6" max="6" width="10.85546875" style="213" customWidth="1"/>
    <col min="7" max="16384" width="9.140625" style="213"/>
  </cols>
  <sheetData>
    <row r="3" spans="1:8" ht="20.25">
      <c r="A3" s="212"/>
      <c r="C3" s="214" t="s">
        <v>252</v>
      </c>
      <c r="D3" s="212"/>
      <c r="E3" s="212"/>
      <c r="F3" s="212"/>
    </row>
    <row r="4" spans="1:8" ht="21" thickBot="1">
      <c r="A4" s="212"/>
      <c r="C4" s="214"/>
      <c r="D4" s="212"/>
      <c r="E4" s="212"/>
      <c r="F4" s="212"/>
    </row>
    <row r="5" spans="1:8" ht="16.5" thickBot="1">
      <c r="A5" s="212"/>
      <c r="B5" s="215" t="s">
        <v>160</v>
      </c>
      <c r="C5" s="212" t="s">
        <v>2405</v>
      </c>
      <c r="D5" s="212"/>
      <c r="E5" s="212"/>
      <c r="F5" s="216">
        <f>'תקציב מינהל כללי 2022  '!U14</f>
        <v>8255251</v>
      </c>
    </row>
    <row r="6" spans="1:8" ht="15.75">
      <c r="B6" s="215"/>
      <c r="C6" s="212"/>
      <c r="D6" s="212"/>
      <c r="E6" s="212"/>
      <c r="F6" s="212"/>
      <c r="G6" s="212"/>
      <c r="H6" s="212"/>
    </row>
    <row r="7" spans="1:8" ht="15.75">
      <c r="B7" s="215" t="s">
        <v>160</v>
      </c>
      <c r="C7" s="212" t="s">
        <v>273</v>
      </c>
      <c r="D7" s="212"/>
      <c r="E7" s="212"/>
      <c r="F7" s="212"/>
    </row>
    <row r="8" spans="1:8" ht="16.5" thickBot="1">
      <c r="B8" s="212"/>
      <c r="C8" s="212"/>
      <c r="D8" s="212"/>
      <c r="E8" s="212"/>
      <c r="F8" s="212"/>
      <c r="G8" s="212"/>
      <c r="H8" s="212"/>
    </row>
    <row r="9" spans="1:8" ht="15.75">
      <c r="D9" s="225" t="s">
        <v>274</v>
      </c>
      <c r="E9" s="226" t="s">
        <v>275</v>
      </c>
      <c r="F9" s="227" t="s">
        <v>277</v>
      </c>
      <c r="G9" s="212"/>
      <c r="H9" s="212"/>
    </row>
    <row r="10" spans="1:8" ht="15.75">
      <c r="C10" s="215"/>
      <c r="D10" s="219" t="s">
        <v>13</v>
      </c>
      <c r="E10" s="228">
        <f>'תקציב מינהל כללי 2022  '!V14</f>
        <v>5200000</v>
      </c>
      <c r="F10" s="236">
        <f>E10/$E$13</f>
        <v>0.62990210715579698</v>
      </c>
      <c r="G10" s="212"/>
      <c r="H10" s="212"/>
    </row>
    <row r="11" spans="1:8" ht="15.75">
      <c r="C11" s="215"/>
      <c r="D11" s="219" t="s">
        <v>14</v>
      </c>
      <c r="E11" s="228">
        <f>'תקציב מינהל כללי 2022  '!W14</f>
        <v>3055251</v>
      </c>
      <c r="F11" s="236">
        <f>E11/$E$13</f>
        <v>0.37009789284420302</v>
      </c>
      <c r="G11" s="212"/>
      <c r="H11" s="212"/>
    </row>
    <row r="12" spans="1:8" ht="15.75" hidden="1">
      <c r="C12" s="215"/>
      <c r="D12" s="232" t="s">
        <v>84</v>
      </c>
      <c r="E12" s="300"/>
      <c r="F12" s="236">
        <f>E12/$E$13</f>
        <v>0</v>
      </c>
      <c r="G12" s="212"/>
      <c r="H12" s="212"/>
    </row>
    <row r="13" spans="1:8" ht="16.5" thickBot="1">
      <c r="C13" s="215"/>
      <c r="D13" s="222" t="s">
        <v>94</v>
      </c>
      <c r="E13" s="230">
        <f>SUM(E10:E12)</f>
        <v>8255251</v>
      </c>
      <c r="F13" s="313">
        <f>SUM(F10:F12)</f>
        <v>1</v>
      </c>
      <c r="G13" s="212"/>
      <c r="H13" s="212"/>
    </row>
    <row r="14" spans="1:8" ht="15.75">
      <c r="C14" s="215"/>
      <c r="D14" s="218"/>
      <c r="E14" s="239"/>
      <c r="F14" s="240"/>
      <c r="G14" s="212"/>
      <c r="H14" s="212"/>
    </row>
    <row r="15" spans="1:8" ht="15.75">
      <c r="C15" s="215"/>
      <c r="D15" s="218"/>
      <c r="E15" s="239"/>
      <c r="F15" s="240"/>
      <c r="G15" s="212"/>
      <c r="H15" s="212"/>
    </row>
    <row r="16" spans="1:8" ht="15.75">
      <c r="B16" s="215"/>
      <c r="C16" s="212"/>
      <c r="D16" s="212"/>
      <c r="E16" s="212"/>
      <c r="F16" s="212"/>
    </row>
    <row r="17" spans="2:8" ht="15.75">
      <c r="B17" s="215" t="s">
        <v>160</v>
      </c>
      <c r="C17" s="212" t="s">
        <v>2379</v>
      </c>
      <c r="D17" s="212"/>
      <c r="F17" s="212"/>
      <c r="G17" s="212"/>
      <c r="H17" s="212"/>
    </row>
    <row r="18" spans="2:8" ht="15.75">
      <c r="C18" s="212" t="s">
        <v>485</v>
      </c>
      <c r="D18" s="212"/>
      <c r="E18" s="212"/>
      <c r="F18" s="212"/>
    </row>
    <row r="19" spans="2:8" ht="15.75">
      <c r="B19" s="215"/>
      <c r="C19" s="212" t="s">
        <v>293</v>
      </c>
      <c r="D19" s="212"/>
      <c r="E19" s="212"/>
      <c r="F19" s="212"/>
      <c r="G19" s="212"/>
      <c r="H19" s="212"/>
    </row>
    <row r="20" spans="2:8" ht="15.75">
      <c r="B20" s="215"/>
      <c r="C20" s="212"/>
      <c r="D20" s="212"/>
      <c r="E20" s="212"/>
      <c r="F20" s="212"/>
      <c r="G20" s="212"/>
      <c r="H20" s="212"/>
    </row>
    <row r="21" spans="2:8" ht="15.75">
      <c r="C21" s="310"/>
      <c r="D21" s="312"/>
    </row>
    <row r="36" spans="3:3">
      <c r="C36" s="311"/>
    </row>
  </sheetData>
  <sortState ref="C20">
    <sortCondition ref="C20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G15"/>
  <sheetViews>
    <sheetView showZeros="0" rightToLeft="1" zoomScaleNormal="100" workbookViewId="0">
      <pane xSplit="3" ySplit="4" topLeftCell="D9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9.140625" defaultRowHeight="18.75"/>
  <cols>
    <col min="1" max="1" width="3.28515625" style="261" customWidth="1"/>
    <col min="2" max="2" width="5.140625" style="154" customWidth="1"/>
    <col min="3" max="3" width="20.28515625" style="154" customWidth="1"/>
    <col min="4" max="6" width="10.7109375" style="155" customWidth="1"/>
    <col min="7" max="7" width="9.7109375" style="155" hidden="1" customWidth="1"/>
    <col min="8" max="8" width="10.5703125" style="155" hidden="1" customWidth="1"/>
    <col min="9" max="11" width="8.7109375" style="155" hidden="1" customWidth="1"/>
    <col min="12" max="15" width="10.140625" style="155" customWidth="1"/>
    <col min="16" max="16" width="9.5703125" style="155" hidden="1" customWidth="1"/>
    <col min="17" max="19" width="8.7109375" style="155" hidden="1" customWidth="1"/>
    <col min="20" max="20" width="10.140625" style="155" customWidth="1"/>
    <col min="21" max="23" width="10.140625" style="154" customWidth="1"/>
    <col min="24" max="26" width="8.7109375" style="154" hidden="1" customWidth="1"/>
    <col min="27" max="27" width="7.42578125" style="154" hidden="1" customWidth="1"/>
    <col min="28" max="28" width="31.7109375" style="170" customWidth="1"/>
    <col min="29" max="29" width="7.85546875" style="154" hidden="1" customWidth="1"/>
    <col min="30" max="31" width="14.85546875" style="259" customWidth="1"/>
    <col min="32" max="32" width="9.140625" style="259" customWidth="1"/>
    <col min="33" max="33" width="23.5703125" style="259" customWidth="1"/>
    <col min="34" max="16384" width="9.140625" style="154"/>
  </cols>
  <sheetData>
    <row r="1" spans="1:33" s="259" customFormat="1">
      <c r="A1" s="875"/>
      <c r="B1" s="875"/>
      <c r="C1" s="875"/>
      <c r="D1" s="875"/>
      <c r="E1" s="875"/>
      <c r="F1" s="875"/>
      <c r="G1" s="875"/>
      <c r="H1" s="875"/>
      <c r="I1" s="875"/>
      <c r="J1" s="875"/>
      <c r="K1" s="875"/>
      <c r="L1" s="875"/>
      <c r="M1" s="875"/>
      <c r="N1" s="875"/>
      <c r="O1" s="875"/>
      <c r="P1" s="875"/>
      <c r="Q1" s="875"/>
      <c r="R1" s="875"/>
      <c r="S1" s="875"/>
      <c r="T1" s="875"/>
      <c r="U1" s="875"/>
      <c r="V1" s="875"/>
      <c r="W1" s="875"/>
      <c r="X1" s="280"/>
      <c r="Y1" s="280"/>
      <c r="Z1" s="280"/>
      <c r="AB1" s="260"/>
    </row>
    <row r="2" spans="1:33">
      <c r="A2" s="257" t="s">
        <v>252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</row>
    <row r="4" spans="1:33" s="276" customFormat="1" ht="86.25" customHeight="1">
      <c r="A4" s="175" t="s">
        <v>0</v>
      </c>
      <c r="B4" s="175" t="s">
        <v>1</v>
      </c>
      <c r="C4" s="175" t="s">
        <v>2</v>
      </c>
      <c r="D4" s="175" t="s">
        <v>3</v>
      </c>
      <c r="E4" s="175" t="s">
        <v>4</v>
      </c>
      <c r="F4" s="175" t="s">
        <v>5</v>
      </c>
      <c r="G4" s="175" t="s">
        <v>6</v>
      </c>
      <c r="H4" s="175" t="s">
        <v>7</v>
      </c>
      <c r="I4" s="175" t="s">
        <v>9</v>
      </c>
      <c r="J4" s="175" t="s">
        <v>153</v>
      </c>
      <c r="K4" s="175" t="s">
        <v>10</v>
      </c>
      <c r="L4" s="175" t="s">
        <v>11</v>
      </c>
      <c r="M4" s="9" t="s">
        <v>891</v>
      </c>
      <c r="N4" s="175" t="s">
        <v>892</v>
      </c>
      <c r="O4" s="9" t="s">
        <v>893</v>
      </c>
      <c r="P4" s="9" t="s">
        <v>12</v>
      </c>
      <c r="Q4" s="9" t="s">
        <v>894</v>
      </c>
      <c r="R4" s="9" t="s">
        <v>895</v>
      </c>
      <c r="S4" s="9" t="s">
        <v>896</v>
      </c>
      <c r="T4" s="9" t="s">
        <v>897</v>
      </c>
      <c r="U4" s="9" t="s">
        <v>898</v>
      </c>
      <c r="V4" s="175" t="s">
        <v>13</v>
      </c>
      <c r="W4" s="175" t="s">
        <v>14</v>
      </c>
      <c r="X4" s="175" t="s">
        <v>15</v>
      </c>
      <c r="Y4" s="175" t="s">
        <v>265</v>
      </c>
      <c r="Z4" s="175" t="s">
        <v>749</v>
      </c>
      <c r="AA4" s="175" t="s">
        <v>84</v>
      </c>
      <c r="AB4" s="562" t="s">
        <v>304</v>
      </c>
      <c r="AC4" s="175" t="s">
        <v>16</v>
      </c>
      <c r="AD4" s="259"/>
      <c r="AE4" s="259"/>
      <c r="AF4" s="259"/>
      <c r="AG4" s="259"/>
    </row>
    <row r="5" spans="1:33" s="5" customFormat="1" ht="60">
      <c r="A5" s="3">
        <v>1</v>
      </c>
      <c r="B5" s="3">
        <v>529</v>
      </c>
      <c r="C5" s="3" t="s">
        <v>63</v>
      </c>
      <c r="D5" s="4">
        <v>700000</v>
      </c>
      <c r="E5" s="4">
        <v>700000</v>
      </c>
      <c r="F5" s="4">
        <f t="shared" ref="F5:F11" si="0">D5-E5</f>
        <v>0</v>
      </c>
      <c r="G5" s="4">
        <v>700000</v>
      </c>
      <c r="H5" s="4">
        <v>511921</v>
      </c>
      <c r="I5" s="4">
        <v>0</v>
      </c>
      <c r="J5" s="4">
        <v>0</v>
      </c>
      <c r="K5" s="4">
        <f>I5+J5</f>
        <v>0</v>
      </c>
      <c r="L5" s="4">
        <f>H5+K5</f>
        <v>511921</v>
      </c>
      <c r="M5" s="4">
        <f>P5+S5</f>
        <v>188079</v>
      </c>
      <c r="N5" s="4"/>
      <c r="O5" s="4">
        <f>D5-L5-M5-N5</f>
        <v>0</v>
      </c>
      <c r="P5" s="4">
        <f>G5-L5</f>
        <v>188079</v>
      </c>
      <c r="Q5" s="4"/>
      <c r="R5" s="4"/>
      <c r="S5" s="4">
        <f>SUM(Q5:R5)</f>
        <v>0</v>
      </c>
      <c r="T5" s="4">
        <f>P5-M5+S5</f>
        <v>0</v>
      </c>
      <c r="U5" s="4">
        <f>N5-T5</f>
        <v>0</v>
      </c>
      <c r="V5" s="4">
        <f>U5-W5-Z5-AA5</f>
        <v>0</v>
      </c>
      <c r="W5" s="4"/>
      <c r="X5" s="4"/>
      <c r="Y5" s="4"/>
      <c r="Z5" s="4"/>
      <c r="AA5" s="4"/>
      <c r="AB5" s="160" t="s">
        <v>375</v>
      </c>
      <c r="AC5" s="3">
        <v>840000</v>
      </c>
      <c r="AD5" s="259"/>
      <c r="AE5" s="259"/>
      <c r="AF5" s="259"/>
      <c r="AG5" s="259"/>
    </row>
    <row r="6" spans="1:33" s="5" customFormat="1" ht="42" customHeight="1">
      <c r="A6" s="160">
        <f>A5+1</f>
        <v>2</v>
      </c>
      <c r="B6" s="3">
        <v>1032</v>
      </c>
      <c r="C6" s="3" t="s">
        <v>138</v>
      </c>
      <c r="D6" s="4">
        <f>40500000+3000000-3000000</f>
        <v>40500000</v>
      </c>
      <c r="E6" s="4">
        <v>40500000</v>
      </c>
      <c r="F6" s="4">
        <f t="shared" si="0"/>
        <v>0</v>
      </c>
      <c r="G6" s="4">
        <v>32962968</v>
      </c>
      <c r="H6" s="4">
        <v>30523748</v>
      </c>
      <c r="I6" s="4">
        <v>0</v>
      </c>
      <c r="J6" s="4">
        <v>1854263</v>
      </c>
      <c r="K6" s="4">
        <f t="shared" ref="K6:K12" si="1">I6+J6</f>
        <v>1854263</v>
      </c>
      <c r="L6" s="4">
        <f t="shared" ref="L6:L12" si="2">H6+K6</f>
        <v>32378011</v>
      </c>
      <c r="M6" s="4">
        <f>P6+S6</f>
        <v>584957</v>
      </c>
      <c r="N6" s="4">
        <f>4500000-500000</f>
        <v>4000000</v>
      </c>
      <c r="O6" s="4">
        <f t="shared" ref="O6:O12" si="3">D6-L6-M6-N6</f>
        <v>3537032</v>
      </c>
      <c r="P6" s="4">
        <f t="shared" ref="P6:P12" si="4">G6-L6</f>
        <v>584957</v>
      </c>
      <c r="Q6" s="4"/>
      <c r="R6" s="4"/>
      <c r="S6" s="4">
        <f t="shared" ref="S6:S12" si="5">SUM(Q6:R6)</f>
        <v>0</v>
      </c>
      <c r="T6" s="4">
        <f t="shared" ref="T6:T12" si="6">P6-M6+S6</f>
        <v>0</v>
      </c>
      <c r="U6" s="4">
        <f t="shared" ref="U6:U12" si="7">N6-T6</f>
        <v>4000000</v>
      </c>
      <c r="V6" s="4">
        <v>3900000</v>
      </c>
      <c r="W6" s="4">
        <f>U6-V6-AA6</f>
        <v>100000</v>
      </c>
      <c r="X6" s="4"/>
      <c r="Y6" s="4"/>
      <c r="Z6" s="4"/>
      <c r="AA6" s="4"/>
      <c r="AB6" s="160" t="s">
        <v>1888</v>
      </c>
      <c r="AC6" s="3">
        <v>742000</v>
      </c>
      <c r="AD6" s="259"/>
      <c r="AE6" s="259"/>
      <c r="AF6" s="259"/>
      <c r="AG6" s="259"/>
    </row>
    <row r="7" spans="1:33" s="164" customFormat="1" ht="75">
      <c r="A7" s="160">
        <f t="shared" ref="A7:A13" si="8">A6+1</f>
        <v>3</v>
      </c>
      <c r="B7" s="160">
        <v>1130</v>
      </c>
      <c r="C7" s="160" t="s">
        <v>32</v>
      </c>
      <c r="D7" s="161">
        <v>16000000</v>
      </c>
      <c r="E7" s="161">
        <v>16000000</v>
      </c>
      <c r="F7" s="161">
        <f t="shared" si="0"/>
        <v>0</v>
      </c>
      <c r="G7" s="161">
        <v>14131894</v>
      </c>
      <c r="H7" s="161">
        <v>13798338</v>
      </c>
      <c r="I7" s="161">
        <v>0</v>
      </c>
      <c r="J7" s="161">
        <v>239354</v>
      </c>
      <c r="K7" s="4">
        <f t="shared" si="1"/>
        <v>239354</v>
      </c>
      <c r="L7" s="4">
        <f t="shared" si="2"/>
        <v>14037692</v>
      </c>
      <c r="M7" s="4">
        <f t="shared" ref="M7:M13" si="9">P7+S7</f>
        <v>244202</v>
      </c>
      <c r="N7" s="4">
        <v>300000</v>
      </c>
      <c r="O7" s="4">
        <f t="shared" si="3"/>
        <v>1418106</v>
      </c>
      <c r="P7" s="4">
        <f t="shared" si="4"/>
        <v>94202</v>
      </c>
      <c r="Q7" s="4">
        <v>150000</v>
      </c>
      <c r="R7" s="4"/>
      <c r="S7" s="4">
        <f t="shared" si="5"/>
        <v>150000</v>
      </c>
      <c r="T7" s="4">
        <f t="shared" si="6"/>
        <v>0</v>
      </c>
      <c r="U7" s="4">
        <f t="shared" si="7"/>
        <v>300000</v>
      </c>
      <c r="V7" s="4">
        <f>U7-W7-Z7-AA7</f>
        <v>300000</v>
      </c>
      <c r="W7" s="4"/>
      <c r="X7" s="4"/>
      <c r="Y7" s="4"/>
      <c r="Z7" s="4"/>
      <c r="AA7" s="4"/>
      <c r="AB7" s="160" t="s">
        <v>676</v>
      </c>
      <c r="AC7" s="160">
        <v>742000</v>
      </c>
      <c r="AD7" s="259"/>
      <c r="AE7" s="259"/>
      <c r="AF7" s="259"/>
      <c r="AG7" s="259"/>
    </row>
    <row r="8" spans="1:33" s="164" customFormat="1" ht="30" customHeight="1">
      <c r="A8" s="160">
        <f t="shared" si="8"/>
        <v>4</v>
      </c>
      <c r="B8" s="160">
        <v>1259</v>
      </c>
      <c r="C8" s="160" t="s">
        <v>56</v>
      </c>
      <c r="D8" s="161">
        <v>5460000</v>
      </c>
      <c r="E8" s="161">
        <v>5460000</v>
      </c>
      <c r="F8" s="161">
        <f t="shared" si="0"/>
        <v>0</v>
      </c>
      <c r="G8" s="161">
        <v>4310000</v>
      </c>
      <c r="H8" s="161">
        <v>4216963</v>
      </c>
      <c r="I8" s="161">
        <v>0</v>
      </c>
      <c r="J8" s="161">
        <v>90239</v>
      </c>
      <c r="K8" s="4">
        <f t="shared" si="1"/>
        <v>90239</v>
      </c>
      <c r="L8" s="4">
        <f t="shared" si="2"/>
        <v>4307202</v>
      </c>
      <c r="M8" s="4">
        <f t="shared" si="9"/>
        <v>302798</v>
      </c>
      <c r="N8" s="4">
        <v>500000</v>
      </c>
      <c r="O8" s="4">
        <f t="shared" si="3"/>
        <v>350000</v>
      </c>
      <c r="P8" s="4">
        <f t="shared" si="4"/>
        <v>2798</v>
      </c>
      <c r="Q8" s="4">
        <v>300000</v>
      </c>
      <c r="R8" s="4"/>
      <c r="S8" s="4">
        <f t="shared" si="5"/>
        <v>300000</v>
      </c>
      <c r="T8" s="4">
        <f t="shared" si="6"/>
        <v>0</v>
      </c>
      <c r="U8" s="4">
        <f t="shared" si="7"/>
        <v>500000</v>
      </c>
      <c r="V8" s="4">
        <f>U8-W8-Z8-AA8</f>
        <v>500000</v>
      </c>
      <c r="W8" s="4"/>
      <c r="X8" s="4"/>
      <c r="Y8" s="4"/>
      <c r="Z8" s="4"/>
      <c r="AA8" s="4"/>
      <c r="AB8" s="160" t="s">
        <v>297</v>
      </c>
      <c r="AC8" s="160">
        <v>760000</v>
      </c>
      <c r="AD8" s="259"/>
      <c r="AE8" s="259"/>
      <c r="AF8" s="259"/>
      <c r="AG8" s="259"/>
    </row>
    <row r="9" spans="1:33" s="164" customFormat="1" ht="30" customHeight="1">
      <c r="A9" s="160">
        <f t="shared" si="8"/>
        <v>5</v>
      </c>
      <c r="B9" s="160">
        <v>1260</v>
      </c>
      <c r="C9" s="160" t="s">
        <v>57</v>
      </c>
      <c r="D9" s="161">
        <f>9108000+500000</f>
        <v>9608000</v>
      </c>
      <c r="E9" s="161">
        <v>9108000</v>
      </c>
      <c r="F9" s="161">
        <f t="shared" si="0"/>
        <v>500000</v>
      </c>
      <c r="G9" s="161">
        <v>8858000</v>
      </c>
      <c r="H9" s="161">
        <v>8650105</v>
      </c>
      <c r="I9" s="161">
        <v>0</v>
      </c>
      <c r="J9" s="161">
        <v>69755</v>
      </c>
      <c r="K9" s="4">
        <f t="shared" si="1"/>
        <v>69755</v>
      </c>
      <c r="L9" s="4">
        <f t="shared" si="2"/>
        <v>8719860</v>
      </c>
      <c r="M9" s="4">
        <f t="shared" si="9"/>
        <v>388140</v>
      </c>
      <c r="N9" s="4">
        <v>500000</v>
      </c>
      <c r="O9" s="4">
        <f t="shared" si="3"/>
        <v>0</v>
      </c>
      <c r="P9" s="4">
        <f t="shared" si="4"/>
        <v>138140</v>
      </c>
      <c r="Q9" s="4">
        <v>250000</v>
      </c>
      <c r="R9" s="4"/>
      <c r="S9" s="4">
        <f t="shared" si="5"/>
        <v>250000</v>
      </c>
      <c r="T9" s="4">
        <f t="shared" si="6"/>
        <v>0</v>
      </c>
      <c r="U9" s="4">
        <f t="shared" si="7"/>
        <v>500000</v>
      </c>
      <c r="V9" s="4">
        <f>U9-W9-Z9-AA9</f>
        <v>500000</v>
      </c>
      <c r="W9" s="4"/>
      <c r="X9" s="4"/>
      <c r="Y9" s="4"/>
      <c r="Z9" s="4"/>
      <c r="AA9" s="4"/>
      <c r="AB9" s="160" t="s">
        <v>298</v>
      </c>
      <c r="AC9" s="160">
        <v>760000</v>
      </c>
      <c r="AD9" s="259"/>
      <c r="AE9" s="259"/>
      <c r="AF9" s="259"/>
      <c r="AG9" s="259"/>
    </row>
    <row r="10" spans="1:33" s="164" customFormat="1" ht="45">
      <c r="A10" s="160">
        <f t="shared" si="8"/>
        <v>6</v>
      </c>
      <c r="B10" s="160">
        <v>1422</v>
      </c>
      <c r="C10" s="160" t="s">
        <v>58</v>
      </c>
      <c r="D10" s="161">
        <v>30257000</v>
      </c>
      <c r="E10" s="161">
        <v>30257000</v>
      </c>
      <c r="F10" s="161">
        <f t="shared" si="0"/>
        <v>0</v>
      </c>
      <c r="G10" s="161">
        <v>14182000</v>
      </c>
      <c r="H10" s="161">
        <v>7257000</v>
      </c>
      <c r="I10" s="161">
        <v>0</v>
      </c>
      <c r="J10" s="161">
        <v>0</v>
      </c>
      <c r="K10" s="4">
        <f t="shared" si="1"/>
        <v>0</v>
      </c>
      <c r="L10" s="4">
        <f t="shared" si="2"/>
        <v>7257000</v>
      </c>
      <c r="M10" s="4">
        <f t="shared" si="9"/>
        <v>6925000</v>
      </c>
      <c r="N10" s="4"/>
      <c r="O10" s="4">
        <f t="shared" si="3"/>
        <v>16075000</v>
      </c>
      <c r="P10" s="4">
        <f t="shared" si="4"/>
        <v>6925000</v>
      </c>
      <c r="Q10" s="4"/>
      <c r="R10" s="4"/>
      <c r="S10" s="4">
        <f t="shared" si="5"/>
        <v>0</v>
      </c>
      <c r="T10" s="4">
        <f t="shared" si="6"/>
        <v>0</v>
      </c>
      <c r="U10" s="4">
        <f t="shared" si="7"/>
        <v>0</v>
      </c>
      <c r="V10" s="4">
        <f>U10-W10-Z10-AA10</f>
        <v>0</v>
      </c>
      <c r="W10" s="4"/>
      <c r="X10" s="4"/>
      <c r="Y10" s="4"/>
      <c r="Z10" s="4"/>
      <c r="AA10" s="4"/>
      <c r="AB10" s="160" t="s">
        <v>402</v>
      </c>
      <c r="AC10" s="160">
        <v>730000</v>
      </c>
      <c r="AD10" s="259"/>
      <c r="AE10" s="259"/>
      <c r="AF10" s="259"/>
      <c r="AG10" s="259"/>
    </row>
    <row r="11" spans="1:33" s="164" customFormat="1" ht="30" customHeight="1">
      <c r="A11" s="160">
        <f t="shared" si="8"/>
        <v>7</v>
      </c>
      <c r="B11" s="160">
        <v>1688</v>
      </c>
      <c r="C11" s="160" t="s">
        <v>59</v>
      </c>
      <c r="D11" s="161">
        <v>15133000</v>
      </c>
      <c r="E11" s="161">
        <v>15133000</v>
      </c>
      <c r="F11" s="161">
        <f t="shared" si="0"/>
        <v>0</v>
      </c>
      <c r="G11" s="161">
        <v>15133000</v>
      </c>
      <c r="H11" s="161">
        <v>15133000</v>
      </c>
      <c r="I11" s="161">
        <v>0</v>
      </c>
      <c r="J11" s="161">
        <v>0</v>
      </c>
      <c r="K11" s="4">
        <f t="shared" si="1"/>
        <v>0</v>
      </c>
      <c r="L11" s="4">
        <f t="shared" si="2"/>
        <v>15133000</v>
      </c>
      <c r="M11" s="4">
        <f t="shared" si="9"/>
        <v>0</v>
      </c>
      <c r="N11" s="4"/>
      <c r="O11" s="4">
        <f t="shared" si="3"/>
        <v>0</v>
      </c>
      <c r="P11" s="4">
        <f t="shared" si="4"/>
        <v>0</v>
      </c>
      <c r="Q11" s="4"/>
      <c r="R11" s="4"/>
      <c r="S11" s="4">
        <f t="shared" si="5"/>
        <v>0</v>
      </c>
      <c r="T11" s="4">
        <f t="shared" si="6"/>
        <v>0</v>
      </c>
      <c r="U11" s="4">
        <f t="shared" si="7"/>
        <v>0</v>
      </c>
      <c r="V11" s="4">
        <f>U11-W11-Z11-AA11</f>
        <v>0</v>
      </c>
      <c r="W11" s="4"/>
      <c r="X11" s="4"/>
      <c r="Y11" s="4"/>
      <c r="Z11" s="4"/>
      <c r="AA11" s="4"/>
      <c r="AB11" s="160" t="s">
        <v>403</v>
      </c>
      <c r="AC11" s="160">
        <v>990000</v>
      </c>
      <c r="AD11" s="259"/>
      <c r="AE11" s="259"/>
      <c r="AF11" s="259"/>
      <c r="AG11" s="259"/>
    </row>
    <row r="12" spans="1:33" s="164" customFormat="1" ht="60">
      <c r="A12" s="160">
        <f t="shared" si="8"/>
        <v>8</v>
      </c>
      <c r="B12" s="160">
        <v>2100</v>
      </c>
      <c r="C12" s="160" t="s">
        <v>400</v>
      </c>
      <c r="D12" s="161">
        <f>7874955-4483292+30000</f>
        <v>3421663</v>
      </c>
      <c r="E12" s="161">
        <v>7874955</v>
      </c>
      <c r="F12" s="161">
        <f>D12-E12</f>
        <v>-4453292</v>
      </c>
      <c r="G12" s="161">
        <v>4466412</v>
      </c>
      <c r="H12" s="161">
        <v>2916863.19</v>
      </c>
      <c r="I12" s="161">
        <v>56221</v>
      </c>
      <c r="J12" s="161">
        <v>161332</v>
      </c>
      <c r="K12" s="4">
        <f t="shared" si="1"/>
        <v>217553</v>
      </c>
      <c r="L12" s="4">
        <f t="shared" si="2"/>
        <v>3134416.19</v>
      </c>
      <c r="M12" s="4">
        <f>P12+S12-1674749+600000+30000</f>
        <v>287246.81000000006</v>
      </c>
      <c r="N12" s="4"/>
      <c r="O12" s="4">
        <f t="shared" si="3"/>
        <v>0</v>
      </c>
      <c r="P12" s="4">
        <f t="shared" si="4"/>
        <v>1331995.81</v>
      </c>
      <c r="Q12" s="4"/>
      <c r="R12" s="4"/>
      <c r="S12" s="4">
        <f t="shared" si="5"/>
        <v>0</v>
      </c>
      <c r="T12" s="4">
        <f t="shared" si="6"/>
        <v>1044749</v>
      </c>
      <c r="U12" s="4">
        <f t="shared" si="7"/>
        <v>-1044749</v>
      </c>
      <c r="V12" s="4"/>
      <c r="W12" s="4">
        <f>U12-V12</f>
        <v>-1044749</v>
      </c>
      <c r="X12" s="4"/>
      <c r="Y12" s="4"/>
      <c r="Z12" s="4"/>
      <c r="AA12" s="4"/>
      <c r="AB12" s="160" t="s">
        <v>2373</v>
      </c>
      <c r="AC12" s="160">
        <v>742000</v>
      </c>
      <c r="AD12" s="259"/>
      <c r="AE12" s="259"/>
      <c r="AF12" s="259"/>
      <c r="AG12" s="259"/>
    </row>
    <row r="13" spans="1:33" s="5" customFormat="1" ht="60">
      <c r="A13" s="160">
        <f t="shared" si="8"/>
        <v>9</v>
      </c>
      <c r="B13" s="30">
        <v>2222</v>
      </c>
      <c r="C13" s="160" t="s">
        <v>890</v>
      </c>
      <c r="D13" s="4">
        <f>10000000-2000000</f>
        <v>8000000</v>
      </c>
      <c r="E13" s="4">
        <v>10000000</v>
      </c>
      <c r="F13" s="4">
        <f>D13-E13</f>
        <v>-2000000</v>
      </c>
      <c r="G13" s="4">
        <v>4000000</v>
      </c>
      <c r="H13" s="4">
        <v>540746</v>
      </c>
      <c r="I13" s="4">
        <v>0</v>
      </c>
      <c r="J13" s="4">
        <v>1061261</v>
      </c>
      <c r="K13" s="4">
        <f>SUM(I13:J13)</f>
        <v>1061261</v>
      </c>
      <c r="L13" s="4">
        <f>H13+K13</f>
        <v>1602007</v>
      </c>
      <c r="M13" s="4">
        <f t="shared" si="9"/>
        <v>2397993</v>
      </c>
      <c r="N13" s="4">
        <f>6000000-1000000-1000000</f>
        <v>4000000</v>
      </c>
      <c r="O13" s="4">
        <f>D13-L13-M13-N13</f>
        <v>0</v>
      </c>
      <c r="P13" s="4">
        <f>G13-L13</f>
        <v>2397993</v>
      </c>
      <c r="Q13" s="4"/>
      <c r="R13" s="4"/>
      <c r="S13" s="4">
        <f>SUM(Q13:R13)</f>
        <v>0</v>
      </c>
      <c r="T13" s="4">
        <f>P13-M13+S13</f>
        <v>0</v>
      </c>
      <c r="U13" s="4">
        <f>N13-T13</f>
        <v>4000000</v>
      </c>
      <c r="V13" s="4"/>
      <c r="W13" s="4">
        <f>U13-V13</f>
        <v>4000000</v>
      </c>
      <c r="X13" s="4"/>
      <c r="Y13" s="4"/>
      <c r="Z13" s="4"/>
      <c r="AA13" s="4"/>
      <c r="AB13" s="160" t="s">
        <v>783</v>
      </c>
      <c r="AC13" s="3">
        <v>742000</v>
      </c>
      <c r="AD13" s="259"/>
      <c r="AE13" s="259"/>
      <c r="AF13" s="259"/>
      <c r="AG13" s="259"/>
    </row>
    <row r="14" spans="1:33" s="370" customFormat="1" ht="30" customHeight="1">
      <c r="A14" s="302">
        <f>A13</f>
        <v>9</v>
      </c>
      <c r="B14" s="302"/>
      <c r="C14" s="32" t="s">
        <v>392</v>
      </c>
      <c r="D14" s="369">
        <f>SUM(D5:D13)</f>
        <v>129079663</v>
      </c>
      <c r="E14" s="369">
        <f t="shared" ref="E14:AA14" si="10">SUM(E5:E13)</f>
        <v>135032955</v>
      </c>
      <c r="F14" s="369">
        <f t="shared" si="10"/>
        <v>-5953292</v>
      </c>
      <c r="G14" s="369">
        <f t="shared" si="10"/>
        <v>98744274</v>
      </c>
      <c r="H14" s="369">
        <f t="shared" si="10"/>
        <v>83548684.189999998</v>
      </c>
      <c r="I14" s="369">
        <f t="shared" si="10"/>
        <v>56221</v>
      </c>
      <c r="J14" s="369">
        <f t="shared" si="10"/>
        <v>3476204</v>
      </c>
      <c r="K14" s="369">
        <f t="shared" si="10"/>
        <v>3532425</v>
      </c>
      <c r="L14" s="369">
        <f t="shared" si="10"/>
        <v>87081109.189999998</v>
      </c>
      <c r="M14" s="369">
        <f t="shared" si="10"/>
        <v>11318415.810000001</v>
      </c>
      <c r="N14" s="369">
        <f t="shared" si="10"/>
        <v>9300000</v>
      </c>
      <c r="O14" s="369">
        <f t="shared" si="10"/>
        <v>21380138</v>
      </c>
      <c r="P14" s="369">
        <f t="shared" si="10"/>
        <v>11663164.810000001</v>
      </c>
      <c r="Q14" s="369">
        <f t="shared" si="10"/>
        <v>700000</v>
      </c>
      <c r="R14" s="369">
        <f t="shared" si="10"/>
        <v>0</v>
      </c>
      <c r="S14" s="369">
        <f t="shared" si="10"/>
        <v>700000</v>
      </c>
      <c r="T14" s="369">
        <f t="shared" si="10"/>
        <v>1044749</v>
      </c>
      <c r="U14" s="369">
        <f t="shared" si="10"/>
        <v>8255251</v>
      </c>
      <c r="V14" s="369">
        <f t="shared" si="10"/>
        <v>5200000</v>
      </c>
      <c r="W14" s="369">
        <f t="shared" si="10"/>
        <v>3055251</v>
      </c>
      <c r="X14" s="369">
        <f t="shared" si="10"/>
        <v>0</v>
      </c>
      <c r="Y14" s="369">
        <f t="shared" si="10"/>
        <v>0</v>
      </c>
      <c r="Z14" s="369">
        <f t="shared" si="10"/>
        <v>0</v>
      </c>
      <c r="AA14" s="369">
        <f t="shared" si="10"/>
        <v>0</v>
      </c>
      <c r="AB14" s="369"/>
      <c r="AC14" s="302"/>
      <c r="AD14" s="259"/>
      <c r="AE14" s="259"/>
      <c r="AF14" s="259"/>
      <c r="AG14" s="259"/>
    </row>
    <row r="15" spans="1:33" hidden="1">
      <c r="L15" s="155">
        <f>K14+H14</f>
        <v>87081109.189999998</v>
      </c>
      <c r="M15" s="155">
        <f>P15+S14-T14</f>
        <v>11318415.810000002</v>
      </c>
      <c r="P15" s="155">
        <f>G14-L15</f>
        <v>11663164.810000002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W1"/>
  </mergeCells>
  <conditionalFormatting sqref="AB4">
    <cfRule type="cellIs" dxfId="63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AG20"/>
  <sheetViews>
    <sheetView showZeros="0" rightToLeft="1" zoomScaleNormal="100" workbookViewId="0">
      <pane xSplit="3" ySplit="4" topLeftCell="D5" activePane="bottomRight" state="frozen"/>
      <selection activeCell="E41" sqref="E41"/>
      <selection pane="topRight" activeCell="E41" sqref="E41"/>
      <selection pane="bottomLeft" activeCell="E41" sqref="E41"/>
      <selection pane="bottomRight" activeCell="E41" sqref="E41"/>
    </sheetView>
  </sheetViews>
  <sheetFormatPr defaultColWidth="9.140625" defaultRowHeight="18.75"/>
  <cols>
    <col min="1" max="1" width="3.28515625" style="261" customWidth="1"/>
    <col min="2" max="2" width="5.140625" style="154" customWidth="1"/>
    <col min="3" max="3" width="20.28515625" style="154" customWidth="1"/>
    <col min="4" max="4" width="10.7109375" style="155" customWidth="1"/>
    <col min="5" max="5" width="10.7109375" style="155" hidden="1" customWidth="1"/>
    <col min="6" max="6" width="8.7109375" style="155" hidden="1" customWidth="1"/>
    <col min="7" max="7" width="9.7109375" style="155" hidden="1" customWidth="1"/>
    <col min="8" max="8" width="10.5703125" style="155" hidden="1" customWidth="1"/>
    <col min="9" max="11" width="8.7109375" style="155" hidden="1" customWidth="1"/>
    <col min="12" max="13" width="9.7109375" style="155" customWidth="1"/>
    <col min="14" max="14" width="9.42578125" style="155" customWidth="1"/>
    <col min="15" max="15" width="9.7109375" style="155" customWidth="1"/>
    <col min="16" max="16" width="9.5703125" style="155" hidden="1" customWidth="1"/>
    <col min="17" max="20" width="8.7109375" style="155" hidden="1" customWidth="1"/>
    <col min="21" max="21" width="9.140625" style="154" customWidth="1"/>
    <col min="22" max="22" width="9.7109375" style="154" customWidth="1"/>
    <col min="23" max="23" width="10" style="154" customWidth="1"/>
    <col min="24" max="26" width="8.7109375" style="154" hidden="1" customWidth="1"/>
    <col min="27" max="27" width="7.42578125" style="154" hidden="1" customWidth="1"/>
    <col min="28" max="28" width="31.7109375" style="170" customWidth="1"/>
    <col min="29" max="29" width="7.85546875" style="154" customWidth="1"/>
    <col min="30" max="31" width="14.85546875" style="259" hidden="1" customWidth="1"/>
    <col min="32" max="32" width="9.140625" style="154" hidden="1" customWidth="1"/>
    <col min="33" max="33" width="23.5703125" style="259" hidden="1" customWidth="1"/>
    <col min="34" max="16384" width="9.140625" style="154"/>
  </cols>
  <sheetData>
    <row r="1" spans="1:33" s="259" customFormat="1">
      <c r="A1" s="875"/>
      <c r="B1" s="875"/>
      <c r="C1" s="875"/>
      <c r="D1" s="875"/>
      <c r="E1" s="875"/>
      <c r="F1" s="875"/>
      <c r="G1" s="875"/>
      <c r="H1" s="875"/>
      <c r="I1" s="875"/>
      <c r="J1" s="875"/>
      <c r="K1" s="875"/>
      <c r="L1" s="875"/>
      <c r="M1" s="875"/>
      <c r="N1" s="875"/>
      <c r="O1" s="875"/>
      <c r="P1" s="875"/>
      <c r="Q1" s="875"/>
      <c r="R1" s="875"/>
      <c r="S1" s="875"/>
      <c r="T1" s="875"/>
      <c r="U1" s="875"/>
      <c r="V1" s="875"/>
      <c r="W1" s="875"/>
      <c r="X1" s="280"/>
      <c r="Y1" s="280"/>
      <c r="Z1" s="280"/>
      <c r="AB1" s="260"/>
    </row>
    <row r="2" spans="1:33">
      <c r="A2" s="257" t="s">
        <v>252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</row>
    <row r="4" spans="1:33" s="276" customFormat="1" ht="86.25" customHeight="1">
      <c r="A4" s="175" t="s">
        <v>0</v>
      </c>
      <c r="B4" s="175" t="s">
        <v>1</v>
      </c>
      <c r="C4" s="175" t="s">
        <v>2</v>
      </c>
      <c r="D4" s="175" t="s">
        <v>3</v>
      </c>
      <c r="E4" s="175" t="s">
        <v>4</v>
      </c>
      <c r="F4" s="175" t="s">
        <v>5</v>
      </c>
      <c r="G4" s="175" t="s">
        <v>6</v>
      </c>
      <c r="H4" s="175" t="s">
        <v>7</v>
      </c>
      <c r="I4" s="175" t="s">
        <v>9</v>
      </c>
      <c r="J4" s="175" t="s">
        <v>153</v>
      </c>
      <c r="K4" s="175" t="s">
        <v>10</v>
      </c>
      <c r="L4" s="175" t="s">
        <v>11</v>
      </c>
      <c r="M4" s="9" t="s">
        <v>891</v>
      </c>
      <c r="N4" s="9" t="s">
        <v>892</v>
      </c>
      <c r="O4" s="9" t="s">
        <v>893</v>
      </c>
      <c r="P4" s="9" t="s">
        <v>12</v>
      </c>
      <c r="Q4" s="9" t="s">
        <v>894</v>
      </c>
      <c r="R4" s="9" t="s">
        <v>895</v>
      </c>
      <c r="S4" s="9" t="s">
        <v>896</v>
      </c>
      <c r="T4" s="9" t="s">
        <v>897</v>
      </c>
      <c r="U4" s="9" t="s">
        <v>898</v>
      </c>
      <c r="V4" s="175" t="s">
        <v>13</v>
      </c>
      <c r="W4" s="175" t="s">
        <v>14</v>
      </c>
      <c r="X4" s="175" t="s">
        <v>15</v>
      </c>
      <c r="Y4" s="175" t="s">
        <v>265</v>
      </c>
      <c r="Z4" s="175" t="s">
        <v>749</v>
      </c>
      <c r="AA4" s="175" t="s">
        <v>84</v>
      </c>
      <c r="AB4" s="562" t="s">
        <v>304</v>
      </c>
      <c r="AC4" s="175" t="s">
        <v>16</v>
      </c>
      <c r="AD4" s="175" t="s">
        <v>1858</v>
      </c>
      <c r="AE4" s="175" t="s">
        <v>938</v>
      </c>
      <c r="AF4" s="9" t="s">
        <v>2209</v>
      </c>
      <c r="AG4" s="658" t="s">
        <v>2216</v>
      </c>
    </row>
    <row r="5" spans="1:33" s="5" customFormat="1" ht="45">
      <c r="A5" s="160">
        <v>1</v>
      </c>
      <c r="B5" s="3">
        <f>'תקציב מינהל כללי 2022  '!B10</f>
        <v>1422</v>
      </c>
      <c r="C5" s="255" t="str">
        <f>'תקציב מינהל כללי 2022  '!C10</f>
        <v>הפרשה בגין תביעות תלויות</v>
      </c>
      <c r="D5" s="4">
        <f>'תקציב מינהל כללי 2022  '!D10</f>
        <v>30257000</v>
      </c>
      <c r="E5" s="4">
        <f>'תקציב מינהל כללי 2022  '!E10</f>
        <v>30257000</v>
      </c>
      <c r="F5" s="4">
        <f>'תקציב מינהל כללי 2022  '!F10</f>
        <v>0</v>
      </c>
      <c r="G5" s="4">
        <f>'תקציב מינהל כללי 2022  '!G10</f>
        <v>14182000</v>
      </c>
      <c r="H5" s="4">
        <f>'תקציב מינהל כללי 2022  '!H10</f>
        <v>7257000</v>
      </c>
      <c r="I5" s="4">
        <f>'תקציב מינהל כללי 2022  '!I10</f>
        <v>0</v>
      </c>
      <c r="J5" s="4">
        <f>'תקציב מינהל כללי 2022  '!J10</f>
        <v>0</v>
      </c>
      <c r="K5" s="4">
        <f>'תקציב מינהל כללי 2022  '!K10</f>
        <v>0</v>
      </c>
      <c r="L5" s="4">
        <f>'תקציב מינהל כללי 2022  '!L10</f>
        <v>7257000</v>
      </c>
      <c r="M5" s="4">
        <f>'תקציב מינהל כללי 2022  '!M10</f>
        <v>6925000</v>
      </c>
      <c r="N5" s="4">
        <f>'תקציב מינהל כללי 2022  '!N10</f>
        <v>0</v>
      </c>
      <c r="O5" s="4">
        <f>'תקציב מינהל כללי 2022  '!O10</f>
        <v>16075000</v>
      </c>
      <c r="P5" s="4">
        <f>'תקציב מינהל כללי 2022  '!P10</f>
        <v>6925000</v>
      </c>
      <c r="Q5" s="4">
        <f>'תקציב מינהל כללי 2022  '!Q10</f>
        <v>0</v>
      </c>
      <c r="R5" s="4">
        <f>'תקציב מינהל כללי 2022  '!R10</f>
        <v>0</v>
      </c>
      <c r="S5" s="4">
        <f>'תקציב מינהל כללי 2022  '!S10</f>
        <v>0</v>
      </c>
      <c r="T5" s="4">
        <f>'תקציב מינהל כללי 2022  '!T10</f>
        <v>0</v>
      </c>
      <c r="U5" s="4">
        <f>'תקציב מינהל כללי 2022  '!U10</f>
        <v>0</v>
      </c>
      <c r="V5" s="4">
        <f>'תקציב מינהל כללי 2022  '!V10</f>
        <v>0</v>
      </c>
      <c r="W5" s="4">
        <f>'תקציב מינהל כללי 2022  '!W10</f>
        <v>0</v>
      </c>
      <c r="X5" s="4"/>
      <c r="Y5" s="4"/>
      <c r="Z5" s="4"/>
      <c r="AA5" s="4"/>
      <c r="AB5" s="289" t="str">
        <f>'תקציב מינהל כללי 2022  '!AB10</f>
        <v>הפרשה לתביעות תלויות בעקבות הנחיית אגף הביקורת של משה"פ במסגרת הדוחות הכספיים.</v>
      </c>
      <c r="AC5" s="3">
        <f>'תקציב מינהל כללי 2022  '!AC10</f>
        <v>730000</v>
      </c>
      <c r="AD5" s="160"/>
      <c r="AE5" s="160"/>
      <c r="AF5" s="4"/>
      <c r="AG5" s="160"/>
    </row>
    <row r="6" spans="1:33" s="62" customFormat="1" ht="25.15" customHeight="1">
      <c r="A6" s="266"/>
      <c r="B6" s="32"/>
      <c r="C6" s="358" t="s">
        <v>800</v>
      </c>
      <c r="D6" s="65">
        <f>SUM(D5)</f>
        <v>30257000</v>
      </c>
      <c r="E6" s="65">
        <f t="shared" ref="E6:W6" si="0">SUM(E5)</f>
        <v>30257000</v>
      </c>
      <c r="F6" s="65">
        <f t="shared" si="0"/>
        <v>0</v>
      </c>
      <c r="G6" s="65">
        <f t="shared" si="0"/>
        <v>14182000</v>
      </c>
      <c r="H6" s="65">
        <f t="shared" si="0"/>
        <v>7257000</v>
      </c>
      <c r="I6" s="65">
        <f t="shared" si="0"/>
        <v>0</v>
      </c>
      <c r="J6" s="65">
        <f t="shared" si="0"/>
        <v>0</v>
      </c>
      <c r="K6" s="65">
        <f t="shared" si="0"/>
        <v>0</v>
      </c>
      <c r="L6" s="65">
        <f t="shared" si="0"/>
        <v>7257000</v>
      </c>
      <c r="M6" s="65">
        <f t="shared" si="0"/>
        <v>6925000</v>
      </c>
      <c r="N6" s="65">
        <f t="shared" si="0"/>
        <v>0</v>
      </c>
      <c r="O6" s="65">
        <f t="shared" si="0"/>
        <v>16075000</v>
      </c>
      <c r="P6" s="65">
        <f t="shared" si="0"/>
        <v>6925000</v>
      </c>
      <c r="Q6" s="65">
        <f t="shared" si="0"/>
        <v>0</v>
      </c>
      <c r="R6" s="65">
        <f t="shared" si="0"/>
        <v>0</v>
      </c>
      <c r="S6" s="65">
        <f t="shared" si="0"/>
        <v>0</v>
      </c>
      <c r="T6" s="65">
        <f t="shared" si="0"/>
        <v>0</v>
      </c>
      <c r="U6" s="65">
        <f t="shared" si="0"/>
        <v>0</v>
      </c>
      <c r="V6" s="65">
        <f t="shared" si="0"/>
        <v>0</v>
      </c>
      <c r="W6" s="65">
        <f t="shared" si="0"/>
        <v>0</v>
      </c>
      <c r="X6" s="65"/>
      <c r="Y6" s="65"/>
      <c r="Z6" s="65"/>
      <c r="AA6" s="65"/>
      <c r="AB6" s="368"/>
      <c r="AC6" s="32"/>
      <c r="AD6" s="266"/>
      <c r="AE6" s="266"/>
      <c r="AF6" s="65"/>
      <c r="AG6" s="266"/>
    </row>
    <row r="7" spans="1:33" s="5" customFormat="1" ht="42" customHeight="1">
      <c r="A7" s="160">
        <f>A5+1</f>
        <v>2</v>
      </c>
      <c r="B7" s="3">
        <f>'תקציב מינהל כללי 2022  '!B6</f>
        <v>1032</v>
      </c>
      <c r="C7" s="255" t="str">
        <f>'תקציב מינהל כללי 2022  '!C6</f>
        <v>נגישות לאנשים עם מוגבלויות</v>
      </c>
      <c r="D7" s="4">
        <f>'תקציב מינהל כללי 2022  '!D6</f>
        <v>40500000</v>
      </c>
      <c r="E7" s="4">
        <f>'תקציב מינהל כללי 2022  '!E6</f>
        <v>40500000</v>
      </c>
      <c r="F7" s="4">
        <f>'תקציב מינהל כללי 2022  '!F6</f>
        <v>0</v>
      </c>
      <c r="G7" s="4">
        <f>'תקציב מינהל כללי 2022  '!G6</f>
        <v>32962968</v>
      </c>
      <c r="H7" s="4">
        <f>'תקציב מינהל כללי 2022  '!H6</f>
        <v>30523748</v>
      </c>
      <c r="I7" s="4">
        <f>'תקציב מינהל כללי 2022  '!I6</f>
        <v>0</v>
      </c>
      <c r="J7" s="4">
        <f>'תקציב מינהל כללי 2022  '!J6</f>
        <v>1854263</v>
      </c>
      <c r="K7" s="4">
        <f>'תקציב מינהל כללי 2022  '!K6</f>
        <v>1854263</v>
      </c>
      <c r="L7" s="4">
        <f>'תקציב מינהל כללי 2022  '!L6</f>
        <v>32378011</v>
      </c>
      <c r="M7" s="4">
        <f>'תקציב מינהל כללי 2022  '!M6</f>
        <v>584957</v>
      </c>
      <c r="N7" s="4">
        <f>'תקציב מינהל כללי 2022  '!N6</f>
        <v>4000000</v>
      </c>
      <c r="O7" s="4">
        <f>'תקציב מינהל כללי 2022  '!O6</f>
        <v>3537032</v>
      </c>
      <c r="P7" s="4">
        <f>'תקציב מינהל כללי 2022  '!P6</f>
        <v>584957</v>
      </c>
      <c r="Q7" s="4">
        <f>'תקציב מינהל כללי 2022  '!Q6</f>
        <v>0</v>
      </c>
      <c r="R7" s="4">
        <f>'תקציב מינהל כללי 2022  '!R6</f>
        <v>0</v>
      </c>
      <c r="S7" s="4">
        <f>'תקציב מינהל כללי 2022  '!S6</f>
        <v>0</v>
      </c>
      <c r="T7" s="4">
        <f>'תקציב מינהל כללי 2022  '!T6</f>
        <v>0</v>
      </c>
      <c r="U7" s="4">
        <f>'תקציב מינהל כללי 2022  '!U6</f>
        <v>4000000</v>
      </c>
      <c r="V7" s="4">
        <f>'תקציב מינהל כללי 2022  '!V6</f>
        <v>3900000</v>
      </c>
      <c r="W7" s="4">
        <f>'תקציב מינהל כללי 2022  '!W6</f>
        <v>100000</v>
      </c>
      <c r="X7" s="4"/>
      <c r="Y7" s="4"/>
      <c r="Z7" s="4"/>
      <c r="AA7" s="4"/>
      <c r="AB7" s="289" t="str">
        <f>'תקציב מינהל כללי 2022  '!AB6</f>
        <v xml:space="preserve">עבודות הנגשה של מרחב ציבורי ומבני ציבור כנדרש עפ"י החוק עפ"י תוכנית רב שנתית. </v>
      </c>
      <c r="AC7" s="3">
        <f>'תקציב מינהל כללי 2022  '!AC6</f>
        <v>742000</v>
      </c>
      <c r="AD7" s="266" t="s">
        <v>1889</v>
      </c>
      <c r="AE7" s="266"/>
      <c r="AF7" s="4">
        <v>-1000000</v>
      </c>
      <c r="AG7" s="266"/>
    </row>
    <row r="8" spans="1:33" s="164" customFormat="1" ht="75">
      <c r="A8" s="160">
        <f>A7+1</f>
        <v>3</v>
      </c>
      <c r="B8" s="3">
        <f>'תקציב מינהל כללי 2022  '!B7</f>
        <v>1130</v>
      </c>
      <c r="C8" s="255" t="str">
        <f>'תקציב מינהל כללי 2022  '!C7</f>
        <v>פרויקטים תחבורתיים בעיר</v>
      </c>
      <c r="D8" s="4">
        <f>'תקציב מינהל כללי 2022  '!D7</f>
        <v>16000000</v>
      </c>
      <c r="E8" s="4">
        <f>'תקציב מינהל כללי 2022  '!E7</f>
        <v>16000000</v>
      </c>
      <c r="F8" s="4">
        <f>'תקציב מינהל כללי 2022  '!F7</f>
        <v>0</v>
      </c>
      <c r="G8" s="4">
        <f>'תקציב מינהל כללי 2022  '!G7</f>
        <v>14131894</v>
      </c>
      <c r="H8" s="4">
        <f>'תקציב מינהל כללי 2022  '!H7</f>
        <v>13798338</v>
      </c>
      <c r="I8" s="4">
        <f>'תקציב מינהל כללי 2022  '!I7</f>
        <v>0</v>
      </c>
      <c r="J8" s="4">
        <f>'תקציב מינהל כללי 2022  '!J7</f>
        <v>239354</v>
      </c>
      <c r="K8" s="4">
        <f>'תקציב מינהל כללי 2022  '!K7</f>
        <v>239354</v>
      </c>
      <c r="L8" s="4">
        <f>'תקציב מינהל כללי 2022  '!L7</f>
        <v>14037692</v>
      </c>
      <c r="M8" s="4">
        <f>'תקציב מינהל כללי 2022  '!M7</f>
        <v>244202</v>
      </c>
      <c r="N8" s="4">
        <f>'תקציב מינהל כללי 2022  '!N7</f>
        <v>300000</v>
      </c>
      <c r="O8" s="4">
        <f>'תקציב מינהל כללי 2022  '!O7</f>
        <v>1418106</v>
      </c>
      <c r="P8" s="4">
        <f>'תקציב מינהל כללי 2022  '!P7</f>
        <v>94202</v>
      </c>
      <c r="Q8" s="4">
        <f>'תקציב מינהל כללי 2022  '!Q7</f>
        <v>150000</v>
      </c>
      <c r="R8" s="4">
        <f>'תקציב מינהל כללי 2022  '!R7</f>
        <v>0</v>
      </c>
      <c r="S8" s="4">
        <f>'תקציב מינהל כללי 2022  '!S7</f>
        <v>150000</v>
      </c>
      <c r="T8" s="4">
        <f>'תקציב מינהל כללי 2022  '!T7</f>
        <v>0</v>
      </c>
      <c r="U8" s="4">
        <f>'תקציב מינהל כללי 2022  '!U7</f>
        <v>300000</v>
      </c>
      <c r="V8" s="4">
        <f>'תקציב מינהל כללי 2022  '!V7</f>
        <v>300000</v>
      </c>
      <c r="W8" s="4">
        <f>'תקציב מינהל כללי 2022  '!W7</f>
        <v>0</v>
      </c>
      <c r="X8" s="4"/>
      <c r="Y8" s="4"/>
      <c r="Z8" s="4"/>
      <c r="AA8" s="4"/>
      <c r="AB8" s="289" t="str">
        <f>'תקציב מינהל כללי 2022  '!AB7</f>
        <v xml:space="preserve">מסגרת עבודות של  פרויקטים תחבורתיים עפ"י החלטות ועדת תנועה ופניות הציבור : הסדרים בטיחותיים של צמתים , הסדרי חניה ותכנון תנועתי חדש. </v>
      </c>
      <c r="AC8" s="3">
        <f>'תקציב מינהל כללי 2022  '!AC7</f>
        <v>742000</v>
      </c>
      <c r="AD8" s="160" t="s">
        <v>1890</v>
      </c>
      <c r="AE8" s="160" t="s">
        <v>1890</v>
      </c>
      <c r="AF8" s="4"/>
      <c r="AG8" s="160"/>
    </row>
    <row r="9" spans="1:33" s="164" customFormat="1" ht="60">
      <c r="A9" s="160">
        <f>A8+1</f>
        <v>4</v>
      </c>
      <c r="B9" s="3">
        <f>'תקציב מינהל כללי 2022  '!B12</f>
        <v>2100</v>
      </c>
      <c r="C9" s="255" t="str">
        <f>'תקציב מינהל כללי 2022  '!C12</f>
        <v>פרויקטים דחופים בצ"מ 2019/2020</v>
      </c>
      <c r="D9" s="4">
        <f>'תקציב מינהל כללי 2022  '!D12</f>
        <v>3421663</v>
      </c>
      <c r="E9" s="4">
        <f>'תקציב מינהל כללי 2022  '!E12</f>
        <v>7874955</v>
      </c>
      <c r="F9" s="4">
        <f>'תקציב מינהל כללי 2022  '!F12</f>
        <v>-4453292</v>
      </c>
      <c r="G9" s="4">
        <f>'תקציב מינהל כללי 2022  '!G12</f>
        <v>4466412</v>
      </c>
      <c r="H9" s="4">
        <f>'תקציב מינהל כללי 2022  '!H12</f>
        <v>2916863.19</v>
      </c>
      <c r="I9" s="4">
        <f>'תקציב מינהל כללי 2022  '!I12</f>
        <v>56221</v>
      </c>
      <c r="J9" s="4">
        <f>'תקציב מינהל כללי 2022  '!J12</f>
        <v>161332</v>
      </c>
      <c r="K9" s="4">
        <f>'תקציב מינהל כללי 2022  '!K12</f>
        <v>217553</v>
      </c>
      <c r="L9" s="4">
        <f>'תקציב מינהל כללי 2022  '!L12</f>
        <v>3134416.19</v>
      </c>
      <c r="M9" s="4">
        <f>'תקציב מינהל כללי 2022  '!M12</f>
        <v>287246.81000000006</v>
      </c>
      <c r="N9" s="4">
        <f>'תקציב מינהל כללי 2022  '!N12</f>
        <v>0</v>
      </c>
      <c r="O9" s="4">
        <f>'תקציב מינהל כללי 2022  '!O12</f>
        <v>0</v>
      </c>
      <c r="P9" s="4">
        <f>'תקציב מינהל כללי 2022  '!P12</f>
        <v>1331995.81</v>
      </c>
      <c r="Q9" s="4">
        <f>'תקציב מינהל כללי 2022  '!Q12</f>
        <v>0</v>
      </c>
      <c r="R9" s="4">
        <f>'תקציב מינהל כללי 2022  '!R12</f>
        <v>0</v>
      </c>
      <c r="S9" s="4">
        <f>'תקציב מינהל כללי 2022  '!S12</f>
        <v>0</v>
      </c>
      <c r="T9" s="4">
        <f>'תקציב מינהל כללי 2022  '!T12</f>
        <v>1044749</v>
      </c>
      <c r="U9" s="4">
        <f>'תקציב מינהל כללי 2022  '!U12</f>
        <v>-1044749</v>
      </c>
      <c r="V9" s="4">
        <f>'תקציב מינהל כללי 2022  '!V12</f>
        <v>0</v>
      </c>
      <c r="W9" s="4">
        <f>'תקציב מינהל כללי 2022  '!W12</f>
        <v>-1044749</v>
      </c>
      <c r="X9" s="4"/>
      <c r="Y9" s="4"/>
      <c r="Z9" s="4"/>
      <c r="AA9" s="4"/>
      <c r="AB9" s="289" t="str">
        <f>'תקציב מינהל כללי 2022  '!AB12</f>
        <v>עב' פיתוח דחופות בלתי צפויות, מימוני ביניים, שיתעוררו במהלך השנה ויבוצעו עפ"י החלטות הנהלת העיר. שנים 2019/2020. חן סופיים.</v>
      </c>
      <c r="AC9" s="3">
        <f>'תקציב מינהל כללי 2022  '!AC12</f>
        <v>742000</v>
      </c>
      <c r="AD9" s="160" t="s">
        <v>1891</v>
      </c>
      <c r="AE9" s="160"/>
      <c r="AF9" s="4"/>
      <c r="AG9" s="160"/>
    </row>
    <row r="10" spans="1:33" s="164" customFormat="1" ht="60">
      <c r="A10" s="160">
        <f>A9+1</f>
        <v>5</v>
      </c>
      <c r="B10" s="3">
        <f>'תקציב מינהל כללי 2022  '!B13</f>
        <v>2222</v>
      </c>
      <c r="C10" s="255" t="str">
        <f>'תקציב מינהל כללי 2022  '!C13</f>
        <v>פרויקטים דחופים בצ"מ 2021/2022</v>
      </c>
      <c r="D10" s="4">
        <f>'תקציב מינהל כללי 2022  '!D13</f>
        <v>8000000</v>
      </c>
      <c r="E10" s="4">
        <f>'תקציב מינהל כללי 2022  '!E13</f>
        <v>10000000</v>
      </c>
      <c r="F10" s="4">
        <f>'תקציב מינהל כללי 2022  '!F13</f>
        <v>-2000000</v>
      </c>
      <c r="G10" s="4">
        <f>'תקציב מינהל כללי 2022  '!G13</f>
        <v>4000000</v>
      </c>
      <c r="H10" s="4">
        <f>'תקציב מינהל כללי 2022  '!H13</f>
        <v>540746</v>
      </c>
      <c r="I10" s="4">
        <f>'תקציב מינהל כללי 2022  '!I13</f>
        <v>0</v>
      </c>
      <c r="J10" s="4">
        <f>'תקציב מינהל כללי 2022  '!J13</f>
        <v>1061261</v>
      </c>
      <c r="K10" s="4">
        <f>'תקציב מינהל כללי 2022  '!K13</f>
        <v>1061261</v>
      </c>
      <c r="L10" s="4">
        <f>'תקציב מינהל כללי 2022  '!L13</f>
        <v>1602007</v>
      </c>
      <c r="M10" s="4">
        <f>'תקציב מינהל כללי 2022  '!M13</f>
        <v>2397993</v>
      </c>
      <c r="N10" s="4">
        <f>'תקציב מינהל כללי 2022  '!N13</f>
        <v>4000000</v>
      </c>
      <c r="O10" s="4">
        <f>'תקציב מינהל כללי 2022  '!O13</f>
        <v>0</v>
      </c>
      <c r="P10" s="4">
        <f>'תקציב מינהל כללי 2022  '!P13</f>
        <v>2397993</v>
      </c>
      <c r="Q10" s="4">
        <f>'תקציב מינהל כללי 2022  '!Q13</f>
        <v>0</v>
      </c>
      <c r="R10" s="4">
        <f>'תקציב מינהל כללי 2022  '!R13</f>
        <v>0</v>
      </c>
      <c r="S10" s="4">
        <f>'תקציב מינהל כללי 2022  '!S13</f>
        <v>0</v>
      </c>
      <c r="T10" s="4">
        <f>'תקציב מינהל כללי 2022  '!T13</f>
        <v>0</v>
      </c>
      <c r="U10" s="4">
        <f>'תקציב מינהל כללי 2022  '!U13</f>
        <v>4000000</v>
      </c>
      <c r="V10" s="4">
        <f>'תקציב מינהל כללי 2022  '!V13</f>
        <v>0</v>
      </c>
      <c r="W10" s="4">
        <f>'תקציב מינהל כללי 2022  '!W13</f>
        <v>4000000</v>
      </c>
      <c r="X10" s="4"/>
      <c r="Y10" s="4"/>
      <c r="Z10" s="4"/>
      <c r="AA10" s="4"/>
      <c r="AB10" s="289" t="str">
        <f>'תקציב מינהל כללי 2022  '!AB13</f>
        <v xml:space="preserve">עב' פיתוח דחופות בלתי צפויות, מימוני ביניים, שיתעוררו במהלך השנה ויבוצעו עפ"י החלטות הנהלת העיר. שנים 2021/2022. </v>
      </c>
      <c r="AC10" s="3">
        <f>'תקציב מינהל כללי 2022  '!AC13</f>
        <v>742000</v>
      </c>
      <c r="AD10" s="160"/>
      <c r="AE10" s="160"/>
      <c r="AF10" s="4"/>
      <c r="AG10" s="160"/>
    </row>
    <row r="11" spans="1:33" s="293" customFormat="1" ht="25.15" customHeight="1">
      <c r="A11" s="266"/>
      <c r="B11" s="32"/>
      <c r="C11" s="358" t="s">
        <v>801</v>
      </c>
      <c r="D11" s="65">
        <f>SUM(D7:D10)</f>
        <v>67921663</v>
      </c>
      <c r="E11" s="65">
        <f t="shared" ref="E11:AA11" si="1">SUM(E7:E10)</f>
        <v>74374955</v>
      </c>
      <c r="F11" s="65">
        <f t="shared" si="1"/>
        <v>-6453292</v>
      </c>
      <c r="G11" s="65">
        <f t="shared" si="1"/>
        <v>55561274</v>
      </c>
      <c r="H11" s="65">
        <f t="shared" si="1"/>
        <v>47779695.189999998</v>
      </c>
      <c r="I11" s="65">
        <f t="shared" si="1"/>
        <v>56221</v>
      </c>
      <c r="J11" s="65">
        <f t="shared" si="1"/>
        <v>3316210</v>
      </c>
      <c r="K11" s="65">
        <f t="shared" si="1"/>
        <v>3372431</v>
      </c>
      <c r="L11" s="65">
        <f t="shared" si="1"/>
        <v>51152126.189999998</v>
      </c>
      <c r="M11" s="65">
        <f t="shared" si="1"/>
        <v>3514398.81</v>
      </c>
      <c r="N11" s="65">
        <f t="shared" si="1"/>
        <v>8300000</v>
      </c>
      <c r="O11" s="65">
        <f t="shared" si="1"/>
        <v>4955138</v>
      </c>
      <c r="P11" s="65">
        <f t="shared" si="1"/>
        <v>4409147.8100000005</v>
      </c>
      <c r="Q11" s="65">
        <f t="shared" si="1"/>
        <v>150000</v>
      </c>
      <c r="R11" s="65">
        <f t="shared" si="1"/>
        <v>0</v>
      </c>
      <c r="S11" s="65">
        <f t="shared" si="1"/>
        <v>150000</v>
      </c>
      <c r="T11" s="65">
        <f t="shared" si="1"/>
        <v>1044749</v>
      </c>
      <c r="U11" s="65">
        <f t="shared" si="1"/>
        <v>7255251</v>
      </c>
      <c r="V11" s="65">
        <f t="shared" si="1"/>
        <v>4200000</v>
      </c>
      <c r="W11" s="65">
        <f t="shared" si="1"/>
        <v>3055251</v>
      </c>
      <c r="X11" s="65">
        <f t="shared" si="1"/>
        <v>0</v>
      </c>
      <c r="Y11" s="65">
        <f t="shared" si="1"/>
        <v>0</v>
      </c>
      <c r="Z11" s="65">
        <f t="shared" si="1"/>
        <v>0</v>
      </c>
      <c r="AA11" s="65">
        <f t="shared" si="1"/>
        <v>0</v>
      </c>
      <c r="AB11" s="368"/>
      <c r="AC11" s="32"/>
      <c r="AD11" s="266"/>
      <c r="AE11" s="266"/>
      <c r="AF11" s="65"/>
      <c r="AG11" s="266"/>
    </row>
    <row r="12" spans="1:33" s="164" customFormat="1" ht="45">
      <c r="A12" s="160">
        <f>A10+1</f>
        <v>6</v>
      </c>
      <c r="B12" s="3">
        <f>'תקציב מינהל כללי 2022  '!B8</f>
        <v>1259</v>
      </c>
      <c r="C12" s="255" t="str">
        <f>'תקציב מינהל כללי 2022  '!C8</f>
        <v>מדידות נכסים לחיוב היטלי פיתוח</v>
      </c>
      <c r="D12" s="4">
        <f>'תקציב מינהל כללי 2022  '!D8</f>
        <v>5460000</v>
      </c>
      <c r="E12" s="4">
        <f>'תקציב מינהל כללי 2022  '!E8</f>
        <v>5460000</v>
      </c>
      <c r="F12" s="4">
        <f>'תקציב מינהל כללי 2022  '!F8</f>
        <v>0</v>
      </c>
      <c r="G12" s="4">
        <f>'תקציב מינהל כללי 2022  '!G8</f>
        <v>4310000</v>
      </c>
      <c r="H12" s="4">
        <f>'תקציב מינהל כללי 2022  '!H8</f>
        <v>4216963</v>
      </c>
      <c r="I12" s="4">
        <f>'תקציב מינהל כללי 2022  '!I8</f>
        <v>0</v>
      </c>
      <c r="J12" s="4">
        <f>'תקציב מינהל כללי 2022  '!J8</f>
        <v>90239</v>
      </c>
      <c r="K12" s="4">
        <f>'תקציב מינהל כללי 2022  '!K8</f>
        <v>90239</v>
      </c>
      <c r="L12" s="4">
        <f>'תקציב מינהל כללי 2022  '!L8</f>
        <v>4307202</v>
      </c>
      <c r="M12" s="4">
        <f>'תקציב מינהל כללי 2022  '!M8</f>
        <v>302798</v>
      </c>
      <c r="N12" s="4">
        <f>'תקציב מינהל כללי 2022  '!N8</f>
        <v>500000</v>
      </c>
      <c r="O12" s="4">
        <f>'תקציב מינהל כללי 2022  '!O8</f>
        <v>350000</v>
      </c>
      <c r="P12" s="4">
        <f>'תקציב מינהל כללי 2022  '!P8</f>
        <v>2798</v>
      </c>
      <c r="Q12" s="4">
        <f>'תקציב מינהל כללי 2022  '!Q8</f>
        <v>300000</v>
      </c>
      <c r="R12" s="4">
        <f>'תקציב מינהל כללי 2022  '!R8</f>
        <v>0</v>
      </c>
      <c r="S12" s="4">
        <f>'תקציב מינהל כללי 2022  '!S8</f>
        <v>300000</v>
      </c>
      <c r="T12" s="4">
        <f>'תקציב מינהל כללי 2022  '!T8</f>
        <v>0</v>
      </c>
      <c r="U12" s="4">
        <f>'תקציב מינהל כללי 2022  '!U8</f>
        <v>500000</v>
      </c>
      <c r="V12" s="4">
        <f>'תקציב מינהל כללי 2022  '!V8</f>
        <v>500000</v>
      </c>
      <c r="W12" s="4">
        <f>'תקציב מינהל כללי 2022  '!W8</f>
        <v>0</v>
      </c>
      <c r="X12" s="4"/>
      <c r="Y12" s="4"/>
      <c r="Z12" s="4"/>
      <c r="AA12" s="4"/>
      <c r="AB12" s="289" t="str">
        <f>'תקציב מינהל כללי 2022  '!AB8</f>
        <v>מדידת נכסים בעת ביצוע עב' פיתוח לצורך חיוב הנכסים עפ"י שטחם בפועל.</v>
      </c>
      <c r="AC12" s="3">
        <f>'תקציב מינהל כללי 2022  '!AC8</f>
        <v>760000</v>
      </c>
      <c r="AD12" s="160" t="s">
        <v>1890</v>
      </c>
      <c r="AE12" s="160" t="s">
        <v>1890</v>
      </c>
      <c r="AF12" s="4"/>
      <c r="AG12" s="160"/>
    </row>
    <row r="13" spans="1:33" s="164" customFormat="1" ht="30" customHeight="1">
      <c r="A13" s="160">
        <f>A12+1</f>
        <v>7</v>
      </c>
      <c r="B13" s="3">
        <f>'תקציב מינהל כללי 2022  '!B9</f>
        <v>1260</v>
      </c>
      <c r="C13" s="255" t="str">
        <f>'תקציב מינהל כללי 2022  '!C9</f>
        <v>בדיקות חיוב להיטלי פיתוח</v>
      </c>
      <c r="D13" s="4">
        <f>'תקציב מינהל כללי 2022  '!D9</f>
        <v>9608000</v>
      </c>
      <c r="E13" s="4">
        <f>'תקציב מינהל כללי 2022  '!E9</f>
        <v>9108000</v>
      </c>
      <c r="F13" s="4">
        <f>'תקציב מינהל כללי 2022  '!F9</f>
        <v>500000</v>
      </c>
      <c r="G13" s="4">
        <f>'תקציב מינהל כללי 2022  '!G9</f>
        <v>8858000</v>
      </c>
      <c r="H13" s="4">
        <f>'תקציב מינהל כללי 2022  '!H9</f>
        <v>8650105</v>
      </c>
      <c r="I13" s="4">
        <f>'תקציב מינהל כללי 2022  '!I9</f>
        <v>0</v>
      </c>
      <c r="J13" s="4">
        <f>'תקציב מינהל כללי 2022  '!J9</f>
        <v>69755</v>
      </c>
      <c r="K13" s="4">
        <f>'תקציב מינהל כללי 2022  '!K9</f>
        <v>69755</v>
      </c>
      <c r="L13" s="4">
        <f>'תקציב מינהל כללי 2022  '!L9</f>
        <v>8719860</v>
      </c>
      <c r="M13" s="4">
        <f>'תקציב מינהל כללי 2022  '!M9</f>
        <v>388140</v>
      </c>
      <c r="N13" s="4">
        <f>'תקציב מינהל כללי 2022  '!N9</f>
        <v>500000</v>
      </c>
      <c r="O13" s="4">
        <f>'תקציב מינהל כללי 2022  '!O9</f>
        <v>0</v>
      </c>
      <c r="P13" s="4">
        <f>'תקציב מינהל כללי 2022  '!P9</f>
        <v>138140</v>
      </c>
      <c r="Q13" s="4">
        <f>'תקציב מינהל כללי 2022  '!Q9</f>
        <v>250000</v>
      </c>
      <c r="R13" s="4">
        <f>'תקציב מינהל כללי 2022  '!R9</f>
        <v>0</v>
      </c>
      <c r="S13" s="4">
        <f>'תקציב מינהל כללי 2022  '!S9</f>
        <v>250000</v>
      </c>
      <c r="T13" s="4">
        <f>'תקציב מינהל כללי 2022  '!T9</f>
        <v>0</v>
      </c>
      <c r="U13" s="4">
        <f>'תקציב מינהל כללי 2022  '!U9</f>
        <v>500000</v>
      </c>
      <c r="V13" s="4">
        <f>'תקציב מינהל כללי 2022  '!V9</f>
        <v>500000</v>
      </c>
      <c r="W13" s="4">
        <f>'תקציב מינהל כללי 2022  '!W9</f>
        <v>0</v>
      </c>
      <c r="X13" s="4"/>
      <c r="Y13" s="4"/>
      <c r="Z13" s="4"/>
      <c r="AA13" s="4"/>
      <c r="AB13" s="289" t="str">
        <f>'תקציב מינהל כללי 2022  '!AB9</f>
        <v>בדיקת תשלומי היטלי פיתוח בגין נכסים בעת ביצוע עב' פיתוח.</v>
      </c>
      <c r="AC13" s="3">
        <f>'תקציב מינהל כללי 2022  '!AC9</f>
        <v>760000</v>
      </c>
      <c r="AD13" s="160" t="s">
        <v>1890</v>
      </c>
      <c r="AE13" s="160" t="s">
        <v>1890</v>
      </c>
      <c r="AF13" s="4"/>
      <c r="AG13" s="160"/>
    </row>
    <row r="14" spans="1:33" s="293" customFormat="1" ht="25.15" customHeight="1">
      <c r="A14" s="266"/>
      <c r="B14" s="32"/>
      <c r="C14" s="358" t="s">
        <v>802</v>
      </c>
      <c r="D14" s="65">
        <f>SUM(D12:D13)</f>
        <v>15068000</v>
      </c>
      <c r="E14" s="65">
        <f t="shared" ref="E14:AA14" si="2">SUM(E12:E13)</f>
        <v>14568000</v>
      </c>
      <c r="F14" s="65">
        <f t="shared" si="2"/>
        <v>500000</v>
      </c>
      <c r="G14" s="65">
        <f t="shared" si="2"/>
        <v>13168000</v>
      </c>
      <c r="H14" s="65">
        <f t="shared" si="2"/>
        <v>12867068</v>
      </c>
      <c r="I14" s="65">
        <f t="shared" si="2"/>
        <v>0</v>
      </c>
      <c r="J14" s="65">
        <f t="shared" si="2"/>
        <v>159994</v>
      </c>
      <c r="K14" s="65">
        <f t="shared" si="2"/>
        <v>159994</v>
      </c>
      <c r="L14" s="65">
        <f t="shared" si="2"/>
        <v>13027062</v>
      </c>
      <c r="M14" s="65">
        <f t="shared" si="2"/>
        <v>690938</v>
      </c>
      <c r="N14" s="65">
        <f t="shared" si="2"/>
        <v>1000000</v>
      </c>
      <c r="O14" s="65">
        <f t="shared" si="2"/>
        <v>350000</v>
      </c>
      <c r="P14" s="65">
        <f t="shared" si="2"/>
        <v>140938</v>
      </c>
      <c r="Q14" s="65">
        <f t="shared" si="2"/>
        <v>550000</v>
      </c>
      <c r="R14" s="65">
        <f t="shared" si="2"/>
        <v>0</v>
      </c>
      <c r="S14" s="65">
        <f t="shared" si="2"/>
        <v>550000</v>
      </c>
      <c r="T14" s="65">
        <f t="shared" si="2"/>
        <v>0</v>
      </c>
      <c r="U14" s="65">
        <f t="shared" si="2"/>
        <v>1000000</v>
      </c>
      <c r="V14" s="65">
        <f t="shared" si="2"/>
        <v>1000000</v>
      </c>
      <c r="W14" s="65">
        <f t="shared" si="2"/>
        <v>0</v>
      </c>
      <c r="X14" s="65">
        <f t="shared" si="2"/>
        <v>0</v>
      </c>
      <c r="Y14" s="65">
        <f t="shared" si="2"/>
        <v>0</v>
      </c>
      <c r="Z14" s="65">
        <f t="shared" si="2"/>
        <v>0</v>
      </c>
      <c r="AA14" s="65">
        <f t="shared" si="2"/>
        <v>0</v>
      </c>
      <c r="AB14" s="368"/>
      <c r="AC14" s="32"/>
      <c r="AD14" s="266"/>
      <c r="AE14" s="266"/>
      <c r="AF14" s="65"/>
      <c r="AG14" s="266"/>
    </row>
    <row r="15" spans="1:33" s="164" customFormat="1" ht="60">
      <c r="A15" s="160">
        <f>A13+1</f>
        <v>8</v>
      </c>
      <c r="B15" s="3">
        <f>'תקציב מינהל כללי 2022  '!B5</f>
        <v>529</v>
      </c>
      <c r="C15" s="255" t="str">
        <f>'תקציב מינהל כללי 2022  '!C5</f>
        <v>שיפוץ דירות עמידר</v>
      </c>
      <c r="D15" s="4">
        <f>'תקציב מינהל כללי 2022  '!D5</f>
        <v>700000</v>
      </c>
      <c r="E15" s="4">
        <f>'תקציב מינהל כללי 2022  '!E5</f>
        <v>700000</v>
      </c>
      <c r="F15" s="4">
        <f>'תקציב מינהל כללי 2022  '!F5</f>
        <v>0</v>
      </c>
      <c r="G15" s="4">
        <f>'תקציב מינהל כללי 2022  '!G5</f>
        <v>700000</v>
      </c>
      <c r="H15" s="4">
        <f>'תקציב מינהל כללי 2022  '!H5</f>
        <v>511921</v>
      </c>
      <c r="I15" s="4">
        <f>'תקציב מינהל כללי 2022  '!I5</f>
        <v>0</v>
      </c>
      <c r="J15" s="4">
        <f>'תקציב מינהל כללי 2022  '!J5</f>
        <v>0</v>
      </c>
      <c r="K15" s="4">
        <f>'תקציב מינהל כללי 2022  '!K5</f>
        <v>0</v>
      </c>
      <c r="L15" s="4">
        <f>'תקציב מינהל כללי 2022  '!L5</f>
        <v>511921</v>
      </c>
      <c r="M15" s="4">
        <f>'תקציב מינהל כללי 2022  '!M5</f>
        <v>188079</v>
      </c>
      <c r="N15" s="4">
        <f>'תקציב מינהל כללי 2022  '!N5</f>
        <v>0</v>
      </c>
      <c r="O15" s="4">
        <f>'תקציב מינהל כללי 2022  '!O5</f>
        <v>0</v>
      </c>
      <c r="P15" s="4">
        <f>'תקציב מינהל כללי 2022  '!P5</f>
        <v>188079</v>
      </c>
      <c r="Q15" s="4">
        <f>'תקציב מינהל כללי 2022  '!Q5</f>
        <v>0</v>
      </c>
      <c r="R15" s="4">
        <f>'תקציב מינהל כללי 2022  '!R5</f>
        <v>0</v>
      </c>
      <c r="S15" s="4">
        <f>'תקציב מינהל כללי 2022  '!S5</f>
        <v>0</v>
      </c>
      <c r="T15" s="4">
        <f>'תקציב מינהל כללי 2022  '!T5</f>
        <v>0</v>
      </c>
      <c r="U15" s="4">
        <f>'תקציב מינהל כללי 2022  '!U5</f>
        <v>0</v>
      </c>
      <c r="V15" s="4">
        <f>'תקציב מינהל כללי 2022  '!V5</f>
        <v>0</v>
      </c>
      <c r="W15" s="4">
        <f>'תקציב מינהל כללי 2022  '!W5</f>
        <v>0</v>
      </c>
      <c r="X15" s="4"/>
      <c r="Y15" s="4"/>
      <c r="Z15" s="4"/>
      <c r="AA15" s="4"/>
      <c r="AB15" s="289" t="str">
        <f>'תקציב מינהל כללי 2022  '!AB5</f>
        <v>שיפוץ פנים הדירות של דיירי עמידר הנמצאים במצב סוציו אוקונומי קשה. העבודה מבוצעת ע"י חברת עמידר השתתפות העיריה 50%.</v>
      </c>
      <c r="AC15" s="3">
        <f>'תקציב מינהל כללי 2022  '!AC5</f>
        <v>840000</v>
      </c>
      <c r="AD15" s="266" t="s">
        <v>1886</v>
      </c>
      <c r="AE15" s="266" t="s">
        <v>1887</v>
      </c>
      <c r="AF15" s="4"/>
      <c r="AG15" s="272" t="s">
        <v>2217</v>
      </c>
    </row>
    <row r="16" spans="1:33" s="293" customFormat="1" ht="25.15" customHeight="1">
      <c r="A16" s="266"/>
      <c r="B16" s="32"/>
      <c r="C16" s="358" t="s">
        <v>806</v>
      </c>
      <c r="D16" s="65">
        <f>SUM(D15)</f>
        <v>700000</v>
      </c>
      <c r="E16" s="65">
        <f t="shared" ref="E16:W16" si="3">SUM(E15)</f>
        <v>700000</v>
      </c>
      <c r="F16" s="65">
        <f t="shared" si="3"/>
        <v>0</v>
      </c>
      <c r="G16" s="65">
        <f t="shared" si="3"/>
        <v>700000</v>
      </c>
      <c r="H16" s="65">
        <f t="shared" si="3"/>
        <v>511921</v>
      </c>
      <c r="I16" s="65">
        <f t="shared" si="3"/>
        <v>0</v>
      </c>
      <c r="J16" s="65">
        <f t="shared" si="3"/>
        <v>0</v>
      </c>
      <c r="K16" s="65">
        <f t="shared" si="3"/>
        <v>0</v>
      </c>
      <c r="L16" s="65">
        <f t="shared" si="3"/>
        <v>511921</v>
      </c>
      <c r="M16" s="65">
        <f t="shared" si="3"/>
        <v>188079</v>
      </c>
      <c r="N16" s="65">
        <f t="shared" si="3"/>
        <v>0</v>
      </c>
      <c r="O16" s="65">
        <f t="shared" si="3"/>
        <v>0</v>
      </c>
      <c r="P16" s="65">
        <f t="shared" si="3"/>
        <v>188079</v>
      </c>
      <c r="Q16" s="65">
        <f t="shared" si="3"/>
        <v>0</v>
      </c>
      <c r="R16" s="65">
        <f t="shared" si="3"/>
        <v>0</v>
      </c>
      <c r="S16" s="65">
        <f t="shared" si="3"/>
        <v>0</v>
      </c>
      <c r="T16" s="65">
        <f t="shared" si="3"/>
        <v>0</v>
      </c>
      <c r="U16" s="65">
        <f t="shared" si="3"/>
        <v>0</v>
      </c>
      <c r="V16" s="65">
        <f t="shared" si="3"/>
        <v>0</v>
      </c>
      <c r="W16" s="65">
        <f t="shared" si="3"/>
        <v>0</v>
      </c>
      <c r="X16" s="65"/>
      <c r="Y16" s="65"/>
      <c r="Z16" s="65"/>
      <c r="AA16" s="65"/>
      <c r="AB16" s="368"/>
      <c r="AC16" s="32"/>
      <c r="AD16" s="266"/>
      <c r="AE16" s="266"/>
      <c r="AF16" s="65"/>
      <c r="AG16" s="266"/>
    </row>
    <row r="17" spans="1:33" s="5" customFormat="1" ht="45">
      <c r="A17" s="160">
        <f>A15+1</f>
        <v>9</v>
      </c>
      <c r="B17" s="3">
        <f>'תקציב מינהל כללי 2022  '!B11</f>
        <v>1688</v>
      </c>
      <c r="C17" s="255" t="str">
        <f>'תקציב מינהל כללי 2022  '!C11</f>
        <v>הלוואה לטובת אוצר המדינה</v>
      </c>
      <c r="D17" s="4">
        <f>'תקציב מינהל כללי 2022  '!D11</f>
        <v>15133000</v>
      </c>
      <c r="E17" s="4">
        <f>'תקציב מינהל כללי 2022  '!E11</f>
        <v>15133000</v>
      </c>
      <c r="F17" s="4">
        <f>'תקציב מינהל כללי 2022  '!F11</f>
        <v>0</v>
      </c>
      <c r="G17" s="4">
        <f>'תקציב מינהל כללי 2022  '!G11</f>
        <v>15133000</v>
      </c>
      <c r="H17" s="4">
        <f>'תקציב מינהל כללי 2022  '!H11</f>
        <v>15133000</v>
      </c>
      <c r="I17" s="4">
        <f>'תקציב מינהל כללי 2022  '!I11</f>
        <v>0</v>
      </c>
      <c r="J17" s="4">
        <f>'תקציב מינהל כללי 2022  '!J11</f>
        <v>0</v>
      </c>
      <c r="K17" s="4">
        <f>'תקציב מינהל כללי 2022  '!K11</f>
        <v>0</v>
      </c>
      <c r="L17" s="4">
        <f>'תקציב מינהל כללי 2022  '!L11</f>
        <v>15133000</v>
      </c>
      <c r="M17" s="4">
        <f>'תקציב מינהל כללי 2022  '!M11</f>
        <v>0</v>
      </c>
      <c r="N17" s="4">
        <f>'תקציב מינהל כללי 2022  '!N11</f>
        <v>0</v>
      </c>
      <c r="O17" s="4">
        <f>'תקציב מינהל כללי 2022  '!O11</f>
        <v>0</v>
      </c>
      <c r="P17" s="4">
        <f>'תקציב מינהל כללי 2022  '!P11</f>
        <v>0</v>
      </c>
      <c r="Q17" s="4">
        <f>'תקציב מינהל כללי 2022  '!Q11</f>
        <v>0</v>
      </c>
      <c r="R17" s="4">
        <f>'תקציב מינהל כללי 2022  '!R11</f>
        <v>0</v>
      </c>
      <c r="S17" s="4">
        <f>'תקציב מינהל כללי 2022  '!S11</f>
        <v>0</v>
      </c>
      <c r="T17" s="4">
        <f>'תקציב מינהל כללי 2022  '!T11</f>
        <v>0</v>
      </c>
      <c r="U17" s="4">
        <f>'תקציב מינהל כללי 2022  '!U11</f>
        <v>0</v>
      </c>
      <c r="V17" s="4">
        <f>'תקציב מינהל כללי 2022  '!V11</f>
        <v>0</v>
      </c>
      <c r="W17" s="4">
        <f>'תקציב מינהל כללי 2022  '!W11</f>
        <v>0</v>
      </c>
      <c r="X17" s="4"/>
      <c r="Y17" s="4"/>
      <c r="Z17" s="4"/>
      <c r="AA17" s="4"/>
      <c r="AB17" s="289" t="str">
        <f>'תקציב מינהל כללי 2022  '!AB11</f>
        <v>במסגרת סיכום עקרונות בין משרד האוצר לשלטון המקומי  מ - 12.5.2013.</v>
      </c>
      <c r="AC17" s="3">
        <f>'תקציב מינהל כללי 2022  '!AC11</f>
        <v>990000</v>
      </c>
      <c r="AD17" s="160"/>
      <c r="AE17" s="160"/>
      <c r="AF17" s="4"/>
      <c r="AG17" s="160"/>
    </row>
    <row r="18" spans="1:33" s="62" customFormat="1" ht="25.15" customHeight="1">
      <c r="A18" s="266"/>
      <c r="B18" s="32"/>
      <c r="C18" s="358" t="s">
        <v>813</v>
      </c>
      <c r="D18" s="65">
        <f>SUM(D17)</f>
        <v>15133000</v>
      </c>
      <c r="E18" s="65">
        <f t="shared" ref="E18:W18" si="4">SUM(E17)</f>
        <v>15133000</v>
      </c>
      <c r="F18" s="65">
        <f t="shared" si="4"/>
        <v>0</v>
      </c>
      <c r="G18" s="65">
        <f t="shared" si="4"/>
        <v>15133000</v>
      </c>
      <c r="H18" s="65">
        <f t="shared" si="4"/>
        <v>15133000</v>
      </c>
      <c r="I18" s="65">
        <f t="shared" si="4"/>
        <v>0</v>
      </c>
      <c r="J18" s="65">
        <f t="shared" si="4"/>
        <v>0</v>
      </c>
      <c r="K18" s="65">
        <f t="shared" si="4"/>
        <v>0</v>
      </c>
      <c r="L18" s="65">
        <f t="shared" si="4"/>
        <v>15133000</v>
      </c>
      <c r="M18" s="65">
        <f t="shared" si="4"/>
        <v>0</v>
      </c>
      <c r="N18" s="65">
        <f t="shared" si="4"/>
        <v>0</v>
      </c>
      <c r="O18" s="65">
        <f t="shared" si="4"/>
        <v>0</v>
      </c>
      <c r="P18" s="65">
        <f t="shared" si="4"/>
        <v>0</v>
      </c>
      <c r="Q18" s="65">
        <f t="shared" si="4"/>
        <v>0</v>
      </c>
      <c r="R18" s="65">
        <f t="shared" si="4"/>
        <v>0</v>
      </c>
      <c r="S18" s="65">
        <f t="shared" si="4"/>
        <v>0</v>
      </c>
      <c r="T18" s="65">
        <f t="shared" si="4"/>
        <v>0</v>
      </c>
      <c r="U18" s="65">
        <f t="shared" si="4"/>
        <v>0</v>
      </c>
      <c r="V18" s="65">
        <f t="shared" si="4"/>
        <v>0</v>
      </c>
      <c r="W18" s="65">
        <f t="shared" si="4"/>
        <v>0</v>
      </c>
      <c r="X18" s="65"/>
      <c r="Y18" s="65"/>
      <c r="Z18" s="65"/>
      <c r="AA18" s="65"/>
      <c r="AB18" s="368"/>
      <c r="AC18" s="32"/>
      <c r="AD18" s="266"/>
      <c r="AE18" s="266"/>
      <c r="AF18" s="65"/>
      <c r="AG18" s="266"/>
    </row>
    <row r="19" spans="1:33" s="370" customFormat="1" ht="25.15" customHeight="1">
      <c r="A19" s="302">
        <f>A17</f>
        <v>9</v>
      </c>
      <c r="B19" s="302"/>
      <c r="C19" s="32" t="s">
        <v>392</v>
      </c>
      <c r="D19" s="369">
        <f>D18+D16+D14+D11+D6</f>
        <v>129079663</v>
      </c>
      <c r="E19" s="369">
        <f t="shared" ref="E19:W19" si="5">E18+E16+E14+E11+E6</f>
        <v>135032955</v>
      </c>
      <c r="F19" s="369">
        <f t="shared" si="5"/>
        <v>-5953292</v>
      </c>
      <c r="G19" s="369">
        <f t="shared" si="5"/>
        <v>98744274</v>
      </c>
      <c r="H19" s="369">
        <f t="shared" si="5"/>
        <v>83548684.189999998</v>
      </c>
      <c r="I19" s="369">
        <f t="shared" si="5"/>
        <v>56221</v>
      </c>
      <c r="J19" s="369">
        <f t="shared" si="5"/>
        <v>3476204</v>
      </c>
      <c r="K19" s="369">
        <f t="shared" si="5"/>
        <v>3532425</v>
      </c>
      <c r="L19" s="369">
        <f t="shared" si="5"/>
        <v>87081109.189999998</v>
      </c>
      <c r="M19" s="369">
        <f t="shared" si="5"/>
        <v>11318415.810000001</v>
      </c>
      <c r="N19" s="369">
        <f t="shared" si="5"/>
        <v>9300000</v>
      </c>
      <c r="O19" s="369">
        <f t="shared" si="5"/>
        <v>21380138</v>
      </c>
      <c r="P19" s="369">
        <f t="shared" si="5"/>
        <v>11663164.810000001</v>
      </c>
      <c r="Q19" s="369">
        <f t="shared" si="5"/>
        <v>700000</v>
      </c>
      <c r="R19" s="369">
        <f t="shared" si="5"/>
        <v>0</v>
      </c>
      <c r="S19" s="369">
        <f t="shared" si="5"/>
        <v>700000</v>
      </c>
      <c r="T19" s="369">
        <f t="shared" si="5"/>
        <v>1044749</v>
      </c>
      <c r="U19" s="369">
        <f t="shared" si="5"/>
        <v>8255251</v>
      </c>
      <c r="V19" s="369">
        <f t="shared" si="5"/>
        <v>5200000</v>
      </c>
      <c r="W19" s="369">
        <f t="shared" si="5"/>
        <v>3055251</v>
      </c>
      <c r="X19" s="369">
        <f>SUM(X5:X17)</f>
        <v>0</v>
      </c>
      <c r="Y19" s="369">
        <f>SUM(Y5:Y17)</f>
        <v>0</v>
      </c>
      <c r="Z19" s="369">
        <f>SUM(Z5:Z17)</f>
        <v>0</v>
      </c>
      <c r="AA19" s="369">
        <f>SUM(AA5:AA17)</f>
        <v>0</v>
      </c>
      <c r="AB19" s="369"/>
      <c r="AC19" s="302"/>
      <c r="AD19" s="302"/>
      <c r="AE19" s="302"/>
      <c r="AF19" s="369">
        <f>SUM(AF5:AF17)</f>
        <v>-1000000</v>
      </c>
      <c r="AG19" s="302"/>
    </row>
    <row r="20" spans="1:33" hidden="1">
      <c r="L20" s="155">
        <f>K19+H19</f>
        <v>87081109.189999998</v>
      </c>
      <c r="M20" s="155">
        <f>P20+S19-T19</f>
        <v>11318415.810000002</v>
      </c>
      <c r="P20" s="155">
        <f>G19-L20</f>
        <v>11663164.810000002</v>
      </c>
    </row>
  </sheetData>
  <sheetProtection formatCells="0" formatColumns="0" formatRows="0" insertColumns="0" insertRows="0" insertHyperlinks="0" deleteColumns="0" deleteRows="0" sort="0" autoFilter="0" pivotTables="0"/>
  <sortState ref="A5:AG13">
    <sortCondition ref="AC5:AC13"/>
  </sortState>
  <mergeCells count="1">
    <mergeCell ref="A1:W1"/>
  </mergeCells>
  <conditionalFormatting sqref="AB4">
    <cfRule type="cellIs" dxfId="62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Q32"/>
  <sheetViews>
    <sheetView showZeros="0" rightToLeft="1" workbookViewId="0">
      <selection activeCell="C55" sqref="C55"/>
    </sheetView>
  </sheetViews>
  <sheetFormatPr defaultColWidth="9.140625" defaultRowHeight="14.25"/>
  <cols>
    <col min="1" max="3" width="4.140625" style="87" customWidth="1"/>
    <col min="4" max="4" width="33" style="87" customWidth="1"/>
    <col min="5" max="9" width="12.140625" style="87" customWidth="1"/>
    <col min="10" max="10" width="7.85546875" style="87" customWidth="1"/>
    <col min="11" max="16384" width="9.140625" style="87"/>
  </cols>
  <sheetData>
    <row r="3" spans="1:17" ht="20.25">
      <c r="E3" s="88"/>
    </row>
    <row r="4" spans="1:17" s="98" customFormat="1" ht="18.75">
      <c r="A4" s="96" t="s">
        <v>206</v>
      </c>
      <c r="C4" s="97" t="s">
        <v>2045</v>
      </c>
    </row>
    <row r="5" spans="1:17" ht="15.75">
      <c r="A5" s="89"/>
      <c r="C5" s="90"/>
      <c r="G5" s="90" t="s">
        <v>195</v>
      </c>
    </row>
    <row r="6" spans="1:17" ht="16.5" thickBot="1">
      <c r="A6" s="89"/>
      <c r="C6" s="90"/>
    </row>
    <row r="7" spans="1:17" ht="16.5" thickBot="1">
      <c r="A7" s="89">
        <v>3.1</v>
      </c>
      <c r="C7" s="89" t="s">
        <v>205</v>
      </c>
      <c r="D7" s="89"/>
      <c r="E7" s="89"/>
      <c r="F7" s="89"/>
      <c r="G7" s="839">
        <f>מבוא!E27</f>
        <v>474969.48599999998</v>
      </c>
    </row>
    <row r="8" spans="1:17" ht="16.5" thickBot="1">
      <c r="A8" s="89"/>
      <c r="C8" s="89"/>
      <c r="D8" s="89"/>
      <c r="E8" s="89"/>
      <c r="F8" s="89"/>
      <c r="G8" s="93"/>
    </row>
    <row r="9" spans="1:17" ht="16.5" thickBot="1">
      <c r="A9" s="89"/>
      <c r="C9" s="89" t="s">
        <v>2040</v>
      </c>
      <c r="D9" s="89"/>
      <c r="E9" s="89"/>
      <c r="F9" s="89"/>
      <c r="G9" s="839">
        <f>מבוא!E29</f>
        <v>519346.60499999998</v>
      </c>
      <c r="I9" s="89"/>
      <c r="J9" s="89"/>
      <c r="K9" s="89"/>
      <c r="L9" s="89"/>
    </row>
    <row r="10" spans="1:17" ht="16.5" thickBot="1">
      <c r="A10" s="89"/>
      <c r="C10" s="89"/>
      <c r="D10" s="89"/>
      <c r="E10" s="89"/>
      <c r="F10" s="89"/>
      <c r="G10" s="93"/>
      <c r="I10" s="89"/>
      <c r="J10" s="89"/>
      <c r="K10" s="89"/>
      <c r="L10" s="89"/>
    </row>
    <row r="11" spans="1:17" ht="16.5" thickBot="1">
      <c r="A11" s="89"/>
      <c r="C11" s="89" t="s">
        <v>196</v>
      </c>
      <c r="D11" s="89"/>
      <c r="E11" s="89"/>
      <c r="F11" s="89"/>
      <c r="G11" s="839">
        <f>מבוא!E31</f>
        <v>4956069.9560000002</v>
      </c>
      <c r="I11" s="89"/>
      <c r="J11" s="89"/>
      <c r="K11" s="89"/>
      <c r="L11" s="89"/>
      <c r="O11" s="89"/>
      <c r="P11" s="89"/>
      <c r="Q11" s="89"/>
    </row>
    <row r="12" spans="1:17" ht="15.75">
      <c r="A12" s="89"/>
      <c r="C12" s="89"/>
      <c r="D12" s="89"/>
      <c r="E12" s="89"/>
      <c r="F12" s="89"/>
      <c r="G12" s="107"/>
      <c r="I12" s="89"/>
      <c r="J12" s="89"/>
      <c r="K12" s="89"/>
      <c r="L12" s="89"/>
      <c r="O12" s="89"/>
      <c r="P12" s="89"/>
      <c r="Q12" s="89"/>
    </row>
    <row r="13" spans="1:17" ht="15.75">
      <c r="A13" s="89"/>
      <c r="C13" s="89"/>
      <c r="D13" s="89"/>
      <c r="E13" s="89"/>
      <c r="F13" s="89"/>
      <c r="G13" s="107"/>
      <c r="I13" s="89"/>
      <c r="J13" s="89"/>
      <c r="K13" s="89"/>
      <c r="L13" s="89"/>
      <c r="O13" s="89"/>
      <c r="P13" s="89"/>
      <c r="Q13" s="89"/>
    </row>
    <row r="14" spans="1:17" ht="15.75">
      <c r="A14" s="89"/>
      <c r="C14" s="89"/>
      <c r="D14" s="193"/>
      <c r="E14" s="89"/>
      <c r="F14" s="89"/>
      <c r="G14" s="89"/>
      <c r="H14" s="89"/>
      <c r="I14" s="89"/>
      <c r="J14" s="89"/>
      <c r="K14" s="89"/>
      <c r="L14" s="89"/>
      <c r="O14" s="89"/>
      <c r="P14" s="89"/>
      <c r="Q14" s="89"/>
    </row>
    <row r="15" spans="1:17" ht="15.75">
      <c r="A15" s="89">
        <v>3.2</v>
      </c>
      <c r="C15" s="89" t="s">
        <v>2046</v>
      </c>
      <c r="D15" s="89"/>
      <c r="E15" s="602"/>
      <c r="F15" s="89"/>
      <c r="G15" s="89"/>
      <c r="H15" s="89"/>
      <c r="I15" s="89"/>
      <c r="J15" s="89"/>
      <c r="K15" s="89"/>
      <c r="L15" s="89"/>
      <c r="O15" s="89"/>
      <c r="P15" s="89"/>
      <c r="Q15" s="89"/>
    </row>
    <row r="16" spans="1:17" ht="15.75">
      <c r="A16" s="89"/>
      <c r="B16" s="92" t="s">
        <v>160</v>
      </c>
      <c r="C16" s="89" t="s">
        <v>2428</v>
      </c>
      <c r="D16" s="89"/>
      <c r="E16" s="89"/>
      <c r="F16" s="89"/>
      <c r="G16" s="89"/>
      <c r="H16" s="89"/>
      <c r="I16" s="89"/>
      <c r="J16" s="89"/>
      <c r="K16" s="89"/>
      <c r="L16" s="89"/>
      <c r="O16" s="89"/>
      <c r="P16" s="89"/>
      <c r="Q16" s="89"/>
    </row>
    <row r="17" spans="1:17" ht="15.75">
      <c r="A17" s="89"/>
      <c r="B17" s="92" t="s">
        <v>160</v>
      </c>
      <c r="C17" s="89" t="s">
        <v>814</v>
      </c>
      <c r="D17" s="89"/>
      <c r="E17" s="89"/>
      <c r="F17" s="89"/>
      <c r="G17" s="89"/>
      <c r="H17" s="89"/>
      <c r="I17" s="89"/>
      <c r="J17" s="89"/>
      <c r="K17" s="89"/>
      <c r="L17" s="89"/>
      <c r="O17" s="89"/>
      <c r="P17" s="89"/>
      <c r="Q17" s="89"/>
    </row>
    <row r="18" spans="1:17" ht="15.75">
      <c r="A18" s="89"/>
      <c r="B18" s="92" t="s">
        <v>160</v>
      </c>
      <c r="C18" s="89" t="s">
        <v>2425</v>
      </c>
      <c r="D18" s="89"/>
      <c r="E18" s="89"/>
      <c r="F18" s="89"/>
      <c r="G18" s="89"/>
      <c r="H18" s="89"/>
      <c r="I18" s="89"/>
      <c r="J18" s="89"/>
      <c r="K18" s="89"/>
      <c r="L18" s="89"/>
      <c r="O18" s="89"/>
      <c r="P18" s="89"/>
      <c r="Q18" s="89"/>
    </row>
    <row r="19" spans="1:17" ht="15.75">
      <c r="B19" s="92" t="s">
        <v>160</v>
      </c>
      <c r="C19" s="89" t="s">
        <v>2426</v>
      </c>
    </row>
    <row r="20" spans="1:17" ht="15.75">
      <c r="A20" s="89"/>
      <c r="B20" s="92" t="s">
        <v>160</v>
      </c>
      <c r="C20" s="89" t="s">
        <v>2427</v>
      </c>
      <c r="D20" s="89"/>
      <c r="E20" s="89"/>
      <c r="F20" s="89"/>
      <c r="G20" s="89"/>
      <c r="H20" s="89"/>
      <c r="I20" s="89"/>
      <c r="J20" s="89"/>
      <c r="K20" s="89"/>
      <c r="L20" s="89"/>
      <c r="O20" s="89"/>
      <c r="P20" s="89"/>
      <c r="Q20" s="89"/>
    </row>
    <row r="21" spans="1:17" ht="15.75">
      <c r="A21" s="89"/>
      <c r="B21" s="92" t="s">
        <v>160</v>
      </c>
      <c r="C21" s="89" t="s">
        <v>608</v>
      </c>
      <c r="D21" s="89"/>
      <c r="E21" s="89"/>
      <c r="F21" s="89"/>
      <c r="G21" s="89"/>
      <c r="H21" s="89"/>
      <c r="I21" s="89"/>
      <c r="J21" s="89"/>
      <c r="K21" s="89"/>
      <c r="L21" s="89"/>
      <c r="O21" s="89"/>
      <c r="P21" s="89"/>
      <c r="Q21" s="89"/>
    </row>
    <row r="22" spans="1:17" ht="15.75">
      <c r="A22" s="89"/>
      <c r="B22" s="92" t="s">
        <v>160</v>
      </c>
      <c r="C22" s="89" t="s">
        <v>2430</v>
      </c>
      <c r="D22" s="89"/>
      <c r="E22" s="89"/>
      <c r="F22" s="89"/>
      <c r="G22" s="89"/>
      <c r="H22" s="89"/>
      <c r="I22" s="89"/>
      <c r="J22" s="89"/>
      <c r="K22" s="89"/>
      <c r="L22" s="89"/>
      <c r="O22" s="89"/>
      <c r="P22" s="89"/>
      <c r="Q22" s="89"/>
    </row>
    <row r="23" spans="1:17" ht="15.75">
      <c r="A23" s="89"/>
      <c r="B23" s="92" t="s">
        <v>160</v>
      </c>
      <c r="C23" s="89" t="s">
        <v>609</v>
      </c>
      <c r="D23" s="89"/>
      <c r="E23" s="89"/>
      <c r="F23" s="89"/>
      <c r="G23" s="89"/>
      <c r="H23" s="89"/>
      <c r="I23" s="89"/>
      <c r="J23" s="89"/>
      <c r="K23" s="89"/>
      <c r="L23" s="89"/>
      <c r="O23" s="89"/>
      <c r="P23" s="89"/>
      <c r="Q23" s="89"/>
    </row>
    <row r="24" spans="1:17" ht="15.75">
      <c r="A24" s="89"/>
      <c r="B24" s="92" t="s">
        <v>160</v>
      </c>
      <c r="C24" s="89" t="s">
        <v>610</v>
      </c>
      <c r="D24" s="89"/>
      <c r="E24" s="89"/>
      <c r="F24" s="89"/>
      <c r="G24" s="89"/>
      <c r="H24" s="89"/>
      <c r="I24" s="89"/>
      <c r="J24" s="89"/>
      <c r="K24" s="89"/>
      <c r="L24" s="89"/>
      <c r="O24" s="89"/>
      <c r="P24" s="89"/>
      <c r="Q24" s="89"/>
    </row>
    <row r="25" spans="1:17" ht="15.75">
      <c r="A25" s="89"/>
      <c r="B25" s="92" t="s">
        <v>160</v>
      </c>
      <c r="C25" s="89" t="s">
        <v>2429</v>
      </c>
      <c r="D25" s="89"/>
      <c r="E25" s="89"/>
      <c r="F25" s="89"/>
      <c r="G25" s="89"/>
      <c r="H25" s="89"/>
      <c r="I25" s="89"/>
      <c r="J25" s="89"/>
      <c r="K25" s="89"/>
      <c r="L25" s="89"/>
      <c r="O25" s="89"/>
      <c r="P25" s="89"/>
      <c r="Q25" s="89"/>
    </row>
    <row r="26" spans="1:17" ht="15.75">
      <c r="A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O26" s="89"/>
      <c r="P26" s="89"/>
      <c r="Q26" s="89"/>
    </row>
    <row r="27" spans="1:17" ht="15.75">
      <c r="A27" s="89"/>
      <c r="N27" s="89"/>
      <c r="O27" s="89"/>
      <c r="P27" s="89"/>
      <c r="Q27" s="89"/>
    </row>
    <row r="28" spans="1:17" ht="15.75">
      <c r="A28" s="89"/>
      <c r="N28" s="89"/>
      <c r="O28" s="89"/>
      <c r="P28" s="89"/>
      <c r="Q28" s="89"/>
    </row>
    <row r="29" spans="1:17" ht="23.25">
      <c r="A29" s="89"/>
      <c r="B29" s="95"/>
      <c r="C29" s="95"/>
      <c r="D29" s="282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</row>
    <row r="30" spans="1:17" ht="15.75">
      <c r="A30" s="95"/>
      <c r="B30" s="95"/>
      <c r="C30" s="95"/>
      <c r="D30" s="95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</row>
    <row r="31" spans="1:17" ht="15.75"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</row>
    <row r="32" spans="1:17" ht="15.75"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4:I25"/>
  <sheetViews>
    <sheetView showZeros="0" rightToLeft="1" topLeftCell="A9" zoomScaleNormal="100" workbookViewId="0">
      <selection activeCell="C55" sqref="C55"/>
    </sheetView>
  </sheetViews>
  <sheetFormatPr defaultColWidth="9.140625" defaultRowHeight="12.75"/>
  <cols>
    <col min="1" max="7" width="9.140625" style="194"/>
    <col min="9" max="16384" width="9.140625" style="194"/>
  </cols>
  <sheetData>
    <row r="4" spans="1:9" ht="18.75">
      <c r="A4" s="63" t="s">
        <v>2238</v>
      </c>
    </row>
    <row r="7" spans="1:9" ht="24.95" customHeight="1">
      <c r="A7" s="195" t="s">
        <v>243</v>
      </c>
      <c r="B7" s="196"/>
      <c r="C7" s="196"/>
      <c r="D7" s="196"/>
      <c r="E7" s="196"/>
      <c r="F7" s="196"/>
      <c r="G7" s="196"/>
      <c r="I7" s="195" t="s">
        <v>244</v>
      </c>
    </row>
    <row r="8" spans="1:9" ht="15" customHeight="1"/>
    <row r="9" spans="1:9" ht="24.95" customHeight="1">
      <c r="A9" s="196" t="s">
        <v>2240</v>
      </c>
      <c r="I9" s="353"/>
    </row>
    <row r="10" spans="1:9" ht="24.95" customHeight="1">
      <c r="A10" s="196" t="s">
        <v>269</v>
      </c>
      <c r="I10" s="196">
        <v>89</v>
      </c>
    </row>
    <row r="11" spans="1:9" ht="24.95" customHeight="1">
      <c r="A11" s="196" t="s">
        <v>414</v>
      </c>
      <c r="I11" s="197" t="s">
        <v>2494</v>
      </c>
    </row>
    <row r="12" spans="1:9" ht="24.95" customHeight="1">
      <c r="A12" s="196" t="s">
        <v>208</v>
      </c>
      <c r="I12" s="197" t="s">
        <v>2495</v>
      </c>
    </row>
    <row r="13" spans="1:9" ht="24.95" customHeight="1">
      <c r="A13" s="196" t="s">
        <v>162</v>
      </c>
      <c r="I13" s="197" t="s">
        <v>2496</v>
      </c>
    </row>
    <row r="14" spans="1:9" ht="24.95" customHeight="1">
      <c r="A14" s="196" t="s">
        <v>134</v>
      </c>
      <c r="I14" s="197">
        <v>111</v>
      </c>
    </row>
    <row r="15" spans="1:9" ht="24.95" customHeight="1">
      <c r="A15" s="196" t="s">
        <v>284</v>
      </c>
      <c r="I15" s="197" t="s">
        <v>2497</v>
      </c>
    </row>
    <row r="16" spans="1:9" ht="24.95" customHeight="1">
      <c r="A16" s="196" t="s">
        <v>381</v>
      </c>
      <c r="I16" s="197">
        <v>114</v>
      </c>
    </row>
    <row r="17" spans="1:9" ht="24.95" customHeight="1">
      <c r="A17" s="196" t="s">
        <v>163</v>
      </c>
      <c r="I17" s="197" t="s">
        <v>2498</v>
      </c>
    </row>
    <row r="18" spans="1:9" ht="24.95" customHeight="1">
      <c r="A18" s="196" t="s">
        <v>165</v>
      </c>
      <c r="I18" s="197" t="s">
        <v>2499</v>
      </c>
    </row>
    <row r="19" spans="1:9" ht="24.95" customHeight="1">
      <c r="A19" s="196" t="s">
        <v>93</v>
      </c>
      <c r="I19" s="197">
        <v>120</v>
      </c>
    </row>
    <row r="20" spans="1:9" ht="24.95" customHeight="1">
      <c r="A20" s="196" t="s">
        <v>394</v>
      </c>
      <c r="I20" s="197" t="s">
        <v>2500</v>
      </c>
    </row>
    <row r="21" spans="1:9" ht="24.95" customHeight="1">
      <c r="A21" s="196" t="s">
        <v>393</v>
      </c>
      <c r="I21" s="197" t="s">
        <v>2501</v>
      </c>
    </row>
    <row r="22" spans="1:9" ht="24.95" customHeight="1">
      <c r="A22" s="196" t="s">
        <v>104</v>
      </c>
      <c r="I22" s="197">
        <v>125</v>
      </c>
    </row>
    <row r="23" spans="1:9" ht="24.95" customHeight="1">
      <c r="A23" s="196" t="s">
        <v>2239</v>
      </c>
      <c r="I23" s="197" t="s">
        <v>2502</v>
      </c>
    </row>
    <row r="24" spans="1:9" ht="24.95" customHeight="1">
      <c r="A24" s="196"/>
      <c r="I24" s="196"/>
    </row>
    <row r="25" spans="1:9" ht="15.75">
      <c r="A25" s="196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AT38"/>
  <sheetViews>
    <sheetView showZeros="0" rightToLeft="1" zoomScaleNormal="100" workbookViewId="0">
      <pane xSplit="1" ySplit="5" topLeftCell="AB6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9.140625" defaultRowHeight="15.75"/>
  <cols>
    <col min="1" max="1" width="15.42578125" style="49" customWidth="1"/>
    <col min="2" max="3" width="12.7109375" style="50" hidden="1" customWidth="1"/>
    <col min="4" max="4" width="11.140625" style="50" hidden="1" customWidth="1"/>
    <col min="5" max="5" width="12.7109375" style="50" hidden="1" customWidth="1"/>
    <col min="6" max="9" width="11.140625" style="50" hidden="1" customWidth="1"/>
    <col min="10" max="10" width="12.7109375" style="45" hidden="1" customWidth="1"/>
    <col min="11" max="12" width="11.140625" style="50" hidden="1" customWidth="1"/>
    <col min="13" max="13" width="12.7109375" style="50" hidden="1" customWidth="1"/>
    <col min="14" max="14" width="11.140625" style="45" hidden="1" customWidth="1"/>
    <col min="15" max="17" width="11.140625" style="50" hidden="1" customWidth="1"/>
    <col min="18" max="18" width="11.28515625" style="50" hidden="1" customWidth="1"/>
    <col min="19" max="19" width="12.42578125" style="50" customWidth="1"/>
    <col min="20" max="20" width="11.28515625" style="50" customWidth="1"/>
    <col min="21" max="21" width="10.42578125" style="50" customWidth="1"/>
    <col min="22" max="22" width="11.28515625" style="50" hidden="1" customWidth="1"/>
    <col min="23" max="23" width="10.42578125" style="50" customWidth="1"/>
    <col min="24" max="24" width="9.7109375" style="50" customWidth="1"/>
    <col min="25" max="25" width="11.28515625" style="50" customWidth="1"/>
    <col min="26" max="26" width="14.140625" style="47" hidden="1" customWidth="1"/>
    <col min="27" max="35" width="11.7109375" style="45" hidden="1" customWidth="1"/>
    <col min="36" max="36" width="12.28515625" style="47" customWidth="1"/>
    <col min="37" max="37" width="12.5703125" style="47" customWidth="1"/>
    <col min="38" max="38" width="11.7109375" style="47" customWidth="1"/>
    <col min="39" max="39" width="10.85546875" style="47" customWidth="1"/>
    <col min="40" max="40" width="11.7109375" style="47" hidden="1" customWidth="1"/>
    <col min="41" max="41" width="10.5703125" style="47" customWidth="1"/>
    <col min="42" max="42" width="11.7109375" style="47" customWidth="1"/>
    <col min="43" max="43" width="10.7109375" style="47" customWidth="1"/>
    <col min="44" max="44" width="9.42578125" style="47" hidden="1" customWidth="1"/>
    <col min="45" max="45" width="11" style="601" hidden="1" customWidth="1"/>
    <col min="46" max="46" width="10.28515625" style="47" hidden="1" customWidth="1"/>
    <col min="47" max="16384" width="9.140625" style="47"/>
  </cols>
  <sheetData>
    <row r="2" spans="1:46" s="37" customFormat="1" ht="23.25">
      <c r="A2" s="247" t="s">
        <v>2241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AA2" s="45"/>
      <c r="AB2" s="45"/>
      <c r="AC2" s="45"/>
      <c r="AD2" s="45"/>
      <c r="AE2" s="45"/>
      <c r="AF2" s="45"/>
      <c r="AG2" s="45"/>
      <c r="AH2" s="45"/>
      <c r="AI2" s="45"/>
      <c r="AS2" s="592"/>
    </row>
    <row r="3" spans="1:46" s="287" customFormat="1" ht="20.100000000000001" customHeight="1">
      <c r="A3" s="285"/>
      <c r="B3" s="241"/>
      <c r="C3" s="286"/>
      <c r="D3" s="286"/>
      <c r="E3" s="286"/>
      <c r="F3" s="286"/>
      <c r="G3" s="286"/>
      <c r="H3" s="286"/>
      <c r="I3" s="286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AA3" s="45"/>
      <c r="AB3" s="45"/>
      <c r="AC3" s="45"/>
      <c r="AD3" s="45"/>
      <c r="AE3" s="45"/>
      <c r="AF3" s="45"/>
      <c r="AG3" s="45"/>
      <c r="AH3" s="45"/>
      <c r="AI3" s="45"/>
      <c r="AS3" s="593"/>
    </row>
    <row r="4" spans="1:46" s="42" customFormat="1" ht="25.15" customHeight="1">
      <c r="A4" s="41"/>
      <c r="B4" s="857" t="s">
        <v>87</v>
      </c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7"/>
      <c r="O4" s="857"/>
      <c r="P4" s="594"/>
      <c r="Q4" s="594"/>
      <c r="R4" s="879" t="s">
        <v>256</v>
      </c>
      <c r="S4" s="879"/>
      <c r="T4" s="876" t="s">
        <v>88</v>
      </c>
      <c r="U4" s="877"/>
      <c r="V4" s="877"/>
      <c r="W4" s="877"/>
      <c r="X4" s="877"/>
      <c r="Y4" s="878"/>
      <c r="Z4" s="427" t="s">
        <v>388</v>
      </c>
      <c r="AA4" s="876" t="s">
        <v>246</v>
      </c>
      <c r="AB4" s="877"/>
      <c r="AC4" s="877"/>
      <c r="AD4" s="877"/>
      <c r="AE4" s="877"/>
      <c r="AF4" s="877"/>
      <c r="AG4" s="877"/>
      <c r="AH4" s="877"/>
      <c r="AI4" s="877"/>
      <c r="AJ4" s="878"/>
      <c r="AK4" s="595"/>
      <c r="AL4" s="876" t="s">
        <v>2038</v>
      </c>
      <c r="AM4" s="877"/>
      <c r="AN4" s="877"/>
      <c r="AO4" s="877"/>
      <c r="AP4" s="877"/>
      <c r="AQ4" s="878"/>
      <c r="AR4" s="595"/>
      <c r="AS4" s="596"/>
      <c r="AT4" s="595"/>
    </row>
    <row r="5" spans="1:46" s="36" customFormat="1" ht="75">
      <c r="A5" s="41" t="s">
        <v>866</v>
      </c>
      <c r="B5" s="41" t="s">
        <v>89</v>
      </c>
      <c r="C5" s="41" t="s">
        <v>4</v>
      </c>
      <c r="D5" s="41" t="s">
        <v>90</v>
      </c>
      <c r="E5" s="41" t="s">
        <v>98</v>
      </c>
      <c r="F5" s="20" t="s">
        <v>7</v>
      </c>
      <c r="G5" s="20" t="s">
        <v>8</v>
      </c>
      <c r="H5" s="20" t="s">
        <v>9</v>
      </c>
      <c r="I5" s="20" t="s">
        <v>10</v>
      </c>
      <c r="J5" s="34" t="s">
        <v>11</v>
      </c>
      <c r="K5" s="9" t="s">
        <v>618</v>
      </c>
      <c r="L5" s="41" t="s">
        <v>619</v>
      </c>
      <c r="M5" s="41" t="s">
        <v>620</v>
      </c>
      <c r="N5" s="34" t="s">
        <v>91</v>
      </c>
      <c r="O5" s="20" t="s">
        <v>621</v>
      </c>
      <c r="P5" s="20" t="s">
        <v>622</v>
      </c>
      <c r="Q5" s="20" t="s">
        <v>623</v>
      </c>
      <c r="R5" s="20" t="s">
        <v>624</v>
      </c>
      <c r="S5" s="20" t="s">
        <v>625</v>
      </c>
      <c r="T5" s="20" t="s">
        <v>13</v>
      </c>
      <c r="U5" s="20" t="s">
        <v>14</v>
      </c>
      <c r="V5" s="20" t="s">
        <v>15</v>
      </c>
      <c r="W5" s="20" t="s">
        <v>265</v>
      </c>
      <c r="X5" s="20" t="s">
        <v>749</v>
      </c>
      <c r="Y5" s="20" t="s">
        <v>84</v>
      </c>
      <c r="Z5" s="20"/>
      <c r="AA5" s="20" t="s">
        <v>1911</v>
      </c>
      <c r="AB5" s="20" t="s">
        <v>1912</v>
      </c>
      <c r="AC5" s="20" t="s">
        <v>247</v>
      </c>
      <c r="AD5" s="20" t="s">
        <v>248</v>
      </c>
      <c r="AE5" s="20" t="s">
        <v>1913</v>
      </c>
      <c r="AF5" s="20" t="s">
        <v>1914</v>
      </c>
      <c r="AG5" s="20" t="s">
        <v>1915</v>
      </c>
      <c r="AH5" s="20" t="s">
        <v>1916</v>
      </c>
      <c r="AI5" s="20" t="s">
        <v>1917</v>
      </c>
      <c r="AJ5" s="20" t="s">
        <v>2037</v>
      </c>
      <c r="AK5" s="20" t="s">
        <v>852</v>
      </c>
      <c r="AL5" s="20" t="s">
        <v>13</v>
      </c>
      <c r="AM5" s="20" t="s">
        <v>14</v>
      </c>
      <c r="AN5" s="20" t="s">
        <v>15</v>
      </c>
      <c r="AO5" s="20" t="s">
        <v>265</v>
      </c>
      <c r="AP5" s="20" t="s">
        <v>749</v>
      </c>
      <c r="AQ5" s="20" t="s">
        <v>84</v>
      </c>
      <c r="AR5" s="20" t="s">
        <v>203</v>
      </c>
      <c r="AS5" s="20" t="s">
        <v>2035</v>
      </c>
      <c r="AT5" s="20" t="s">
        <v>2036</v>
      </c>
    </row>
    <row r="6" spans="1:46" s="36" customFormat="1">
      <c r="A6" s="41"/>
      <c r="B6" s="41"/>
      <c r="C6" s="41"/>
      <c r="D6" s="41"/>
      <c r="E6" s="41"/>
      <c r="F6" s="20"/>
      <c r="G6" s="20"/>
      <c r="H6" s="20"/>
      <c r="I6" s="20"/>
      <c r="J6" s="34"/>
      <c r="K6" s="9"/>
      <c r="L6" s="41"/>
      <c r="M6" s="41"/>
      <c r="N6" s="34"/>
      <c r="O6" s="20"/>
      <c r="P6" s="20"/>
      <c r="Q6" s="20"/>
      <c r="R6" s="20"/>
      <c r="S6" s="41"/>
      <c r="T6" s="41"/>
      <c r="U6" s="41"/>
      <c r="V6" s="20"/>
      <c r="W6" s="20"/>
      <c r="X6" s="20"/>
      <c r="Y6" s="41"/>
      <c r="Z6" s="16"/>
      <c r="AA6" s="334"/>
      <c r="AB6" s="334"/>
      <c r="AC6" s="334"/>
      <c r="AD6" s="334"/>
      <c r="AE6" s="334"/>
      <c r="AF6" s="334"/>
      <c r="AG6" s="334"/>
      <c r="AH6" s="334"/>
      <c r="AI6" s="334"/>
      <c r="AJ6" s="34"/>
      <c r="AK6" s="34"/>
      <c r="AL6" s="34"/>
      <c r="AM6" s="34"/>
      <c r="AN6" s="34"/>
      <c r="AO6" s="34"/>
      <c r="AP6" s="34"/>
      <c r="AQ6" s="34"/>
      <c r="AR6" s="34"/>
      <c r="AS6" s="597"/>
      <c r="AT6" s="34"/>
    </row>
    <row r="7" spans="1:46" s="36" customFormat="1" ht="27" customHeight="1">
      <c r="A7" s="9" t="s">
        <v>413</v>
      </c>
      <c r="B7" s="11">
        <f>'[1]תקציב הנדסה 2021'!D83</f>
        <v>600898791</v>
      </c>
      <c r="C7" s="11">
        <f>'[1]תקציב הנדסה 2021'!E83</f>
        <v>548923791</v>
      </c>
      <c r="D7" s="11">
        <f>'[1]תקציב הנדסה 2021'!F83</f>
        <v>51975000</v>
      </c>
      <c r="E7" s="11">
        <f>'[1]תקציב הנדסה 2021'!G83</f>
        <v>299011552</v>
      </c>
      <c r="F7" s="11">
        <f>'[1]תקציב הנדסה 2021'!H83</f>
        <v>243957723</v>
      </c>
      <c r="G7" s="11">
        <f>'[1]תקציב הנדסה 2021'!I83</f>
        <v>10062920</v>
      </c>
      <c r="H7" s="11">
        <f>'[1]תקציב הנדסה 2021'!J83</f>
        <v>8699859</v>
      </c>
      <c r="I7" s="11">
        <f>'[1]תקציב הנדסה 2021'!K83</f>
        <v>18762779</v>
      </c>
      <c r="J7" s="11">
        <f>'[1]תקציב הנדסה 2021'!L83</f>
        <v>262720502</v>
      </c>
      <c r="K7" s="11">
        <f>'[1]תקציב הנדסה 2021'!M83</f>
        <v>6991050</v>
      </c>
      <c r="L7" s="11">
        <f>'[1]תקציב הנדסה 2021'!N83</f>
        <v>48230000</v>
      </c>
      <c r="M7" s="11">
        <f>'[1]תקציב הנדסה 2021'!O83</f>
        <v>282957239</v>
      </c>
      <c r="N7" s="11">
        <f>'[1]תקציב הנדסה 2021'!P83</f>
        <v>36291050</v>
      </c>
      <c r="O7" s="11">
        <f>'[1]תקציב הנדסה 2021'!Q83</f>
        <v>0</v>
      </c>
      <c r="P7" s="11">
        <f>'[1]תקציב הנדסה 2021'!R83</f>
        <v>0</v>
      </c>
      <c r="Q7" s="11">
        <f>'[1]תקציב הנדסה 2021'!S83</f>
        <v>0</v>
      </c>
      <c r="R7" s="11">
        <f>'[1]תקציב הנדסה 2021'!T83</f>
        <v>29300000</v>
      </c>
      <c r="S7" s="11">
        <f>'[1]תקציב הנדסה 2021'!U83</f>
        <v>18930000</v>
      </c>
      <c r="T7" s="11">
        <f>'[1]תקציב הנדסה 2021'!V83</f>
        <v>14768750</v>
      </c>
      <c r="U7" s="11">
        <f>'[1]תקציב הנדסה 2021'!W83</f>
        <v>0</v>
      </c>
      <c r="V7" s="11">
        <f>'[1]תקציב הנדסה 2021'!X83</f>
        <v>0</v>
      </c>
      <c r="W7" s="11">
        <f>'[1]תקציב הנדסה 2021'!Y83</f>
        <v>0</v>
      </c>
      <c r="X7" s="11">
        <f>'[1]תקציב הנדסה 2021'!Z83</f>
        <v>0</v>
      </c>
      <c r="Y7" s="11">
        <f>'[1]תקציב הנדסה 2021'!AA83</f>
        <v>4161250</v>
      </c>
      <c r="Z7" s="11">
        <f>'[1]תקציב הנדסה 2021'!A83</f>
        <v>78</v>
      </c>
      <c r="AA7" s="43">
        <f>'[1]תקציב הנדסה 2021'!AD83</f>
        <v>-1640000</v>
      </c>
      <c r="AB7" s="43">
        <f>'[1]תקציב הנדסה 2021'!AE83</f>
        <v>-1640000</v>
      </c>
      <c r="AC7" s="43">
        <f>'[1]תקציב הנדסה 2021'!AF83</f>
        <v>-420000</v>
      </c>
      <c r="AD7" s="43">
        <f>'[1]תקציב הנדסה 2021'!AG83</f>
        <v>50000</v>
      </c>
      <c r="AE7" s="43">
        <f>'[1]תקציב הנדסה 2021'!AH83</f>
        <v>0</v>
      </c>
      <c r="AF7" s="43">
        <f>'[1]תקציב הנדסה 2021'!AI83</f>
        <v>-400000</v>
      </c>
      <c r="AG7" s="43">
        <f>'[1]תקציב הנדסה 2021'!AJ83</f>
        <v>380000</v>
      </c>
      <c r="AH7" s="43">
        <f>'[1]תקציב הנדסה 2021'!AK83</f>
        <v>3100000</v>
      </c>
      <c r="AI7" s="43">
        <f>'תקציב הנדסה 2021'!AL84</f>
        <v>1450000</v>
      </c>
      <c r="AJ7" s="43">
        <f>'תקציב הנדסה 2021'!AM84</f>
        <v>880000</v>
      </c>
      <c r="AK7" s="43">
        <f>'תקציב הנדסה 2021'!AN84</f>
        <v>18050000</v>
      </c>
      <c r="AL7" s="43">
        <f>'תקציב הנדסה 2021'!AO84</f>
        <v>705000</v>
      </c>
      <c r="AM7" s="43">
        <f>'תקציב הנדסה 2021'!AP84</f>
        <v>0</v>
      </c>
      <c r="AN7" s="43">
        <f>'תקציב הנדסה 2021'!AQ84</f>
        <v>0</v>
      </c>
      <c r="AO7" s="43">
        <f>'תקציב הנדסה 2021'!AR84</f>
        <v>0</v>
      </c>
      <c r="AP7" s="43">
        <f>'תקציב הנדסה 2021'!AS84</f>
        <v>0</v>
      </c>
      <c r="AQ7" s="43">
        <f>'תקציב הנדסה 2021'!AT84</f>
        <v>175000</v>
      </c>
      <c r="AR7" s="598">
        <f>AJ7/S7</f>
        <v>4.648705758055996E-2</v>
      </c>
      <c r="AS7" s="43">
        <v>1000000</v>
      </c>
      <c r="AT7" s="598">
        <f>(AS7+AJ7)/S7</f>
        <v>9.9313259376650823E-2</v>
      </c>
    </row>
    <row r="8" spans="1:46" s="45" customFormat="1" ht="27" customHeight="1">
      <c r="A8" s="9" t="s">
        <v>208</v>
      </c>
      <c r="B8" s="43">
        <f>'[1]תקציב החברה לפיתוח 2021 '!D122</f>
        <v>3016552982</v>
      </c>
      <c r="C8" s="43">
        <f>'[1]תקציב החברה לפיתוח 2021 '!E122</f>
        <v>2814020125</v>
      </c>
      <c r="D8" s="43">
        <f>'[1]תקציב החברה לפיתוח 2021 '!F122</f>
        <v>202532857</v>
      </c>
      <c r="E8" s="43">
        <f>'[1]תקציב החברה לפיתוח 2021 '!G122</f>
        <v>1302929053</v>
      </c>
      <c r="F8" s="43">
        <f>'[1]תקציב החברה לפיתוח 2021 '!H122</f>
        <v>954337610</v>
      </c>
      <c r="G8" s="43">
        <f>'[1]תקציב החברה לפיתוח 2021 '!I122</f>
        <v>3498227</v>
      </c>
      <c r="H8" s="43">
        <f>'[1]תקציב החברה לפיתוח 2021 '!J122</f>
        <v>46047637</v>
      </c>
      <c r="I8" s="43">
        <f>'[1]תקציב החברה לפיתוח 2021 '!K122</f>
        <v>49545864</v>
      </c>
      <c r="J8" s="43">
        <f>'[1]תקציב החברה לפיתוח 2021 '!L122</f>
        <v>1003883474</v>
      </c>
      <c r="K8" s="43">
        <f>'[1]תקציב החברה לפיתוח 2021 '!M122</f>
        <v>334368675</v>
      </c>
      <c r="L8" s="43">
        <f>'[1]תקציב החברה לפיתוח 2021 '!N122</f>
        <v>355041039</v>
      </c>
      <c r="M8" s="43">
        <f>'[1]תקציב החברה לפיתוח 2021 '!O122</f>
        <v>1323259794</v>
      </c>
      <c r="N8" s="43">
        <f>'[1]תקציב החברה לפיתוח 2021 '!P122</f>
        <v>299045579</v>
      </c>
      <c r="O8" s="43">
        <f>'[1]תקציב החברה לפיתוח 2021 '!Q122</f>
        <v>74272096</v>
      </c>
      <c r="P8" s="43">
        <f>'[1]תקציב החברה לפיתוח 2021 '!R122</f>
        <v>0</v>
      </c>
      <c r="Q8" s="43">
        <f>'[1]תקציב החברה לפיתוח 2021 '!S122</f>
        <v>74272096</v>
      </c>
      <c r="R8" s="43">
        <f>'[1]תקציב החברה לפיתוח 2021 '!T122</f>
        <v>38949000</v>
      </c>
      <c r="S8" s="43">
        <f>'[1]תקציב החברה לפיתוח 2021 '!U122</f>
        <v>316092039</v>
      </c>
      <c r="T8" s="43">
        <f>'[1]תקציב החברה לפיתוח 2021 '!V122</f>
        <v>205348607</v>
      </c>
      <c r="U8" s="43">
        <f>'[1]תקציב החברה לפיתוח 2021 '!W122</f>
        <v>0</v>
      </c>
      <c r="V8" s="43">
        <f>'[1]תקציב החברה לפיתוח 2021 '!X122</f>
        <v>0</v>
      </c>
      <c r="W8" s="43">
        <f>'[1]תקציב החברה לפיתוח 2021 '!Y122</f>
        <v>18000000</v>
      </c>
      <c r="X8" s="43">
        <f>'[1]תקציב החברה לפיתוח 2021 '!Z122</f>
        <v>0</v>
      </c>
      <c r="Y8" s="43">
        <f>'[1]תקציב החברה לפיתוח 2021 '!AA122</f>
        <v>92743432</v>
      </c>
      <c r="Z8" s="43">
        <f>'[1]תקציב החברה לפיתוח 2021 '!A122</f>
        <v>112</v>
      </c>
      <c r="AA8" s="43">
        <f>'[1]תקציב החברה לפיתוח 2021 '!AD122</f>
        <v>0</v>
      </c>
      <c r="AB8" s="43">
        <f>'[1]תקציב החברה לפיתוח 2021 '!AE122</f>
        <v>0</v>
      </c>
      <c r="AC8" s="43">
        <f>'[1]תקציב החברה לפיתוח 2021 '!AF122</f>
        <v>4102160</v>
      </c>
      <c r="AD8" s="43">
        <f>'[1]תקציב החברה לפיתוח 2021 '!AG122</f>
        <v>3600000</v>
      </c>
      <c r="AE8" s="43">
        <f>'[1]תקציב החברה לפיתוח 2021 '!AH122</f>
        <v>-16863681</v>
      </c>
      <c r="AF8" s="43">
        <f>'[1]תקציב החברה לפיתוח 2021 '!AI122</f>
        <v>4000000</v>
      </c>
      <c r="AG8" s="43">
        <f>'[1]תקציב החברה לפיתוח 2021 '!AJ122</f>
        <v>23463601</v>
      </c>
      <c r="AH8" s="43">
        <f>'[1]תקציב החברה לפיתוח 2021 '!AK122</f>
        <v>28817333</v>
      </c>
      <c r="AI8" s="43">
        <f>'תקציב החברה לפיתוח 2021 '!AL122</f>
        <v>167330610</v>
      </c>
      <c r="AJ8" s="43">
        <f>'[1]תקציב החברה לפיתוח 2021 '!AM122</f>
        <v>214450023</v>
      </c>
      <c r="AK8" s="43">
        <f>'[1]תקציב החברה לפיתוח 2021 '!AN122</f>
        <v>101642016</v>
      </c>
      <c r="AL8" s="43">
        <f>'[1]תקציב החברה לפיתוח 2021 '!AO122</f>
        <v>175887871</v>
      </c>
      <c r="AM8" s="43">
        <f>'[1]תקציב החברה לפיתוח 2021 '!AP122</f>
        <v>0</v>
      </c>
      <c r="AN8" s="43">
        <f>'[1]תקציב החברה לפיתוח 2021 '!AQ122</f>
        <v>0</v>
      </c>
      <c r="AO8" s="43">
        <f>'[1]תקציב החברה לפיתוח 2021 '!AR122</f>
        <v>18000000</v>
      </c>
      <c r="AP8" s="43">
        <f>'[1]תקציב החברה לפיתוח 2021 '!AS122</f>
        <v>0</v>
      </c>
      <c r="AQ8" s="43">
        <f>'[1]תקציב החברה לפיתוח 2021 '!AT122</f>
        <v>20562152</v>
      </c>
      <c r="AR8" s="598">
        <f t="shared" ref="AR8:AR19" si="0">AJ8/S8</f>
        <v>0.67844170855565267</v>
      </c>
      <c r="AS8" s="599">
        <v>-7833551</v>
      </c>
      <c r="AT8" s="598">
        <f t="shared" ref="AT8:AT19" si="1">(AS8+AJ8)/S8</f>
        <v>0.65365920841808989</v>
      </c>
    </row>
    <row r="9" spans="1:46" s="45" customFormat="1" ht="27" customHeight="1">
      <c r="A9" s="9" t="s">
        <v>411</v>
      </c>
      <c r="B9" s="43">
        <f>'[1]תקציב אגף ת.ב.ל 2021  '!D65</f>
        <v>449596201</v>
      </c>
      <c r="C9" s="43">
        <f>'[1]תקציב אגף ת.ב.ל 2021  '!E65</f>
        <v>410399105</v>
      </c>
      <c r="D9" s="43">
        <f>'[1]תקציב אגף ת.ב.ל 2021  '!F65</f>
        <v>39197096</v>
      </c>
      <c r="E9" s="43">
        <f>'[1]תקציב אגף ת.ב.ל 2021  '!G65</f>
        <v>271815901</v>
      </c>
      <c r="F9" s="43">
        <f>'[1]תקציב אגף ת.ב.ל 2021  '!H65</f>
        <v>208629485</v>
      </c>
      <c r="G9" s="43">
        <f>'[1]תקציב אגף ת.ב.ל 2021  '!I65</f>
        <v>12784862</v>
      </c>
      <c r="H9" s="43">
        <f>'[1]תקציב אגף ת.ב.ל 2021  '!J65</f>
        <v>33564893</v>
      </c>
      <c r="I9" s="43">
        <f>'[1]תקציב אגף ת.ב.ל 2021  '!K65</f>
        <v>46349755</v>
      </c>
      <c r="J9" s="43">
        <f>'[1]תקציב אגף ת.ב.ל 2021  '!L65</f>
        <v>254979240</v>
      </c>
      <c r="K9" s="43">
        <f>'[1]תקציב אגף ת.ב.ל 2021  '!M65</f>
        <v>15956661</v>
      </c>
      <c r="L9" s="43">
        <f>'[1]תקציב אגף ת.ב.ל 2021  '!N65</f>
        <v>68461300</v>
      </c>
      <c r="M9" s="43">
        <f>'[1]תקציב אגף ת.ב.ל 2021  '!O65</f>
        <v>110199000</v>
      </c>
      <c r="N9" s="43">
        <f>'[1]תקציב אגף ת.ב.ל 2021  '!P65</f>
        <v>16836661</v>
      </c>
      <c r="O9" s="43">
        <f>'[1]תקציב אגף ת.ב.ל 2021  '!Q65</f>
        <v>0</v>
      </c>
      <c r="P9" s="43">
        <f>'[1]תקציב אגף ת.ב.ל 2021  '!R65</f>
        <v>0</v>
      </c>
      <c r="Q9" s="43">
        <f>'[1]תקציב אגף ת.ב.ל 2021  '!S65</f>
        <v>0</v>
      </c>
      <c r="R9" s="43">
        <f>'[1]תקציב אגף ת.ב.ל 2021  '!T65</f>
        <v>880000</v>
      </c>
      <c r="S9" s="43">
        <f>'[1]תקציב אגף ת.ב.ל 2021  '!U65</f>
        <v>67581300</v>
      </c>
      <c r="T9" s="43">
        <f>'[1]תקציב אגף ת.ב.ל 2021  '!V65</f>
        <v>22191300</v>
      </c>
      <c r="U9" s="43">
        <f>'[1]תקציב אגף ת.ב.ל 2021  '!W65</f>
        <v>24724113</v>
      </c>
      <c r="V9" s="43">
        <f>'[1]תקציב אגף ת.ב.ל 2021  '!X65</f>
        <v>0</v>
      </c>
      <c r="W9" s="43">
        <f>'[1]תקציב אגף ת.ב.ל 2021  '!Y65</f>
        <v>0</v>
      </c>
      <c r="X9" s="43">
        <f>'[1]תקציב אגף ת.ב.ל 2021  '!Z65</f>
        <v>7100000</v>
      </c>
      <c r="Y9" s="43">
        <f>'[1]תקציב אגף ת.ב.ל 2021  '!AA65</f>
        <v>13565887</v>
      </c>
      <c r="Z9" s="334">
        <f>'[1]תקציב אגף ת.ב.ל 2021  '!A65</f>
        <v>60</v>
      </c>
      <c r="AA9" s="43">
        <f>'[1]תקציב אגף ת.ב.ל 2021  '!AD65</f>
        <v>520000</v>
      </c>
      <c r="AB9" s="43">
        <f>'[1]תקציב אגף ת.ב.ל 2021  '!AE65</f>
        <v>16420000</v>
      </c>
      <c r="AC9" s="43">
        <f>'[1]תקציב אגף ת.ב.ל 2021  '!AF65</f>
        <v>11267500</v>
      </c>
      <c r="AD9" s="43">
        <f>'[1]תקציב אגף ת.ב.ל 2021  '!AG65</f>
        <v>3100000</v>
      </c>
      <c r="AE9" s="43">
        <f>'[1]תקציב אגף ת.ב.ל 2021  '!AH65</f>
        <v>4160000</v>
      </c>
      <c r="AF9" s="43">
        <f>'[1]תקציב אגף ת.ב.ל 2021  '!AI65</f>
        <v>3092500</v>
      </c>
      <c r="AG9" s="43">
        <f>'[1]תקציב אגף ת.ב.ל 2021  '!AJ65</f>
        <v>3850000</v>
      </c>
      <c r="AH9" s="43">
        <f>'[1]תקציב אגף ת.ב.ל 2021  '!AK65</f>
        <v>3550000</v>
      </c>
      <c r="AI9" s="43">
        <f>'תקציב אגף ת.ב.ל 2021  '!AL66</f>
        <v>2020000</v>
      </c>
      <c r="AJ9" s="43">
        <f>'[1]תקציב אגף ת.ב.ל 2021  '!AM65</f>
        <v>47980000</v>
      </c>
      <c r="AK9" s="43">
        <f>'[1]תקציב אגף ת.ב.ל 2021  '!AN65</f>
        <v>19601300</v>
      </c>
      <c r="AL9" s="43">
        <f>'[1]תקציב אגף ת.ב.ל 2021  '!AO65</f>
        <v>21650000</v>
      </c>
      <c r="AM9" s="43">
        <f>'[1]תקציב אגף ת.ב.ל 2021  '!AP65</f>
        <v>24491728</v>
      </c>
      <c r="AN9" s="43">
        <f>'[1]תקציב אגף ת.ב.ל 2021  '!AQ65</f>
        <v>0</v>
      </c>
      <c r="AO9" s="43">
        <f>'[1]תקציב אגף ת.ב.ל 2021  '!AR65</f>
        <v>0</v>
      </c>
      <c r="AP9" s="43">
        <f>'[1]תקציב אגף ת.ב.ל 2021  '!AS65</f>
        <v>0</v>
      </c>
      <c r="AQ9" s="43">
        <f>'[1]תקציב אגף ת.ב.ל 2021  '!AT65</f>
        <v>1838272</v>
      </c>
      <c r="AR9" s="598">
        <f t="shared" si="0"/>
        <v>0.70995970778898898</v>
      </c>
      <c r="AS9" s="599">
        <v>14810000</v>
      </c>
      <c r="AT9" s="598">
        <f t="shared" si="1"/>
        <v>0.92910316907191781</v>
      </c>
    </row>
    <row r="10" spans="1:46" s="45" customFormat="1" ht="27" customHeight="1">
      <c r="A10" s="9" t="s">
        <v>134</v>
      </c>
      <c r="B10" s="43">
        <f>'[1]תקציב אגף בטחון פיקוח סד"צ 2021'!D7</f>
        <v>4300000</v>
      </c>
      <c r="C10" s="43">
        <f>'[1]תקציב אגף בטחון פיקוח סד"צ 2021'!E7</f>
        <v>4300000</v>
      </c>
      <c r="D10" s="43">
        <f>'[1]תקציב אגף בטחון פיקוח סד"צ 2021'!F7</f>
        <v>0</v>
      </c>
      <c r="E10" s="43">
        <f>'[1]תקציב אגף בטחון פיקוח סד"צ 2021'!G7</f>
        <v>3100000</v>
      </c>
      <c r="F10" s="43">
        <f>'[1]תקציב אגף בטחון פיקוח סד"צ 2021'!H7</f>
        <v>1908729</v>
      </c>
      <c r="G10" s="43">
        <f>'[1]תקציב אגף בטחון פיקוח סד"צ 2021'!I7</f>
        <v>0</v>
      </c>
      <c r="H10" s="43">
        <f>'[1]תקציב אגף בטחון פיקוח סד"צ 2021'!J7</f>
        <v>144168</v>
      </c>
      <c r="I10" s="43">
        <f>'[1]תקציב אגף בטחון פיקוח סד"צ 2021'!K7</f>
        <v>144168</v>
      </c>
      <c r="J10" s="43">
        <f>'[1]תקציב אגף בטחון פיקוח סד"צ 2021'!L7</f>
        <v>2052897</v>
      </c>
      <c r="K10" s="43">
        <f>'[1]תקציב אגף בטחון פיקוח סד"צ 2021'!M7</f>
        <v>347103</v>
      </c>
      <c r="L10" s="43">
        <f>'[1]תקציב אגף בטחון פיקוח סד"צ 2021'!N7</f>
        <v>700000</v>
      </c>
      <c r="M10" s="43">
        <f>'[1]תקציב אגף בטחון פיקוח סד"צ 2021'!O7</f>
        <v>1200000</v>
      </c>
      <c r="N10" s="43">
        <f>'[1]תקציב אגף בטחון פיקוח סד"צ 2021'!P7</f>
        <v>1047103</v>
      </c>
      <c r="O10" s="43">
        <f>'[1]תקציב אגף בטחון פיקוח סד"צ 2021'!Q7</f>
        <v>0</v>
      </c>
      <c r="P10" s="43">
        <f>'[1]תקציב אגף בטחון פיקוח סד"צ 2021'!R7</f>
        <v>0</v>
      </c>
      <c r="Q10" s="43">
        <f>'[1]תקציב אגף בטחון פיקוח סד"צ 2021'!S7</f>
        <v>0</v>
      </c>
      <c r="R10" s="43">
        <f>'[1]תקציב אגף בטחון פיקוח סד"צ 2021'!T7</f>
        <v>700000</v>
      </c>
      <c r="S10" s="43">
        <f>'[1]תקציב אגף בטחון פיקוח סד"צ 2021'!U7</f>
        <v>0</v>
      </c>
      <c r="T10" s="43">
        <f>'[1]תקציב אגף בטחון פיקוח סד"צ 2021'!V7</f>
        <v>0</v>
      </c>
      <c r="U10" s="43">
        <f>'[1]תקציב אגף בטחון פיקוח סד"צ 2021'!W7</f>
        <v>0</v>
      </c>
      <c r="V10" s="43">
        <f>'[1]תקציב אגף בטחון פיקוח סד"צ 2021'!X7</f>
        <v>0</v>
      </c>
      <c r="W10" s="43">
        <f>'[1]תקציב אגף בטחון פיקוח סד"צ 2021'!Y7</f>
        <v>0</v>
      </c>
      <c r="X10" s="43">
        <f>'[1]תקציב אגף בטחון פיקוח סד"צ 2021'!Z7</f>
        <v>0</v>
      </c>
      <c r="Y10" s="43">
        <f>'[1]תקציב אגף בטחון פיקוח סד"צ 2021'!AA7</f>
        <v>0</v>
      </c>
      <c r="Z10" s="43">
        <f>'[1]תקציב אגף בטחון פיקוח סד"צ 2021'!A7</f>
        <v>2</v>
      </c>
      <c r="AA10" s="43">
        <f>'[1]תקציב אגף בטחון פיקוח סד"צ 2021'!AD7</f>
        <v>0</v>
      </c>
      <c r="AB10" s="43">
        <f>'[1]תקציב אגף בטחון פיקוח סד"צ 2021'!AE7</f>
        <v>0</v>
      </c>
      <c r="AC10" s="43">
        <f>'[1]תקציב אגף בטחון פיקוח סד"צ 2021'!AF7</f>
        <v>0</v>
      </c>
      <c r="AD10" s="43">
        <f>'[1]תקציב אגף בטחון פיקוח סד"צ 2021'!AG7</f>
        <v>0</v>
      </c>
      <c r="AE10" s="43">
        <f>'[1]תקציב אגף בטחון פיקוח סד"צ 2021'!AH7</f>
        <v>0</v>
      </c>
      <c r="AF10" s="43">
        <f>'[1]תקציב אגף בטחון פיקוח סד"צ 2021'!AI7</f>
        <v>0</v>
      </c>
      <c r="AG10" s="43">
        <f>'[1]תקציב אגף בטחון פיקוח סד"צ 2021'!AJ7</f>
        <v>0</v>
      </c>
      <c r="AH10" s="43">
        <f>'[1]תקציב אגף בטחון פיקוח סד"צ 2021'!AK7</f>
        <v>0</v>
      </c>
      <c r="AI10" s="43">
        <f>'תקציב אגף בטחון פיקוח סד"צ 2021'!AL8</f>
        <v>0</v>
      </c>
      <c r="AJ10" s="43">
        <f>'[1]תקציב אגף בטחון פיקוח סד"צ 2021'!AM7</f>
        <v>0</v>
      </c>
      <c r="AK10" s="43">
        <f>'[1]תקציב אגף בטחון פיקוח סד"צ 2021'!AN7</f>
        <v>0</v>
      </c>
      <c r="AL10" s="43">
        <f>'[1]תקציב אגף בטחון פיקוח סד"צ 2021'!AO7</f>
        <v>0</v>
      </c>
      <c r="AM10" s="43">
        <f>'[1]תקציב אגף בטחון פיקוח סד"צ 2021'!AP7</f>
        <v>0</v>
      </c>
      <c r="AN10" s="43">
        <f>'[1]תקציב אגף בטחון פיקוח סד"צ 2021'!AQ7</f>
        <v>0</v>
      </c>
      <c r="AO10" s="43">
        <f>'[1]תקציב אגף בטחון פיקוח סד"צ 2021'!AR7</f>
        <v>0</v>
      </c>
      <c r="AP10" s="43">
        <f>'[1]תקציב אגף בטחון פיקוח סד"צ 2021'!AS7</f>
        <v>0</v>
      </c>
      <c r="AQ10" s="43">
        <f>'[1]תקציב אגף בטחון פיקוח סד"צ 2021'!AT7</f>
        <v>0</v>
      </c>
      <c r="AR10" s="598"/>
      <c r="AS10" s="599"/>
      <c r="AT10" s="598"/>
    </row>
    <row r="11" spans="1:46" s="45" customFormat="1" ht="27" customHeight="1">
      <c r="A11" s="243" t="s">
        <v>168</v>
      </c>
      <c r="B11" s="43">
        <f>'[1]תקציב אגף חינוך 2021 '!D26</f>
        <v>44987720</v>
      </c>
      <c r="C11" s="43">
        <f>'[1]תקציב אגף חינוך 2021 '!E26</f>
        <v>38052720</v>
      </c>
      <c r="D11" s="43">
        <f>'[1]תקציב אגף חינוך 2021 '!F26</f>
        <v>6935000</v>
      </c>
      <c r="E11" s="43">
        <f>'[1]תקציב אגף חינוך 2021 '!G26</f>
        <v>12832720</v>
      </c>
      <c r="F11" s="43">
        <f>'[1]תקציב אגף חינוך 2021 '!H26</f>
        <v>7611002</v>
      </c>
      <c r="G11" s="43">
        <f>'[1]תקציב אגף חינוך 2021 '!I26</f>
        <v>1483152</v>
      </c>
      <c r="H11" s="43">
        <f>'[1]תקציב אגף חינוך 2021 '!J26</f>
        <v>1293005</v>
      </c>
      <c r="I11" s="43">
        <f>'[1]תקציב אגף חינוך 2021 '!K26</f>
        <v>2776157</v>
      </c>
      <c r="J11" s="43">
        <f>'[1]תקציב אגף חינוך 2021 '!L26</f>
        <v>10387159</v>
      </c>
      <c r="K11" s="43">
        <f>'[1]תקציב אגף חינוך 2021 '!M26</f>
        <v>2445561</v>
      </c>
      <c r="L11" s="43">
        <f>'[1]תקציב אגף חינוך 2021 '!N26</f>
        <v>6320000</v>
      </c>
      <c r="M11" s="43">
        <f>'[1]תקציב אגף חינוך 2021 '!O26</f>
        <v>25835000</v>
      </c>
      <c r="N11" s="43">
        <f>'[1]תקציב אגף חינוך 2021 '!P26</f>
        <v>2445561</v>
      </c>
      <c r="O11" s="43">
        <f>'[1]תקציב אגף חינוך 2021 '!Q26</f>
        <v>0</v>
      </c>
      <c r="P11" s="43">
        <f>'[1]תקציב אגף חינוך 2021 '!R26</f>
        <v>0</v>
      </c>
      <c r="Q11" s="43">
        <f>'[1]תקציב אגף חינוך 2021 '!S26</f>
        <v>0</v>
      </c>
      <c r="R11" s="43">
        <f>'[1]תקציב אגף חינוך 2021 '!T26</f>
        <v>0</v>
      </c>
      <c r="S11" s="43">
        <f>'[1]תקציב אגף חינוך 2021 '!U26</f>
        <v>6320000</v>
      </c>
      <c r="T11" s="43">
        <f>'[1]תקציב אגף חינוך 2021 '!V26</f>
        <v>0</v>
      </c>
      <c r="U11" s="43">
        <f>'[1]תקציב אגף חינוך 2021 '!W26</f>
        <v>3496000</v>
      </c>
      <c r="V11" s="43">
        <f>'[1]תקציב אגף חינוך 2021 '!X26</f>
        <v>0</v>
      </c>
      <c r="W11" s="43">
        <f>'[1]תקציב אגף חינוך 2021 '!Y26</f>
        <v>0</v>
      </c>
      <c r="X11" s="43">
        <f>'[1]תקציב אגף חינוך 2021 '!Z26</f>
        <v>0</v>
      </c>
      <c r="Y11" s="43">
        <f>'[1]תקציב אגף חינוך 2021 '!AA26</f>
        <v>2824000</v>
      </c>
      <c r="Z11" s="334">
        <f>'[1]תקציב אגף חינוך 2021 '!A26</f>
        <v>21</v>
      </c>
      <c r="AA11" s="43">
        <f>'[1]תקציב אגף חינוך 2021 '!AD26</f>
        <v>0</v>
      </c>
      <c r="AB11" s="43">
        <f>'[1]תקציב אגף חינוך 2021 '!AE26</f>
        <v>500000</v>
      </c>
      <c r="AC11" s="43">
        <f>'[1]תקציב אגף חינוך 2021 '!AF26</f>
        <v>0</v>
      </c>
      <c r="AD11" s="43">
        <f>'[1]תקציב אגף חינוך 2021 '!AG26</f>
        <v>1080000</v>
      </c>
      <c r="AE11" s="43">
        <f>'[1]תקציב אגף חינוך 2021 '!AH26</f>
        <v>2680000</v>
      </c>
      <c r="AF11" s="43">
        <f>'[1]תקציב אגף חינוך 2021 '!AI26</f>
        <v>0</v>
      </c>
      <c r="AG11" s="43">
        <f>'[1]תקציב אגף חינוך 2021 '!AJ26</f>
        <v>0</v>
      </c>
      <c r="AH11" s="43">
        <f>'[1]תקציב אגף חינוך 2021 '!AK26</f>
        <v>16000</v>
      </c>
      <c r="AI11" s="43">
        <f>'תקציב אגף חינוך 2021 '!AL27</f>
        <v>300000</v>
      </c>
      <c r="AJ11" s="43">
        <f>'[1]תקציב אגף חינוך 2021 '!AM26</f>
        <v>4576000</v>
      </c>
      <c r="AK11" s="43">
        <f>'[1]תקציב אגף חינוך 2021 '!AN26</f>
        <v>1744000</v>
      </c>
      <c r="AL11" s="43">
        <f>'[1]תקציב אגף חינוך 2021 '!AO26</f>
        <v>0</v>
      </c>
      <c r="AM11" s="43">
        <f>'[1]תקציב אגף חינוך 2021 '!AP26</f>
        <v>3496000</v>
      </c>
      <c r="AN11" s="43">
        <f>'[1]תקציב אגף חינוך 2021 '!AQ26</f>
        <v>0</v>
      </c>
      <c r="AO11" s="43">
        <f>'[1]תקציב אגף חינוך 2021 '!AR26</f>
        <v>0</v>
      </c>
      <c r="AP11" s="43">
        <f>'[1]תקציב אגף חינוך 2021 '!AS26</f>
        <v>0</v>
      </c>
      <c r="AQ11" s="43">
        <f>'[1]תקציב אגף חינוך 2021 '!AT26</f>
        <v>1080000</v>
      </c>
      <c r="AR11" s="598">
        <f t="shared" si="0"/>
        <v>0.72405063291139238</v>
      </c>
      <c r="AS11" s="599">
        <v>-10000</v>
      </c>
      <c r="AT11" s="598">
        <f t="shared" si="1"/>
        <v>0.72246835443037971</v>
      </c>
    </row>
    <row r="12" spans="1:46" s="45" customFormat="1" ht="27" customHeight="1">
      <c r="A12" s="243" t="s">
        <v>381</v>
      </c>
      <c r="B12" s="43">
        <f>'[1]תקציב אגף תנוס 2021 '!D14</f>
        <v>20830594</v>
      </c>
      <c r="C12" s="43">
        <f>'[1]תקציב אגף תנוס 2021 '!E14</f>
        <v>20139594</v>
      </c>
      <c r="D12" s="43">
        <f>'[1]תקציב אגף תנוס 2021 '!F14</f>
        <v>691000</v>
      </c>
      <c r="E12" s="43">
        <f>'[1]תקציב אגף תנוס 2021 '!G14</f>
        <v>14395365</v>
      </c>
      <c r="F12" s="43">
        <f>'[1]תקציב אגף תנוס 2021 '!H14</f>
        <v>12328666</v>
      </c>
      <c r="G12" s="43">
        <f>'[1]תקציב אגף תנוס 2021 '!I14</f>
        <v>0</v>
      </c>
      <c r="H12" s="43">
        <f>'[1]תקציב אגף תנוס 2021 '!J14</f>
        <v>917574</v>
      </c>
      <c r="I12" s="43">
        <f>'[1]תקציב אגף תנוס 2021 '!K14</f>
        <v>917574</v>
      </c>
      <c r="J12" s="43">
        <f>'[1]תקציב אגף תנוס 2021 '!L14</f>
        <v>13246240</v>
      </c>
      <c r="K12" s="43">
        <f>'[1]תקציב אגף תנוס 2021 '!M14</f>
        <v>1149125</v>
      </c>
      <c r="L12" s="43">
        <f>'[1]תקציב אגף תנוס 2021 '!N14</f>
        <v>2570000</v>
      </c>
      <c r="M12" s="43">
        <f>'[1]תקציב אגף תנוס 2021 '!O14</f>
        <v>3865229</v>
      </c>
      <c r="N12" s="43">
        <f>'[1]תקציב אגף תנוס 2021 '!P14</f>
        <v>1149125</v>
      </c>
      <c r="O12" s="43">
        <f>'[1]תקציב אגף תנוס 2021 '!Q14</f>
        <v>0</v>
      </c>
      <c r="P12" s="43">
        <f>'[1]תקציב אגף תנוס 2021 '!R14</f>
        <v>0</v>
      </c>
      <c r="Q12" s="43">
        <f>'[1]תקציב אגף תנוס 2021 '!S14</f>
        <v>0</v>
      </c>
      <c r="R12" s="43">
        <f>'[1]תקציב אגף תנוס 2021 '!T14</f>
        <v>0</v>
      </c>
      <c r="S12" s="43">
        <f>'[1]תקציב אגף תנוס 2021 '!U14</f>
        <v>2570000</v>
      </c>
      <c r="T12" s="43">
        <f>'[1]תקציב אגף תנוס 2021 '!V14</f>
        <v>0</v>
      </c>
      <c r="U12" s="43">
        <f>'[1]תקציב אגף תנוס 2021 '!W14</f>
        <v>2570000</v>
      </c>
      <c r="V12" s="43">
        <f>'[1]תקציב אגף תנוס 2021 '!X14</f>
        <v>0</v>
      </c>
      <c r="W12" s="43">
        <f>'[1]תקציב אגף תנוס 2021 '!Y14</f>
        <v>0</v>
      </c>
      <c r="X12" s="43">
        <f>'[1]תקציב אגף תנוס 2021 '!Z14</f>
        <v>0</v>
      </c>
      <c r="Y12" s="43">
        <f>'[1]תקציב אגף תנוס 2021 '!AA14</f>
        <v>0</v>
      </c>
      <c r="Z12" s="334">
        <f>'[1]תקציב אגף תנוס 2021 '!A14</f>
        <v>9</v>
      </c>
      <c r="AA12" s="43">
        <f>'[1]תקציב אגף תנוס 2021 '!AD14</f>
        <v>350000</v>
      </c>
      <c r="AB12" s="43">
        <f>'[1]תקציב אגף תנוס 2021 '!AE14</f>
        <v>0</v>
      </c>
      <c r="AC12" s="43">
        <f>'[1]תקציב אגף תנוס 2021 '!AF14</f>
        <v>380000</v>
      </c>
      <c r="AD12" s="43">
        <f>'[1]תקציב אגף תנוס 2021 '!AG14</f>
        <v>0</v>
      </c>
      <c r="AE12" s="43">
        <f>'[1]תקציב אגף תנוס 2021 '!AH14</f>
        <v>690000</v>
      </c>
      <c r="AF12" s="43">
        <f>'[1]תקציב אגף תנוס 2021 '!AI14</f>
        <v>0</v>
      </c>
      <c r="AG12" s="43">
        <f>'[1]תקציב אגף תנוס 2021 '!AJ14</f>
        <v>750000</v>
      </c>
      <c r="AH12" s="43">
        <f>'[1]תקציב אגף תנוס 2021 '!AK14</f>
        <v>200000</v>
      </c>
      <c r="AI12" s="43">
        <f>'תקציב אגף תנוס 2021 '!AL15</f>
        <v>200000</v>
      </c>
      <c r="AJ12" s="43">
        <f>'[1]תקציב אגף תנוס 2021 '!AM14</f>
        <v>2570000</v>
      </c>
      <c r="AK12" s="43">
        <f>'[1]תקציב אגף תנוס 2021 '!AN14</f>
        <v>0</v>
      </c>
      <c r="AL12" s="43">
        <f>'[1]תקציב אגף תנוס 2021 '!AO14</f>
        <v>0</v>
      </c>
      <c r="AM12" s="43">
        <f>'[1]תקציב אגף תנוס 2021 '!AP14</f>
        <v>2570000</v>
      </c>
      <c r="AN12" s="43">
        <f>'[1]תקציב אגף תנוס 2021 '!AQ14</f>
        <v>0</v>
      </c>
      <c r="AO12" s="43">
        <f>'[1]תקציב אגף תנוס 2021 '!AR14</f>
        <v>0</v>
      </c>
      <c r="AP12" s="43">
        <f>'[1]תקציב אגף תנוס 2021 '!AS14</f>
        <v>0</v>
      </c>
      <c r="AQ12" s="43">
        <f>'[1]תקציב אגף תנוס 2021 '!AT14</f>
        <v>0</v>
      </c>
      <c r="AR12" s="598">
        <f t="shared" si="0"/>
        <v>1</v>
      </c>
      <c r="AS12" s="599">
        <v>340000</v>
      </c>
      <c r="AT12" s="598">
        <f t="shared" si="1"/>
        <v>1.132295719844358</v>
      </c>
    </row>
    <row r="13" spans="1:46" s="45" customFormat="1" ht="27" customHeight="1">
      <c r="A13" s="243" t="s">
        <v>92</v>
      </c>
      <c r="B13" s="43">
        <f>'[1]תקציב אגף שאיפה  2021 '!D42</f>
        <v>263941379</v>
      </c>
      <c r="C13" s="43">
        <f>'[1]תקציב אגף שאיפה  2021 '!E42</f>
        <v>232020379</v>
      </c>
      <c r="D13" s="43">
        <f>'[1]תקציב אגף שאיפה  2021 '!F42</f>
        <v>31921000</v>
      </c>
      <c r="E13" s="43">
        <f>'[1]תקציב אגף שאיפה  2021 '!G42</f>
        <v>203662245</v>
      </c>
      <c r="F13" s="43">
        <f>'[1]תקציב אגף שאיפה  2021 '!H42</f>
        <v>185965379</v>
      </c>
      <c r="G13" s="43">
        <f>'[1]תקציב אגף שאיפה  2021 '!I42</f>
        <v>0</v>
      </c>
      <c r="H13" s="43">
        <f>'[1]תקציב אגף שאיפה  2021 '!J42</f>
        <v>9211704</v>
      </c>
      <c r="I13" s="43">
        <f>'[1]תקציב אגף שאיפה  2021 '!K42</f>
        <v>9211704</v>
      </c>
      <c r="J13" s="43">
        <f>'[1]תקציב אגף שאיפה  2021 '!L42</f>
        <v>195177083</v>
      </c>
      <c r="K13" s="43">
        <f>'[1]תקציב אגף שאיפה  2021 '!M42</f>
        <v>6558162</v>
      </c>
      <c r="L13" s="43">
        <f>'[1]תקציב אגף שאיפה  2021 '!N42</f>
        <v>29162000</v>
      </c>
      <c r="M13" s="43">
        <f>'[1]תקציב אגף שאיפה  2021 '!O42</f>
        <v>33044134</v>
      </c>
      <c r="N13" s="43">
        <f>'[1]תקציב אגף שאיפה  2021 '!P42</f>
        <v>8485162</v>
      </c>
      <c r="O13" s="43">
        <f>'[1]תקציב אגף שאיפה  2021 '!Q42</f>
        <v>0</v>
      </c>
      <c r="P13" s="43">
        <f>'[1]תקציב אגף שאיפה  2021 '!R42</f>
        <v>0</v>
      </c>
      <c r="Q13" s="43">
        <f>'[1]תקציב אגף שאיפה  2021 '!S42</f>
        <v>0</v>
      </c>
      <c r="R13" s="43">
        <f>'[1]תקציב אגף שאיפה  2021 '!T42</f>
        <v>1927000</v>
      </c>
      <c r="S13" s="43">
        <f>'[1]תקציב אגף שאיפה  2021 '!U42</f>
        <v>27235000</v>
      </c>
      <c r="T13" s="43">
        <f>'[1]תקציב אגף שאיפה  2021 '!V42</f>
        <v>533000</v>
      </c>
      <c r="U13" s="43">
        <f>'[1]תקציב אגף שאיפה  2021 '!W42</f>
        <v>7320000</v>
      </c>
      <c r="V13" s="43">
        <f>'[1]תקציב אגף שאיפה  2021 '!X42</f>
        <v>0</v>
      </c>
      <c r="W13" s="43">
        <f>'[1]תקציב אגף שאיפה  2021 '!Y42</f>
        <v>0</v>
      </c>
      <c r="X13" s="43">
        <f>'[1]תקציב אגף שאיפה  2021 '!Z42</f>
        <v>0</v>
      </c>
      <c r="Y13" s="43">
        <f>'[1]תקציב אגף שאיפה  2021 '!AA42</f>
        <v>19382000</v>
      </c>
      <c r="Z13" s="334">
        <f>'[1]תקציב אגף שאיפה  2021 '!A42</f>
        <v>37</v>
      </c>
      <c r="AA13" s="43">
        <f>'[1]תקציב אגף שאיפה  2021 '!AD42</f>
        <v>21000</v>
      </c>
      <c r="AB13" s="43">
        <f>'[1]תקציב אגף שאיפה  2021 '!AE42</f>
        <v>2800000</v>
      </c>
      <c r="AC13" s="43">
        <f>'[1]תקציב אגף שאיפה  2021 '!AF42</f>
        <v>4162000</v>
      </c>
      <c r="AD13" s="43">
        <f>'[1]תקציב אגף שאיפה  2021 '!AG42</f>
        <v>0</v>
      </c>
      <c r="AE13" s="43">
        <f>'[1]תקציב אגף שאיפה  2021 '!AH42</f>
        <v>150000</v>
      </c>
      <c r="AF13" s="43">
        <f>'[1]תקציב אגף שאיפה  2021 '!AI42</f>
        <v>3400000</v>
      </c>
      <c r="AG13" s="43">
        <f>'[1]תקציב אגף שאיפה  2021 '!AJ42</f>
        <v>1500000</v>
      </c>
      <c r="AH13" s="43">
        <f>'[1]תקציב אגף שאיפה  2021 '!AK42</f>
        <v>2000000</v>
      </c>
      <c r="AI13" s="43">
        <f>'תקציב אגף שאיפה  2021 '!AL43</f>
        <v>0</v>
      </c>
      <c r="AJ13" s="43">
        <f>'[1]תקציב אגף שאיפה  2021 '!AM42</f>
        <v>14033000</v>
      </c>
      <c r="AK13" s="43">
        <f>'[1]תקציב אגף שאיפה  2021 '!AN42</f>
        <v>13202000</v>
      </c>
      <c r="AL13" s="43">
        <f>'[1]תקציב אגף שאיפה  2021 '!AO42</f>
        <v>-67000</v>
      </c>
      <c r="AM13" s="43">
        <f>'[1]תקציב אגף שאיפה  2021 '!AP42</f>
        <v>6950000</v>
      </c>
      <c r="AN13" s="43">
        <f>'[1]תקציב אגף שאיפה  2021 '!AQ42</f>
        <v>0</v>
      </c>
      <c r="AO13" s="43">
        <f>'[1]תקציב אגף שאיפה  2021 '!AR42</f>
        <v>0</v>
      </c>
      <c r="AP13" s="43">
        <f>'[1]תקציב אגף שאיפה  2021 '!AS42</f>
        <v>0</v>
      </c>
      <c r="AQ13" s="43">
        <f>'[1]תקציב אגף שאיפה  2021 '!AT42</f>
        <v>7150000</v>
      </c>
      <c r="AR13" s="598">
        <f t="shared" si="0"/>
        <v>0.51525610427758395</v>
      </c>
      <c r="AS13" s="599">
        <v>300000</v>
      </c>
      <c r="AT13" s="598">
        <f t="shared" si="1"/>
        <v>0.52627134202313197</v>
      </c>
    </row>
    <row r="14" spans="1:46" s="45" customFormat="1" ht="27" customHeight="1">
      <c r="A14" s="9" t="s">
        <v>165</v>
      </c>
      <c r="B14" s="43">
        <f>'[1]תקציב רשות החופים 2021 '!D19</f>
        <v>8677424</v>
      </c>
      <c r="C14" s="43">
        <f>'[1]תקציב רשות החופים 2021 '!E19</f>
        <v>6436120</v>
      </c>
      <c r="D14" s="43">
        <f>'[1]תקציב רשות החופים 2021 '!F19</f>
        <v>2241304</v>
      </c>
      <c r="E14" s="43">
        <f>'[1]תקציב רשות החופים 2021 '!G19</f>
        <v>6301149</v>
      </c>
      <c r="F14" s="43">
        <f>'[1]תקציב רשות החופים 2021 '!H19</f>
        <v>5236930</v>
      </c>
      <c r="G14" s="43">
        <f>'[1]תקציב רשות החופים 2021 '!I19</f>
        <v>484961</v>
      </c>
      <c r="H14" s="43">
        <f>'[1]תקציב רשות החופים 2021 '!J19</f>
        <v>194526</v>
      </c>
      <c r="I14" s="43">
        <f>'[1]תקציב רשות החופים 2021 '!K19</f>
        <v>679487</v>
      </c>
      <c r="J14" s="43">
        <f>'[1]תקציב רשות החופים 2021 '!L19</f>
        <v>5916417</v>
      </c>
      <c r="K14" s="43">
        <f>'[1]תקציב רשות החופים 2021 '!M19</f>
        <v>369703</v>
      </c>
      <c r="L14" s="43">
        <f>'[1]תקציב רשות החופים 2021 '!N19</f>
        <v>1791304</v>
      </c>
      <c r="M14" s="43">
        <f>'[1]תקציב רשות החופים 2021 '!O19</f>
        <v>600000</v>
      </c>
      <c r="N14" s="43">
        <f>'[1]תקציב רשות החופים 2021 '!P19</f>
        <v>384732</v>
      </c>
      <c r="O14" s="43">
        <f>'[1]תקציב רשות החופים 2021 '!Q19</f>
        <v>0</v>
      </c>
      <c r="P14" s="43">
        <f>'[1]תקציב רשות החופים 2021 '!R19</f>
        <v>0</v>
      </c>
      <c r="Q14" s="43">
        <f>'[1]תקציב רשות החופים 2021 '!S19</f>
        <v>0</v>
      </c>
      <c r="R14" s="43">
        <f>'[1]תקציב רשות החופים 2021 '!T19</f>
        <v>15029</v>
      </c>
      <c r="S14" s="43">
        <f>'[1]תקציב רשות החופים 2021 '!U19</f>
        <v>1776275</v>
      </c>
      <c r="T14" s="43">
        <f>'[1]תקציב רשות החופים 2021 '!V19</f>
        <v>0</v>
      </c>
      <c r="U14" s="43">
        <f>'[1]תקציב רשות החופים 2021 '!W19</f>
        <v>1700000</v>
      </c>
      <c r="V14" s="43">
        <f>'[1]תקציב רשות החופים 2021 '!X19</f>
        <v>0</v>
      </c>
      <c r="W14" s="43">
        <f>'[1]תקציב רשות החופים 2021 '!Y19</f>
        <v>0</v>
      </c>
      <c r="X14" s="43">
        <f>'[1]תקציב רשות החופים 2021 '!Z19</f>
        <v>0</v>
      </c>
      <c r="Y14" s="43">
        <f>'[1]תקציב רשות החופים 2021 '!AA19</f>
        <v>76275</v>
      </c>
      <c r="Z14" s="334">
        <f>'[1]תקציב רשות החופים 2021 '!A19</f>
        <v>14</v>
      </c>
      <c r="AA14" s="43">
        <f>'[1]תקציב רשות החופים 2021 '!AD19</f>
        <v>1076275</v>
      </c>
      <c r="AB14" s="43">
        <f>'[1]תקציב רשות החופים 2021 '!AE19</f>
        <v>500000</v>
      </c>
      <c r="AC14" s="43">
        <f>'[1]תקציב רשות החופים 2021 '!AF19</f>
        <v>200000</v>
      </c>
      <c r="AD14" s="43">
        <f>'[1]תקציב רשות החופים 2021 '!AG19</f>
        <v>0</v>
      </c>
      <c r="AE14" s="43">
        <f>'[1]תקציב רשות החופים 2021 '!AH19</f>
        <v>0</v>
      </c>
      <c r="AF14" s="43">
        <f>'[1]תקציב רשות החופים 2021 '!AI19</f>
        <v>0</v>
      </c>
      <c r="AG14" s="43">
        <f>'[1]תקציב רשות החופים 2021 '!AJ19</f>
        <v>0</v>
      </c>
      <c r="AH14" s="43">
        <f>'[1]תקציב רשות החופים 2021 '!AK19</f>
        <v>0</v>
      </c>
      <c r="AI14" s="43">
        <f>'תקציב רשות החופים 2021 '!AL20</f>
        <v>0</v>
      </c>
      <c r="AJ14" s="43">
        <f>'[1]תקציב רשות החופים 2021 '!AM19</f>
        <v>1776275</v>
      </c>
      <c r="AK14" s="43">
        <f>'[1]תקציב רשות החופים 2021 '!AN19</f>
        <v>0</v>
      </c>
      <c r="AL14" s="43">
        <f>'[1]תקציב רשות החופים 2021 '!AO19</f>
        <v>0</v>
      </c>
      <c r="AM14" s="43">
        <f>'[1]תקציב רשות החופים 2021 '!AP19</f>
        <v>1700000</v>
      </c>
      <c r="AN14" s="43">
        <f>'[1]תקציב רשות החופים 2021 '!AQ19</f>
        <v>0</v>
      </c>
      <c r="AO14" s="43">
        <f>'[1]תקציב רשות החופים 2021 '!AR19</f>
        <v>0</v>
      </c>
      <c r="AP14" s="43">
        <f>'[1]תקציב רשות החופים 2021 '!AS19</f>
        <v>0</v>
      </c>
      <c r="AQ14" s="43">
        <f>'[1]תקציב רשות החופים 2021 '!AT19</f>
        <v>76275</v>
      </c>
      <c r="AR14" s="598">
        <f t="shared" si="0"/>
        <v>1</v>
      </c>
      <c r="AS14" s="599">
        <v>91304</v>
      </c>
      <c r="AT14" s="598">
        <f t="shared" si="1"/>
        <v>1.0514019507114607</v>
      </c>
    </row>
    <row r="15" spans="1:46" s="45" customFormat="1" ht="27" customHeight="1">
      <c r="A15" s="9" t="s">
        <v>93</v>
      </c>
      <c r="B15" s="43">
        <f>'[1]תקציב החברה לתירות 2021 '!D11</f>
        <v>20658000</v>
      </c>
      <c r="C15" s="43">
        <f>'[1]תקציב החברה לתירות 2021 '!E11</f>
        <v>20658000</v>
      </c>
      <c r="D15" s="43">
        <f>'[1]תקציב החברה לתירות 2021 '!F11</f>
        <v>0</v>
      </c>
      <c r="E15" s="43">
        <f>'[1]תקציב החברה לתירות 2021 '!G11</f>
        <v>5895000</v>
      </c>
      <c r="F15" s="43">
        <f>'[1]תקציב החברה לתירות 2021 '!H11</f>
        <v>4080804</v>
      </c>
      <c r="G15" s="43">
        <f>'[1]תקציב החברה לתירות 2021 '!I11</f>
        <v>0</v>
      </c>
      <c r="H15" s="43">
        <f>'[1]תקציב החברה לתירות 2021 '!J11</f>
        <v>0</v>
      </c>
      <c r="I15" s="43">
        <f>'[1]תקציב החברה לתירות 2021 '!K11</f>
        <v>0</v>
      </c>
      <c r="J15" s="43">
        <f>'[1]תקציב החברה לתירות 2021 '!L11</f>
        <v>4080804</v>
      </c>
      <c r="K15" s="43">
        <f>'[1]תקציב החברה לתירות 2021 '!M11</f>
        <v>114196</v>
      </c>
      <c r="L15" s="43">
        <f>'[1]תקציב החברה לתירות 2021 '!N11</f>
        <v>2700000</v>
      </c>
      <c r="M15" s="43">
        <f>'[1]תקציב החברה לתירות 2021 '!O11</f>
        <v>13763000</v>
      </c>
      <c r="N15" s="43">
        <f>'[1]תקציב החברה לתירות 2021 '!P11</f>
        <v>1814196</v>
      </c>
      <c r="O15" s="43">
        <f>'[1]תקציב החברה לתירות 2021 '!Q11</f>
        <v>0</v>
      </c>
      <c r="P15" s="43">
        <f>'[1]תקציב החברה לתירות 2021 '!R11</f>
        <v>0</v>
      </c>
      <c r="Q15" s="43">
        <f>'[1]תקציב החברה לתירות 2021 '!S11</f>
        <v>0</v>
      </c>
      <c r="R15" s="43">
        <f>'[1]תקציב החברה לתירות 2021 '!T11</f>
        <v>1700000</v>
      </c>
      <c r="S15" s="43">
        <f>'[1]תקציב החברה לתירות 2021 '!U11</f>
        <v>1000000</v>
      </c>
      <c r="T15" s="43">
        <f>'[1]תקציב החברה לתירות 2021 '!V11</f>
        <v>771068</v>
      </c>
      <c r="U15" s="43">
        <f>'[1]תקציב החברה לתירות 2021 '!W11</f>
        <v>0</v>
      </c>
      <c r="V15" s="43">
        <f>'[1]תקציב החברה לתירות 2021 '!X11</f>
        <v>0</v>
      </c>
      <c r="W15" s="43">
        <f>'[1]תקציב החברה לתירות 2021 '!Y11</f>
        <v>0</v>
      </c>
      <c r="X15" s="43">
        <f>'[1]תקציב החברה לתירות 2021 '!Z11</f>
        <v>0</v>
      </c>
      <c r="Y15" s="43">
        <f>'[1]תקציב החברה לתירות 2021 '!AA11</f>
        <v>228932</v>
      </c>
      <c r="Z15" s="334">
        <f>'[1]תקציב החברה לתירות 2021 '!A11</f>
        <v>6</v>
      </c>
      <c r="AA15" s="43">
        <f>'[1]תקציב החברה לתירות 2021 '!AD11</f>
        <v>0</v>
      </c>
      <c r="AB15" s="43">
        <f>'[1]תקציב החברה לתירות 2021 '!AE11</f>
        <v>0</v>
      </c>
      <c r="AC15" s="43">
        <f>'[1]תקציב החברה לתירות 2021 '!AF11</f>
        <v>0</v>
      </c>
      <c r="AD15" s="43">
        <f>'[1]תקציב החברה לתירות 2021 '!AG11</f>
        <v>0</v>
      </c>
      <c r="AE15" s="43">
        <f>'[1]תקציב החברה לתירות 2021 '!AH11</f>
        <v>0</v>
      </c>
      <c r="AF15" s="43">
        <f>'[1]תקציב החברה לתירות 2021 '!AI11</f>
        <v>0</v>
      </c>
      <c r="AG15" s="43">
        <f>'[1]תקציב החברה לתירות 2021 '!AJ11</f>
        <v>0</v>
      </c>
      <c r="AH15" s="43">
        <f>'[1]תקציב החברה לתירות 2021 '!AK11</f>
        <v>0</v>
      </c>
      <c r="AI15" s="43">
        <f>'תקציב החברה לתירות 2021 '!AL12</f>
        <v>0</v>
      </c>
      <c r="AJ15" s="43">
        <f>'[1]תקציב החברה לתירות 2021 '!AM11</f>
        <v>0</v>
      </c>
      <c r="AK15" s="43">
        <f>'[1]תקציב החברה לתירות 2021 '!AN11</f>
        <v>1000000</v>
      </c>
      <c r="AL15" s="43">
        <f>'[1]תקציב החברה לתירות 2021 '!AO11</f>
        <v>0</v>
      </c>
      <c r="AM15" s="43">
        <f>'[1]תקציב החברה לתירות 2021 '!AP11</f>
        <v>0</v>
      </c>
      <c r="AN15" s="43">
        <f>'[1]תקציב החברה לתירות 2021 '!AQ11</f>
        <v>0</v>
      </c>
      <c r="AO15" s="43">
        <f>'[1]תקציב החברה לתירות 2021 '!AR11</f>
        <v>0</v>
      </c>
      <c r="AP15" s="43">
        <f>'[1]תקציב החברה לתירות 2021 '!AS11</f>
        <v>0</v>
      </c>
      <c r="AQ15" s="43">
        <f>'[1]תקציב החברה לתירות 2021 '!AT11</f>
        <v>0</v>
      </c>
      <c r="AR15" s="598">
        <f t="shared" si="0"/>
        <v>0</v>
      </c>
      <c r="AS15" s="599"/>
      <c r="AT15" s="598">
        <f t="shared" si="1"/>
        <v>0</v>
      </c>
    </row>
    <row r="16" spans="1:46" s="45" customFormat="1" ht="27" customHeight="1">
      <c r="A16" s="9" t="s">
        <v>468</v>
      </c>
      <c r="B16" s="43">
        <f>'[1]תקציב אגף תקשוב 2021 '!D15</f>
        <v>66970000</v>
      </c>
      <c r="C16" s="43">
        <f>'[1]תקציב אגף תקשוב 2021 '!E15</f>
        <v>51790000</v>
      </c>
      <c r="D16" s="43">
        <f>'[1]תקציב אגף תקשוב 2021 '!F15</f>
        <v>15180000</v>
      </c>
      <c r="E16" s="43">
        <f>'[1]תקציב אגף תקשוב 2021 '!G15</f>
        <v>31233000</v>
      </c>
      <c r="F16" s="43">
        <f>'[1]תקציב אגף תקשוב 2021 '!H15</f>
        <v>20522166</v>
      </c>
      <c r="G16" s="43">
        <f>'[1]תקציב אגף תקשוב 2021 '!I15</f>
        <v>136200</v>
      </c>
      <c r="H16" s="43">
        <f>'[1]תקציב אגף תקשוב 2021 '!J15</f>
        <v>5920976</v>
      </c>
      <c r="I16" s="43">
        <f>'[1]תקציב אגף תקשוב 2021 '!K15</f>
        <v>6057176</v>
      </c>
      <c r="J16" s="43">
        <f>'[1]תקציב אגף תקשוב 2021 '!L15</f>
        <v>26579342</v>
      </c>
      <c r="K16" s="43">
        <f>'[1]תקציב אגף תקשוב 2021 '!M15</f>
        <v>5653658</v>
      </c>
      <c r="L16" s="43">
        <f>'[1]תקציב אגף תקשוב 2021 '!N15</f>
        <v>8450000</v>
      </c>
      <c r="M16" s="43">
        <f>'[1]תקציב אגף תקשוב 2021 '!O15</f>
        <v>26287000</v>
      </c>
      <c r="N16" s="43">
        <f>'[1]תקציב אגף תקשוב 2021 '!P15</f>
        <v>4653658</v>
      </c>
      <c r="O16" s="43">
        <f>'[1]תקציב אגף תקשוב 2021 '!Q15</f>
        <v>0</v>
      </c>
      <c r="P16" s="43">
        <f>'[1]תקציב אגף תקשוב 2021 '!R15</f>
        <v>1000000</v>
      </c>
      <c r="Q16" s="43">
        <f>'[1]תקציב אגף תקשוב 2021 '!S15</f>
        <v>1000000</v>
      </c>
      <c r="R16" s="43">
        <f>'[1]תקציב אגף תקשוב 2021 '!T15</f>
        <v>0</v>
      </c>
      <c r="S16" s="43">
        <f>'[1]תקציב אגף תקשוב 2021 '!U15</f>
        <v>8450000</v>
      </c>
      <c r="T16" s="43">
        <f>'[1]תקציב אגף תקשוב 2021 '!V15</f>
        <v>5450000</v>
      </c>
      <c r="U16" s="43">
        <f>'[1]תקציב אגף תקשוב 2021 '!W15</f>
        <v>2500000</v>
      </c>
      <c r="V16" s="43">
        <f>'[1]תקציב אגף תקשוב 2021 '!X15</f>
        <v>0</v>
      </c>
      <c r="W16" s="43">
        <f>'[1]תקציב אגף תקשוב 2021 '!Y15</f>
        <v>0</v>
      </c>
      <c r="X16" s="43">
        <f>'[1]תקציב אגף תקשוב 2021 '!Z15</f>
        <v>0</v>
      </c>
      <c r="Y16" s="43">
        <f>'[1]תקציב אגף תקשוב 2021 '!AA15</f>
        <v>500000</v>
      </c>
      <c r="Z16" s="334">
        <f>'[1]תקציב אגף תקשוב 2021 '!A15</f>
        <v>10</v>
      </c>
      <c r="AA16" s="43">
        <f>'[1]תקציב אגף תקשוב 2021 '!AD15</f>
        <v>6555000</v>
      </c>
      <c r="AB16" s="43">
        <f>'[1]תקציב אגף תקשוב 2021 '!AE15</f>
        <v>0</v>
      </c>
      <c r="AC16" s="43">
        <f>'[1]תקציב אגף תקשוב 2021 '!AF15</f>
        <v>200000</v>
      </c>
      <c r="AD16" s="43">
        <f>'[1]תקציב אגף תקשוב 2021 '!AG15</f>
        <v>0</v>
      </c>
      <c r="AE16" s="43">
        <f>'[1]תקציב אגף תקשוב 2021 '!AH15</f>
        <v>1575000</v>
      </c>
      <c r="AF16" s="43">
        <f>'[1]תקציב אגף תקשוב 2021 '!AI15</f>
        <v>0</v>
      </c>
      <c r="AG16" s="43">
        <f>'[1]תקציב אגף תקשוב 2021 '!AJ15</f>
        <v>0</v>
      </c>
      <c r="AH16" s="43">
        <f>'[1]תקציב אגף תקשוב 2021 '!AK15</f>
        <v>0</v>
      </c>
      <c r="AI16" s="43">
        <f>'תקציב אגף תקשוב 2021 '!AL16</f>
        <v>0</v>
      </c>
      <c r="AJ16" s="43">
        <f>'[1]תקציב אגף תקשוב 2021 '!AM15</f>
        <v>8330000</v>
      </c>
      <c r="AK16" s="43">
        <f>'[1]תקציב אגף תקשוב 2021 '!AN15</f>
        <v>120000</v>
      </c>
      <c r="AL16" s="43">
        <f>'[1]תקציב אגף תקשוב 2021 '!AO15</f>
        <v>5450000</v>
      </c>
      <c r="AM16" s="43">
        <f>'[1]תקציב אגף תקשוב 2021 '!AP15</f>
        <v>2380000</v>
      </c>
      <c r="AN16" s="43">
        <f>'[1]תקציב אגף תקשוב 2021 '!AQ15</f>
        <v>0</v>
      </c>
      <c r="AO16" s="43">
        <f>'[1]תקציב אגף תקשוב 2021 '!AR15</f>
        <v>0</v>
      </c>
      <c r="AP16" s="43">
        <f>'[1]תקציב אגף תקשוב 2021 '!AS15</f>
        <v>0</v>
      </c>
      <c r="AQ16" s="43">
        <f>'[1]תקציב אגף תקשוב 2021 '!AT15</f>
        <v>500000</v>
      </c>
      <c r="AR16" s="598">
        <f t="shared" si="0"/>
        <v>0.98579881656804735</v>
      </c>
      <c r="AS16" s="599">
        <v>1828000</v>
      </c>
      <c r="AT16" s="598">
        <f t="shared" si="1"/>
        <v>1.202130177514793</v>
      </c>
    </row>
    <row r="17" spans="1:46" s="45" customFormat="1" ht="27" customHeight="1">
      <c r="A17" s="9" t="s">
        <v>467</v>
      </c>
      <c r="B17" s="43">
        <f>'[1]תקציב אגף נכסים וביטוח 2021'!D20</f>
        <v>126129000</v>
      </c>
      <c r="C17" s="43">
        <f>'[1]תקציב אגף נכסים וביטוח 2021'!E20</f>
        <v>125629000</v>
      </c>
      <c r="D17" s="43">
        <f>'[1]תקציב אגף נכסים וביטוח 2021'!F20</f>
        <v>500000</v>
      </c>
      <c r="E17" s="43">
        <f>'[1]תקציב אגף נכסים וביטוח 2021'!G20</f>
        <v>58352525</v>
      </c>
      <c r="F17" s="43">
        <f>'[1]תקציב אגף נכסים וביטוח 2021'!H20</f>
        <v>40157025</v>
      </c>
      <c r="G17" s="43">
        <f>'[1]תקציב אגף נכסים וביטוח 2021'!I20</f>
        <v>3336952</v>
      </c>
      <c r="H17" s="43">
        <f>'[1]תקציב אגף נכסים וביטוח 2021'!J20</f>
        <v>3597</v>
      </c>
      <c r="I17" s="43">
        <f>'[1]תקציב אגף נכסים וביטוח 2021'!K20</f>
        <v>3340549</v>
      </c>
      <c r="J17" s="43">
        <f>'[1]תקציב אגף נכסים וביטוח 2021'!L20</f>
        <v>43497574</v>
      </c>
      <c r="K17" s="43">
        <f>'[1]תקציב אגף נכסים וביטוח 2021'!M20</f>
        <v>14854951</v>
      </c>
      <c r="L17" s="43">
        <f>'[1]תקציב אגף נכסים וביטוח 2021'!N20</f>
        <v>2040000</v>
      </c>
      <c r="M17" s="43">
        <f>'[1]תקציב אגף נכסים וביטוח 2021'!O20</f>
        <v>65736475</v>
      </c>
      <c r="N17" s="43">
        <f>'[1]תקציב אגף נכסים וביטוח 2021'!P20</f>
        <v>14854951</v>
      </c>
      <c r="O17" s="43">
        <f>'[1]תקציב אגף נכסים וביטוח 2021'!Q20</f>
        <v>0</v>
      </c>
      <c r="P17" s="43">
        <f>'[1]תקציב אגף נכסים וביטוח 2021'!R20</f>
        <v>0</v>
      </c>
      <c r="Q17" s="43">
        <f>'[1]תקציב אגף נכסים וביטוח 2021'!S20</f>
        <v>0</v>
      </c>
      <c r="R17" s="43">
        <f>'[1]תקציב אגף נכסים וביטוח 2021'!T20</f>
        <v>0</v>
      </c>
      <c r="S17" s="43">
        <f>'[1]תקציב אגף נכסים וביטוח 2021'!U20</f>
        <v>2040000</v>
      </c>
      <c r="T17" s="43">
        <f>'[1]תקציב אגף נכסים וביטוח 2021'!V20</f>
        <v>2040000</v>
      </c>
      <c r="U17" s="43">
        <f>'[1]תקציב אגף נכסים וביטוח 2021'!W20</f>
        <v>0</v>
      </c>
      <c r="V17" s="43">
        <f>'[1]תקציב אגף נכסים וביטוח 2021'!X20</f>
        <v>0</v>
      </c>
      <c r="W17" s="43">
        <f>'[1]תקציב אגף נכסים וביטוח 2021'!Y20</f>
        <v>0</v>
      </c>
      <c r="X17" s="43">
        <f>'[1]תקציב אגף נכסים וביטוח 2021'!Z20</f>
        <v>0</v>
      </c>
      <c r="Y17" s="43">
        <f>'[1]תקציב אגף נכסים וביטוח 2021'!AA20</f>
        <v>0</v>
      </c>
      <c r="Z17" s="43">
        <f>'[1]תקציב אגף נכסים וביטוח 2021'!A20</f>
        <v>15</v>
      </c>
      <c r="AA17" s="43">
        <f>'[1]תקציב אגף נכסים וביטוח 2021'!AD20</f>
        <v>0</v>
      </c>
      <c r="AB17" s="43">
        <f>'[1]תקציב אגף נכסים וביטוח 2021'!AE20</f>
        <v>0</v>
      </c>
      <c r="AC17" s="43">
        <f>'[1]תקציב אגף נכסים וביטוח 2021'!AF20</f>
        <v>0</v>
      </c>
      <c r="AD17" s="43">
        <f>'[1]תקציב אגף נכסים וביטוח 2021'!AG20</f>
        <v>0</v>
      </c>
      <c r="AE17" s="43">
        <f>'[1]תקציב אגף נכסים וביטוח 2021'!AH20</f>
        <v>0</v>
      </c>
      <c r="AF17" s="43">
        <f>'[1]תקציב אגף נכסים וביטוח 2021'!AI20</f>
        <v>0</v>
      </c>
      <c r="AG17" s="43">
        <f>'[1]תקציב אגף נכסים וביטוח 2021'!AJ20</f>
        <v>0</v>
      </c>
      <c r="AH17" s="43">
        <f>'[1]תקציב אגף נכסים וביטוח 2021'!AK20</f>
        <v>0</v>
      </c>
      <c r="AI17" s="43">
        <f>'תקציב אגף נכסים וביטוח 2021'!AL21</f>
        <v>0</v>
      </c>
      <c r="AJ17" s="43">
        <f>'[1]תקציב אגף נכסים וביטוח 2021'!AM20</f>
        <v>0</v>
      </c>
      <c r="AK17" s="43">
        <f>'[1]תקציב אגף נכסים וביטוח 2021'!AN20</f>
        <v>2040000</v>
      </c>
      <c r="AL17" s="43">
        <f>'[1]תקציב אגף נכסים וביטוח 2021'!AO20</f>
        <v>0</v>
      </c>
      <c r="AM17" s="43">
        <f>'[1]תקציב אגף נכסים וביטוח 2021'!AP20</f>
        <v>0</v>
      </c>
      <c r="AN17" s="43">
        <f>'[1]תקציב אגף נכסים וביטוח 2021'!AQ20</f>
        <v>0</v>
      </c>
      <c r="AO17" s="43">
        <f>'[1]תקציב אגף נכסים וביטוח 2021'!AR20</f>
        <v>0</v>
      </c>
      <c r="AP17" s="43">
        <f>'[1]תקציב אגף נכסים וביטוח 2021'!AS20</f>
        <v>0</v>
      </c>
      <c r="AQ17" s="43">
        <f>'[1]תקציב אגף נכסים וביטוח 2021'!AT20</f>
        <v>0</v>
      </c>
      <c r="AR17" s="598">
        <f t="shared" si="0"/>
        <v>0</v>
      </c>
      <c r="AS17" s="599">
        <v>300000</v>
      </c>
      <c r="AT17" s="598">
        <f t="shared" si="1"/>
        <v>0.14705882352941177</v>
      </c>
    </row>
    <row r="18" spans="1:46" s="45" customFormat="1" ht="27" customHeight="1">
      <c r="A18" s="243" t="s">
        <v>252</v>
      </c>
      <c r="B18" s="43">
        <f>'[1]תקציב מינהל כללי 2021  '!D14</f>
        <v>135032955</v>
      </c>
      <c r="C18" s="43">
        <f>'[1]תקציב מינהל כללי 2021  '!E14</f>
        <v>125532955</v>
      </c>
      <c r="D18" s="43">
        <f>'[1]תקציב מינהל כללי 2021  '!F14</f>
        <v>9500000</v>
      </c>
      <c r="E18" s="43">
        <f>'[1]תקציב מינהל כללי 2021  '!G14</f>
        <v>96529849</v>
      </c>
      <c r="F18" s="43">
        <f>'[1]תקציב מינהל כללי 2021  '!H14</f>
        <v>77482409</v>
      </c>
      <c r="G18" s="43">
        <f>'[1]תקציב מינהל כללי 2021  '!I14</f>
        <v>9100</v>
      </c>
      <c r="H18" s="43">
        <f>'[1]תקציב מינהל כללי 2021  '!J14</f>
        <v>3371919</v>
      </c>
      <c r="I18" s="43">
        <f>'[1]תקציב מינהל כללי 2021  '!K14</f>
        <v>3381019</v>
      </c>
      <c r="J18" s="43">
        <f>'[1]תקציב מינהל כללי 2021  '!L14</f>
        <v>80863428</v>
      </c>
      <c r="K18" s="43">
        <f>'[1]תקציב מינהל כללי 2021  '!M14</f>
        <v>11257878</v>
      </c>
      <c r="L18" s="43">
        <f>'[1]תקציב מינהל כללי 2021  '!N14</f>
        <v>8300000</v>
      </c>
      <c r="M18" s="43">
        <f>'[1]תקציב מינהל כללי 2021  '!O14</f>
        <v>34611649</v>
      </c>
      <c r="N18" s="43">
        <f>'[1]תקציב מינהל כללי 2021  '!P14</f>
        <v>15666421</v>
      </c>
      <c r="O18" s="43">
        <f>'[1]תקציב מינהל כללי 2021  '!Q14</f>
        <v>0</v>
      </c>
      <c r="P18" s="43">
        <f>'[1]תקציב מינהל כללי 2021  '!R14</f>
        <v>0</v>
      </c>
      <c r="Q18" s="43">
        <f>'[1]תקציב מינהל כללי 2021  '!S14</f>
        <v>0</v>
      </c>
      <c r="R18" s="43">
        <f>'[1]תקציב מינהל כללי 2021  '!T14</f>
        <v>4408543</v>
      </c>
      <c r="S18" s="43">
        <f>'[1]תקציב מינהל כללי 2021  '!U14</f>
        <v>3891457</v>
      </c>
      <c r="T18" s="43">
        <f>'[1]תקציב מינהל כללי 2021  '!V14</f>
        <v>-508725</v>
      </c>
      <c r="U18" s="43">
        <f>'[1]תקציב מינהל כללי 2021  '!W14</f>
        <v>3689887</v>
      </c>
      <c r="V18" s="43">
        <f>'[1]תקציב מינהל כללי 2021  '!X14</f>
        <v>0</v>
      </c>
      <c r="W18" s="43">
        <f>'[1]תקציב מינהל כללי 2021  '!Y14</f>
        <v>0</v>
      </c>
      <c r="X18" s="43">
        <f>'[1]תקציב מינהל כללי 2021  '!Z14</f>
        <v>0</v>
      </c>
      <c r="Y18" s="43">
        <f>'[1]תקציב מינהל כללי 2021  '!AA14</f>
        <v>710295</v>
      </c>
      <c r="Z18" s="43">
        <f>'[1]תקציב מינהל כללי 2021  '!A14</f>
        <v>9</v>
      </c>
      <c r="AA18" s="43">
        <f>'[1]תקציב מינהל כללי 2021  '!AD14</f>
        <v>750000</v>
      </c>
      <c r="AB18" s="43">
        <f>'[1]תקציב מינהל כללי 2021  '!AE14</f>
        <v>-258543</v>
      </c>
      <c r="AC18" s="43">
        <f>'[1]תקציב מינהל כללי 2021  '!AF14</f>
        <v>0</v>
      </c>
      <c r="AD18" s="43">
        <f>'[1]תקציב מינהל כללי 2021  '!AG14</f>
        <v>200000</v>
      </c>
      <c r="AE18" s="43">
        <f>'[1]תקציב מינהל כללי 2021  '!AH14</f>
        <v>0</v>
      </c>
      <c r="AF18" s="43">
        <f>'[1]תקציב מינהל כללי 2021  '!AI14</f>
        <v>200000</v>
      </c>
      <c r="AG18" s="43">
        <f>'[1]תקציב מינהל כללי 2021  '!AJ14</f>
        <v>760295</v>
      </c>
      <c r="AH18" s="43">
        <f>'[1]תקציב מינהל כללי 2021  '!AK14</f>
        <v>0</v>
      </c>
      <c r="AI18" s="43">
        <f>'תקציב מינהל כללי 2021  '!AL15</f>
        <v>700000</v>
      </c>
      <c r="AJ18" s="43">
        <f>'[1]תקציב מינהל כללי 2021  '!AM14</f>
        <v>2351752</v>
      </c>
      <c r="AK18" s="43">
        <f>'[1]תקציב מינהל כללי 2021  '!AN14</f>
        <v>1539705</v>
      </c>
      <c r="AL18" s="43">
        <f>'[1]תקציב מינהל כללי 2021  '!AO14</f>
        <v>-508725</v>
      </c>
      <c r="AM18" s="43">
        <f>'[1]תקציב מינהל כללי 2021  '!AP14</f>
        <v>2150182</v>
      </c>
      <c r="AN18" s="43">
        <f>'[1]תקציב מינהל כללי 2021  '!AQ14</f>
        <v>0</v>
      </c>
      <c r="AO18" s="43">
        <f>'[1]תקציב מינהל כללי 2021  '!AR14</f>
        <v>0</v>
      </c>
      <c r="AP18" s="43">
        <f>'[1]תקציב מינהל כללי 2021  '!AS14</f>
        <v>0</v>
      </c>
      <c r="AQ18" s="43">
        <f>'[1]תקציב מינהל כללי 2021  '!AT14</f>
        <v>710295</v>
      </c>
      <c r="AR18" s="598">
        <f t="shared" si="0"/>
        <v>0.60433714158989804</v>
      </c>
      <c r="AS18" s="599"/>
      <c r="AT18" s="598">
        <f t="shared" si="1"/>
        <v>0.60433714158989804</v>
      </c>
    </row>
    <row r="19" spans="1:46" s="45" customFormat="1" ht="27" customHeight="1">
      <c r="A19" s="243" t="s">
        <v>204</v>
      </c>
      <c r="B19" s="43">
        <f t="shared" ref="B19:AS19" si="2">SUM(B7:B18)</f>
        <v>4758575046</v>
      </c>
      <c r="C19" s="43">
        <f t="shared" si="2"/>
        <v>4397901789</v>
      </c>
      <c r="D19" s="43">
        <f t="shared" si="2"/>
        <v>360673257</v>
      </c>
      <c r="E19" s="43">
        <f t="shared" si="2"/>
        <v>2306058359</v>
      </c>
      <c r="F19" s="43">
        <f t="shared" si="2"/>
        <v>1762217928</v>
      </c>
      <c r="G19" s="43">
        <f t="shared" si="2"/>
        <v>31796374</v>
      </c>
      <c r="H19" s="43">
        <f t="shared" si="2"/>
        <v>109369858</v>
      </c>
      <c r="I19" s="43">
        <f t="shared" si="2"/>
        <v>141166232</v>
      </c>
      <c r="J19" s="43">
        <f t="shared" si="2"/>
        <v>1903384160</v>
      </c>
      <c r="K19" s="43">
        <f t="shared" si="2"/>
        <v>400066723</v>
      </c>
      <c r="L19" s="43">
        <f t="shared" si="2"/>
        <v>533765643</v>
      </c>
      <c r="M19" s="43">
        <f t="shared" si="2"/>
        <v>1921358520</v>
      </c>
      <c r="N19" s="43">
        <f t="shared" si="2"/>
        <v>402674199</v>
      </c>
      <c r="O19" s="43">
        <f t="shared" si="2"/>
        <v>74272096</v>
      </c>
      <c r="P19" s="43">
        <f t="shared" si="2"/>
        <v>1000000</v>
      </c>
      <c r="Q19" s="43">
        <f t="shared" si="2"/>
        <v>75272096</v>
      </c>
      <c r="R19" s="600">
        <f t="shared" si="2"/>
        <v>77879572</v>
      </c>
      <c r="S19" s="600">
        <f t="shared" si="2"/>
        <v>455886071</v>
      </c>
      <c r="T19" s="600">
        <f t="shared" si="2"/>
        <v>250594000</v>
      </c>
      <c r="U19" s="600">
        <f t="shared" si="2"/>
        <v>46000000</v>
      </c>
      <c r="V19" s="600">
        <f t="shared" si="2"/>
        <v>0</v>
      </c>
      <c r="W19" s="600">
        <f t="shared" si="2"/>
        <v>18000000</v>
      </c>
      <c r="X19" s="600">
        <f t="shared" si="2"/>
        <v>7100000</v>
      </c>
      <c r="Y19" s="600">
        <f t="shared" si="2"/>
        <v>134192071</v>
      </c>
      <c r="Z19" s="600">
        <f t="shared" si="2"/>
        <v>373</v>
      </c>
      <c r="AA19" s="600">
        <f t="shared" si="2"/>
        <v>7632275</v>
      </c>
      <c r="AB19" s="600">
        <f>SUM(AB7:AB18)</f>
        <v>18321457</v>
      </c>
      <c r="AC19" s="600">
        <f>SUM(AC7:AC18)</f>
        <v>19891660</v>
      </c>
      <c r="AD19" s="600">
        <f t="shared" si="2"/>
        <v>8030000</v>
      </c>
      <c r="AE19" s="600">
        <f>SUM(AE7:AE18)</f>
        <v>-7608681</v>
      </c>
      <c r="AF19" s="600">
        <f>SUM(AF7:AF18)</f>
        <v>10292500</v>
      </c>
      <c r="AG19" s="600">
        <f>SUM(AG7:AG18)</f>
        <v>30703896</v>
      </c>
      <c r="AH19" s="600">
        <f>SUM(AH7:AH18)</f>
        <v>37683333</v>
      </c>
      <c r="AI19" s="600">
        <f>SUM(AI7:AI18)</f>
        <v>172000610</v>
      </c>
      <c r="AJ19" s="600">
        <f t="shared" si="2"/>
        <v>296947050</v>
      </c>
      <c r="AK19" s="600">
        <f t="shared" si="2"/>
        <v>158939021</v>
      </c>
      <c r="AL19" s="600">
        <f t="shared" si="2"/>
        <v>203117146</v>
      </c>
      <c r="AM19" s="600">
        <f t="shared" si="2"/>
        <v>43737910</v>
      </c>
      <c r="AN19" s="600">
        <f t="shared" si="2"/>
        <v>0</v>
      </c>
      <c r="AO19" s="600">
        <f t="shared" si="2"/>
        <v>18000000</v>
      </c>
      <c r="AP19" s="600">
        <f t="shared" si="2"/>
        <v>0</v>
      </c>
      <c r="AQ19" s="600">
        <f t="shared" si="2"/>
        <v>32091994</v>
      </c>
      <c r="AR19" s="598">
        <f t="shared" si="0"/>
        <v>0.65136241023692076</v>
      </c>
      <c r="AS19" s="600">
        <f t="shared" si="2"/>
        <v>10825753</v>
      </c>
      <c r="AT19" s="598">
        <f t="shared" si="1"/>
        <v>0.67510902959787955</v>
      </c>
    </row>
    <row r="20" spans="1:46">
      <c r="M20" s="60"/>
      <c r="O20" s="60"/>
      <c r="P20" s="60"/>
      <c r="Q20" s="60"/>
      <c r="R20" s="45"/>
      <c r="S20" s="58"/>
      <c r="T20" s="58"/>
      <c r="U20" s="58"/>
      <c r="V20" s="58"/>
      <c r="W20" s="58"/>
      <c r="X20" s="58"/>
      <c r="Y20" s="58"/>
      <c r="AQ20" s="48">
        <f>AQ19-32091994</f>
        <v>0</v>
      </c>
    </row>
    <row r="21" spans="1:46">
      <c r="J21" s="61"/>
      <c r="S21" s="61"/>
    </row>
    <row r="22" spans="1:46">
      <c r="J22" s="61"/>
      <c r="S22" s="61"/>
      <c r="AK22" s="410"/>
    </row>
    <row r="23" spans="1:46">
      <c r="K23" s="61"/>
      <c r="S23" s="61"/>
      <c r="AI23" s="44"/>
      <c r="AK23" s="410"/>
    </row>
    <row r="24" spans="1:46">
      <c r="K24" s="61"/>
      <c r="S24" s="61"/>
      <c r="AK24" s="410"/>
    </row>
    <row r="25" spans="1:46">
      <c r="K25" s="61"/>
      <c r="S25" s="61"/>
      <c r="AK25" s="410"/>
    </row>
    <row r="26" spans="1:46">
      <c r="K26" s="47"/>
      <c r="S26" s="61"/>
      <c r="T26" s="47"/>
    </row>
    <row r="27" spans="1:46">
      <c r="K27" s="61"/>
      <c r="S27" s="61"/>
    </row>
    <row r="28" spans="1:46">
      <c r="K28" s="61"/>
      <c r="S28" s="61"/>
    </row>
    <row r="29" spans="1:46">
      <c r="K29" s="61"/>
      <c r="S29" s="61"/>
    </row>
    <row r="30" spans="1:46">
      <c r="K30" s="61"/>
      <c r="S30" s="61"/>
    </row>
    <row r="31" spans="1:46">
      <c r="K31" s="61"/>
      <c r="S31" s="61"/>
    </row>
    <row r="32" spans="1:46">
      <c r="K32" s="61"/>
      <c r="S32" s="61"/>
    </row>
    <row r="33" spans="11:19">
      <c r="K33" s="61"/>
      <c r="S33" s="61"/>
    </row>
    <row r="34" spans="11:19">
      <c r="K34" s="61"/>
      <c r="S34" s="61"/>
    </row>
    <row r="35" spans="11:19">
      <c r="K35" s="61"/>
      <c r="S35" s="61"/>
    </row>
    <row r="36" spans="11:19">
      <c r="K36" s="61"/>
      <c r="S36" s="61"/>
    </row>
    <row r="37" spans="11:19">
      <c r="S37" s="61"/>
    </row>
    <row r="38" spans="11:19">
      <c r="S38" s="61"/>
    </row>
  </sheetData>
  <sheetProtection formatCells="0" formatColumns="0" formatRows="0" insertColumns="0" insertRows="0" insertHyperlinks="0" deleteColumns="0" deleteRows="0" sort="0" autoFilter="0" pivotTables="0"/>
  <mergeCells count="6">
    <mergeCell ref="B4:M4"/>
    <mergeCell ref="N4:O4"/>
    <mergeCell ref="AA4:AJ4"/>
    <mergeCell ref="AL4:AQ4"/>
    <mergeCell ref="R4:S4"/>
    <mergeCell ref="T4:Y4"/>
  </mergeCells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AV85"/>
  <sheetViews>
    <sheetView showZeros="0" rightToLeft="1" zoomScaleNormal="100" workbookViewId="0">
      <pane xSplit="29" ySplit="5" topLeftCell="AM39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9.140625" defaultRowHeight="15"/>
  <cols>
    <col min="1" max="1" width="4.28515625" style="12" customWidth="1"/>
    <col min="2" max="2" width="4.7109375" style="12" customWidth="1"/>
    <col min="3" max="3" width="24.5703125" style="18" customWidth="1"/>
    <col min="4" max="20" width="10.7109375" style="14" hidden="1" customWidth="1"/>
    <col min="21" max="23" width="12.140625" style="12" customWidth="1"/>
    <col min="24" max="26" width="10.7109375" style="12" hidden="1" customWidth="1"/>
    <col min="27" max="27" width="12.140625" style="12" customWidth="1"/>
    <col min="28" max="28" width="30.42578125" style="18" hidden="1" customWidth="1"/>
    <col min="29" max="29" width="9.140625" style="12" hidden="1" customWidth="1"/>
    <col min="30" max="38" width="11.7109375" style="335" hidden="1" customWidth="1"/>
    <col min="39" max="39" width="12.140625" style="335" customWidth="1"/>
    <col min="40" max="42" width="12.140625" style="12" customWidth="1"/>
    <col min="43" max="45" width="11.7109375" style="12" hidden="1" customWidth="1"/>
    <col min="46" max="46" width="13.28515625" style="12" customWidth="1"/>
    <col min="47" max="16384" width="9.140625" style="12"/>
  </cols>
  <sheetData>
    <row r="1" spans="1:48" s="27" customFormat="1" ht="18.75">
      <c r="A1" s="26"/>
      <c r="B1" s="26"/>
      <c r="C1" s="63"/>
      <c r="J1" s="14"/>
      <c r="K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356"/>
      <c r="X1" s="356"/>
      <c r="Y1" s="356"/>
      <c r="Z1" s="356"/>
      <c r="AA1" s="356"/>
      <c r="AB1" s="356"/>
      <c r="AD1" s="335"/>
      <c r="AE1" s="335"/>
      <c r="AF1" s="335"/>
      <c r="AG1" s="335"/>
      <c r="AH1" s="335"/>
      <c r="AI1" s="335"/>
      <c r="AJ1" s="335"/>
      <c r="AK1" s="335"/>
      <c r="AL1" s="335"/>
      <c r="AM1" s="335"/>
    </row>
    <row r="2" spans="1:48" ht="18.75">
      <c r="A2" s="63" t="s">
        <v>2285</v>
      </c>
      <c r="B2" s="26"/>
      <c r="C2" s="252"/>
      <c r="D2" s="27"/>
      <c r="E2" s="27"/>
      <c r="F2" s="27"/>
      <c r="K2" s="26"/>
      <c r="M2" s="354"/>
      <c r="N2" s="354"/>
      <c r="O2" s="354"/>
      <c r="P2" s="354"/>
      <c r="Q2" s="354"/>
      <c r="R2" s="354"/>
      <c r="S2" s="354"/>
      <c r="T2" s="354"/>
      <c r="U2" s="356"/>
      <c r="V2" s="356"/>
      <c r="W2" s="356"/>
      <c r="X2" s="356"/>
      <c r="Y2" s="356"/>
      <c r="Z2" s="356"/>
      <c r="AA2" s="356"/>
      <c r="AB2" s="356"/>
    </row>
    <row r="3" spans="1:48" ht="18.75">
      <c r="A3" s="63"/>
      <c r="B3" s="26"/>
      <c r="C3" s="252"/>
      <c r="D3" s="27"/>
      <c r="E3" s="27"/>
      <c r="F3" s="27"/>
      <c r="K3" s="26"/>
      <c r="M3" s="354"/>
      <c r="N3" s="354"/>
      <c r="O3" s="354"/>
      <c r="P3" s="354"/>
      <c r="Q3" s="354"/>
      <c r="R3" s="354"/>
      <c r="S3" s="354"/>
      <c r="T3" s="354"/>
      <c r="U3" s="356"/>
      <c r="V3" s="356"/>
      <c r="W3" s="356"/>
      <c r="X3" s="356"/>
      <c r="Y3" s="356"/>
      <c r="Z3" s="356"/>
      <c r="AA3" s="356"/>
      <c r="AB3" s="356"/>
    </row>
    <row r="4" spans="1:48" ht="25.15" customHeight="1">
      <c r="A4" s="35"/>
      <c r="B4" s="35"/>
      <c r="C4" s="330"/>
      <c r="D4" s="355"/>
      <c r="E4" s="13"/>
      <c r="F4" s="13"/>
      <c r="G4" s="565"/>
      <c r="H4" s="13"/>
      <c r="I4" s="13"/>
      <c r="J4" s="13"/>
      <c r="K4" s="13"/>
      <c r="L4" s="355"/>
      <c r="M4" s="398"/>
      <c r="N4" s="355"/>
      <c r="O4" s="355"/>
      <c r="P4" s="355"/>
      <c r="Q4" s="355"/>
      <c r="R4" s="355"/>
      <c r="S4" s="355"/>
      <c r="T4" s="876" t="s">
        <v>256</v>
      </c>
      <c r="U4" s="878"/>
      <c r="V4" s="880" t="s">
        <v>88</v>
      </c>
      <c r="W4" s="880"/>
      <c r="X4" s="880"/>
      <c r="Y4" s="880"/>
      <c r="Z4" s="880"/>
      <c r="AA4" s="880"/>
      <c r="AD4" s="880" t="s">
        <v>246</v>
      </c>
      <c r="AE4" s="880"/>
      <c r="AF4" s="880"/>
      <c r="AG4" s="880"/>
      <c r="AH4" s="880"/>
      <c r="AI4" s="880"/>
      <c r="AJ4" s="880"/>
      <c r="AK4" s="880"/>
      <c r="AL4" s="880"/>
      <c r="AM4" s="880"/>
      <c r="AN4" s="566"/>
      <c r="AO4" s="876" t="s">
        <v>2269</v>
      </c>
      <c r="AP4" s="877"/>
      <c r="AQ4" s="877"/>
      <c r="AR4" s="877"/>
      <c r="AS4" s="877"/>
      <c r="AT4" s="878"/>
    </row>
    <row r="5" spans="1:48" s="29" customFormat="1" ht="86.25" customHeight="1">
      <c r="A5" s="9" t="s">
        <v>0</v>
      </c>
      <c r="B5" s="9" t="s">
        <v>1</v>
      </c>
      <c r="C5" s="9" t="s">
        <v>2</v>
      </c>
      <c r="D5" s="9" t="s">
        <v>89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9</v>
      </c>
      <c r="J5" s="9" t="s">
        <v>153</v>
      </c>
      <c r="K5" s="9" t="s">
        <v>10</v>
      </c>
      <c r="L5" s="9" t="s">
        <v>11</v>
      </c>
      <c r="M5" s="9" t="s">
        <v>618</v>
      </c>
      <c r="N5" s="9" t="s">
        <v>718</v>
      </c>
      <c r="O5" s="9" t="s">
        <v>620</v>
      </c>
      <c r="P5" s="9" t="s">
        <v>12</v>
      </c>
      <c r="Q5" s="157" t="s">
        <v>621</v>
      </c>
      <c r="R5" s="9" t="s">
        <v>622</v>
      </c>
      <c r="S5" s="9" t="s">
        <v>623</v>
      </c>
      <c r="T5" s="567" t="s">
        <v>624</v>
      </c>
      <c r="U5" s="567" t="s">
        <v>625</v>
      </c>
      <c r="V5" s="567" t="s">
        <v>13</v>
      </c>
      <c r="W5" s="567" t="s">
        <v>14</v>
      </c>
      <c r="X5" s="567" t="s">
        <v>15</v>
      </c>
      <c r="Y5" s="567" t="s">
        <v>265</v>
      </c>
      <c r="Z5" s="567" t="s">
        <v>749</v>
      </c>
      <c r="AA5" s="567" t="s">
        <v>84</v>
      </c>
      <c r="AB5" s="16" t="s">
        <v>304</v>
      </c>
      <c r="AC5" s="9" t="s">
        <v>16</v>
      </c>
      <c r="AD5" s="9" t="s">
        <v>1911</v>
      </c>
      <c r="AE5" s="9" t="s">
        <v>1912</v>
      </c>
      <c r="AF5" s="9" t="s">
        <v>247</v>
      </c>
      <c r="AG5" s="9" t="s">
        <v>248</v>
      </c>
      <c r="AH5" s="9" t="s">
        <v>1913</v>
      </c>
      <c r="AI5" s="9" t="s">
        <v>1914</v>
      </c>
      <c r="AJ5" s="9" t="s">
        <v>1915</v>
      </c>
      <c r="AK5" s="9" t="s">
        <v>1916</v>
      </c>
      <c r="AL5" s="9" t="s">
        <v>1917</v>
      </c>
      <c r="AM5" s="20" t="s">
        <v>2037</v>
      </c>
      <c r="AN5" s="20" t="s">
        <v>852</v>
      </c>
      <c r="AO5" s="567" t="s">
        <v>13</v>
      </c>
      <c r="AP5" s="567" t="s">
        <v>14</v>
      </c>
      <c r="AQ5" s="9" t="s">
        <v>15</v>
      </c>
      <c r="AR5" s="9" t="s">
        <v>265</v>
      </c>
      <c r="AS5" s="9" t="s">
        <v>749</v>
      </c>
      <c r="AT5" s="9" t="s">
        <v>84</v>
      </c>
    </row>
    <row r="6" spans="1:48" s="5" customFormat="1" ht="30" customHeight="1">
      <c r="A6" s="3">
        <v>1</v>
      </c>
      <c r="B6" s="3">
        <v>179</v>
      </c>
      <c r="C6" s="3" t="s">
        <v>29</v>
      </c>
      <c r="D6" s="4">
        <v>3170250</v>
      </c>
      <c r="E6" s="4">
        <v>3170250</v>
      </c>
      <c r="F6" s="4">
        <f t="shared" ref="F6:F69" si="0">D6-E6</f>
        <v>0</v>
      </c>
      <c r="G6" s="4">
        <v>3100250</v>
      </c>
      <c r="H6" s="4">
        <v>2882694</v>
      </c>
      <c r="I6" s="4">
        <v>0</v>
      </c>
      <c r="J6" s="4">
        <v>52913</v>
      </c>
      <c r="K6" s="4">
        <f t="shared" ref="K6:K37" si="1">SUM(I6:J6)</f>
        <v>52913</v>
      </c>
      <c r="L6" s="4">
        <f t="shared" ref="L6:L69" si="2">H6+K6</f>
        <v>2935607</v>
      </c>
      <c r="M6" s="4">
        <f>P6+S6-160000</f>
        <v>4643</v>
      </c>
      <c r="N6" s="4">
        <v>160000</v>
      </c>
      <c r="O6" s="4">
        <f t="shared" ref="O6:O69" si="3">D6-L6-M6-N6</f>
        <v>70000</v>
      </c>
      <c r="P6" s="4">
        <f t="shared" ref="P6:P69" si="4">G6-L6</f>
        <v>164643</v>
      </c>
      <c r="Q6" s="4"/>
      <c r="R6" s="4"/>
      <c r="S6" s="4">
        <f t="shared" ref="S6:S69" si="5">SUM(Q6:R6)</f>
        <v>0</v>
      </c>
      <c r="T6" s="4">
        <f t="shared" ref="T6:T69" si="6">P6-M6+S6</f>
        <v>160000</v>
      </c>
      <c r="U6" s="4">
        <f t="shared" ref="U6:U69" si="7">N6-T6</f>
        <v>0</v>
      </c>
      <c r="V6" s="4">
        <f t="shared" ref="V6:V69" si="8">U6-AA6-W6-Z6</f>
        <v>0</v>
      </c>
      <c r="W6" s="4"/>
      <c r="X6" s="4"/>
      <c r="Y6" s="4"/>
      <c r="Z6" s="4"/>
      <c r="AA6" s="3"/>
      <c r="AB6" s="3" t="s">
        <v>305</v>
      </c>
      <c r="AC6" s="3">
        <v>732000</v>
      </c>
      <c r="AD6" s="374"/>
      <c r="AE6" s="374"/>
      <c r="AF6" s="374"/>
      <c r="AG6" s="374"/>
      <c r="AH6" s="374"/>
      <c r="AI6" s="374"/>
      <c r="AJ6" s="374"/>
      <c r="AK6" s="374"/>
      <c r="AL6" s="374"/>
      <c r="AM6" s="4">
        <f>SUM(AD6:AL6)</f>
        <v>0</v>
      </c>
      <c r="AN6" s="4">
        <f>U6-AM6</f>
        <v>0</v>
      </c>
      <c r="AO6" s="4">
        <f>AM6-AP6-AQ6-AR6-AS6-AT6</f>
        <v>0</v>
      </c>
      <c r="AP6" s="3"/>
      <c r="AQ6" s="3"/>
      <c r="AR6" s="3"/>
      <c r="AS6" s="3"/>
      <c r="AT6" s="3"/>
    </row>
    <row r="7" spans="1:48" s="5" customFormat="1" ht="30" customHeight="1">
      <c r="A7" s="3">
        <f>A6+1</f>
        <v>2</v>
      </c>
      <c r="B7" s="3">
        <v>304</v>
      </c>
      <c r="C7" s="3" t="s">
        <v>1918</v>
      </c>
      <c r="D7" s="4">
        <v>54930000</v>
      </c>
      <c r="E7" s="4">
        <v>54930000</v>
      </c>
      <c r="F7" s="4">
        <f t="shared" si="0"/>
        <v>0</v>
      </c>
      <c r="G7" s="4">
        <v>54930000</v>
      </c>
      <c r="H7" s="4">
        <v>54780523</v>
      </c>
      <c r="I7" s="4">
        <v>149074</v>
      </c>
      <c r="J7" s="4">
        <v>0</v>
      </c>
      <c r="K7" s="4">
        <f t="shared" si="1"/>
        <v>149074</v>
      </c>
      <c r="L7" s="4">
        <f t="shared" si="2"/>
        <v>54929597</v>
      </c>
      <c r="M7" s="4">
        <f>P7+S7</f>
        <v>403</v>
      </c>
      <c r="N7" s="4"/>
      <c r="O7" s="4">
        <f t="shared" si="3"/>
        <v>0</v>
      </c>
      <c r="P7" s="4">
        <f t="shared" si="4"/>
        <v>403</v>
      </c>
      <c r="Q7" s="4"/>
      <c r="R7" s="4"/>
      <c r="S7" s="4">
        <f t="shared" si="5"/>
        <v>0</v>
      </c>
      <c r="T7" s="4">
        <f t="shared" si="6"/>
        <v>0</v>
      </c>
      <c r="U7" s="4">
        <f t="shared" si="7"/>
        <v>0</v>
      </c>
      <c r="V7" s="4">
        <f t="shared" si="8"/>
        <v>0</v>
      </c>
      <c r="W7" s="4"/>
      <c r="X7" s="4"/>
      <c r="Y7" s="4"/>
      <c r="Z7" s="4"/>
      <c r="AA7" s="3"/>
      <c r="AB7" s="3" t="s">
        <v>679</v>
      </c>
      <c r="AC7" s="3">
        <v>746000</v>
      </c>
      <c r="AD7" s="374"/>
      <c r="AE7" s="374"/>
      <c r="AF7" s="374"/>
      <c r="AG7" s="374"/>
      <c r="AH7" s="374"/>
      <c r="AI7" s="374"/>
      <c r="AJ7" s="374"/>
      <c r="AK7" s="374"/>
      <c r="AL7" s="374"/>
      <c r="AM7" s="4">
        <f t="shared" ref="AM7:AM70" si="9">SUM(AD7:AL7)</f>
        <v>0</v>
      </c>
      <c r="AN7" s="4">
        <f t="shared" ref="AN7:AN70" si="10">U7-AM7</f>
        <v>0</v>
      </c>
      <c r="AO7" s="4">
        <f t="shared" ref="AO7:AO70" si="11">AM7-AP7-AQ7-AR7-AS7-AT7</f>
        <v>0</v>
      </c>
      <c r="AP7" s="3"/>
      <c r="AQ7" s="3"/>
      <c r="AR7" s="3"/>
      <c r="AS7" s="3"/>
      <c r="AT7" s="3"/>
    </row>
    <row r="8" spans="1:48" s="5" customFormat="1" ht="30" customHeight="1">
      <c r="A8" s="3">
        <f t="shared" ref="A8:A71" si="12">A7+1</f>
        <v>3</v>
      </c>
      <c r="B8" s="3">
        <v>507</v>
      </c>
      <c r="C8" s="3" t="s">
        <v>43</v>
      </c>
      <c r="D8" s="4">
        <f>2310000-345000</f>
        <v>1965000</v>
      </c>
      <c r="E8" s="4">
        <v>2310000</v>
      </c>
      <c r="F8" s="4">
        <f t="shared" si="0"/>
        <v>-345000</v>
      </c>
      <c r="G8" s="4">
        <v>1965000</v>
      </c>
      <c r="H8" s="4">
        <v>1653104</v>
      </c>
      <c r="I8" s="4">
        <v>0</v>
      </c>
      <c r="J8" s="4">
        <v>18103</v>
      </c>
      <c r="K8" s="4">
        <f t="shared" si="1"/>
        <v>18103</v>
      </c>
      <c r="L8" s="4">
        <f t="shared" si="2"/>
        <v>1671207</v>
      </c>
      <c r="M8" s="4">
        <f>P8+S8-200000</f>
        <v>93793</v>
      </c>
      <c r="N8" s="4">
        <v>200000</v>
      </c>
      <c r="O8" s="4">
        <f t="shared" si="3"/>
        <v>0</v>
      </c>
      <c r="P8" s="4">
        <f t="shared" si="4"/>
        <v>293793</v>
      </c>
      <c r="Q8" s="4"/>
      <c r="R8" s="4"/>
      <c r="S8" s="4">
        <f t="shared" si="5"/>
        <v>0</v>
      </c>
      <c r="T8" s="4">
        <f t="shared" si="6"/>
        <v>200000</v>
      </c>
      <c r="U8" s="4">
        <f t="shared" si="7"/>
        <v>0</v>
      </c>
      <c r="V8" s="4">
        <f t="shared" si="8"/>
        <v>0</v>
      </c>
      <c r="W8" s="4"/>
      <c r="X8" s="4"/>
      <c r="Y8" s="4"/>
      <c r="Z8" s="4"/>
      <c r="AA8" s="3"/>
      <c r="AB8" s="3" t="s">
        <v>514</v>
      </c>
      <c r="AC8" s="3">
        <v>742000</v>
      </c>
      <c r="AD8" s="374"/>
      <c r="AE8" s="374"/>
      <c r="AF8" s="374"/>
      <c r="AG8" s="374"/>
      <c r="AH8" s="374"/>
      <c r="AI8" s="374"/>
      <c r="AJ8" s="374"/>
      <c r="AK8" s="374"/>
      <c r="AL8" s="374"/>
      <c r="AM8" s="4">
        <f t="shared" si="9"/>
        <v>0</v>
      </c>
      <c r="AN8" s="4">
        <f t="shared" si="10"/>
        <v>0</v>
      </c>
      <c r="AO8" s="4">
        <f t="shared" si="11"/>
        <v>0</v>
      </c>
      <c r="AP8" s="3"/>
      <c r="AQ8" s="3"/>
      <c r="AR8" s="3"/>
      <c r="AS8" s="3"/>
      <c r="AT8" s="3"/>
    </row>
    <row r="9" spans="1:48" s="5" customFormat="1" ht="30" customHeight="1">
      <c r="A9" s="3">
        <f t="shared" si="12"/>
        <v>4</v>
      </c>
      <c r="B9" s="3">
        <v>546</v>
      </c>
      <c r="C9" s="3" t="s">
        <v>44</v>
      </c>
      <c r="D9" s="4">
        <v>2920000</v>
      </c>
      <c r="E9" s="4">
        <v>2920000</v>
      </c>
      <c r="F9" s="4">
        <f t="shared" si="0"/>
        <v>0</v>
      </c>
      <c r="G9" s="4">
        <v>2920000</v>
      </c>
      <c r="H9" s="4">
        <v>2895703</v>
      </c>
      <c r="I9" s="4">
        <v>0</v>
      </c>
      <c r="J9" s="4">
        <v>18053</v>
      </c>
      <c r="K9" s="4">
        <f t="shared" si="1"/>
        <v>18053</v>
      </c>
      <c r="L9" s="4">
        <f t="shared" si="2"/>
        <v>2913756</v>
      </c>
      <c r="M9" s="4">
        <f>P9+S9</f>
        <v>6244</v>
      </c>
      <c r="N9" s="4"/>
      <c r="O9" s="4">
        <f t="shared" si="3"/>
        <v>0</v>
      </c>
      <c r="P9" s="4">
        <f t="shared" si="4"/>
        <v>6244</v>
      </c>
      <c r="Q9" s="4"/>
      <c r="R9" s="4"/>
      <c r="S9" s="4">
        <f t="shared" si="5"/>
        <v>0</v>
      </c>
      <c r="T9" s="4">
        <f t="shared" si="6"/>
        <v>0</v>
      </c>
      <c r="U9" s="4">
        <f t="shared" si="7"/>
        <v>0</v>
      </c>
      <c r="V9" s="4">
        <f t="shared" si="8"/>
        <v>0</v>
      </c>
      <c r="W9" s="4"/>
      <c r="X9" s="4"/>
      <c r="Y9" s="4"/>
      <c r="Z9" s="4"/>
      <c r="AA9" s="3"/>
      <c r="AB9" s="3" t="s">
        <v>679</v>
      </c>
      <c r="AC9" s="3">
        <v>742000</v>
      </c>
      <c r="AD9" s="374"/>
      <c r="AE9" s="374"/>
      <c r="AF9" s="374"/>
      <c r="AG9" s="374"/>
      <c r="AH9" s="374"/>
      <c r="AI9" s="374"/>
      <c r="AJ9" s="374"/>
      <c r="AK9" s="374"/>
      <c r="AL9" s="374"/>
      <c r="AM9" s="4">
        <f t="shared" si="9"/>
        <v>0</v>
      </c>
      <c r="AN9" s="4">
        <f t="shared" si="10"/>
        <v>0</v>
      </c>
      <c r="AO9" s="4">
        <f t="shared" si="11"/>
        <v>0</v>
      </c>
      <c r="AP9" s="3"/>
      <c r="AQ9" s="3"/>
      <c r="AR9" s="3"/>
      <c r="AS9" s="3"/>
      <c r="AT9" s="3"/>
    </row>
    <row r="10" spans="1:48" s="5" customFormat="1" ht="30" customHeight="1">
      <c r="A10" s="3">
        <f t="shared" si="12"/>
        <v>5</v>
      </c>
      <c r="B10" s="3">
        <v>592</v>
      </c>
      <c r="C10" s="3" t="s">
        <v>23</v>
      </c>
      <c r="D10" s="4">
        <v>54893000</v>
      </c>
      <c r="E10" s="4">
        <v>54893000</v>
      </c>
      <c r="F10" s="4">
        <f t="shared" si="0"/>
        <v>0</v>
      </c>
      <c r="G10" s="4">
        <v>22020000</v>
      </c>
      <c r="H10" s="4">
        <v>19123122</v>
      </c>
      <c r="I10" s="4">
        <v>149112</v>
      </c>
      <c r="J10" s="4">
        <v>1050364</v>
      </c>
      <c r="K10" s="4">
        <f t="shared" si="1"/>
        <v>1199476</v>
      </c>
      <c r="L10" s="4">
        <f t="shared" si="2"/>
        <v>20322598</v>
      </c>
      <c r="M10" s="4">
        <f>P10+S10-1600000</f>
        <v>97402</v>
      </c>
      <c r="N10" s="4">
        <v>1000000</v>
      </c>
      <c r="O10" s="4">
        <f t="shared" si="3"/>
        <v>33473000</v>
      </c>
      <c r="P10" s="4">
        <f t="shared" si="4"/>
        <v>1697402</v>
      </c>
      <c r="Q10" s="4"/>
      <c r="R10" s="4"/>
      <c r="S10" s="4">
        <f t="shared" si="5"/>
        <v>0</v>
      </c>
      <c r="T10" s="4">
        <f t="shared" si="6"/>
        <v>1600000</v>
      </c>
      <c r="U10" s="4">
        <f t="shared" si="7"/>
        <v>-600000</v>
      </c>
      <c r="V10" s="4">
        <f t="shared" si="8"/>
        <v>-600000</v>
      </c>
      <c r="W10" s="4"/>
      <c r="X10" s="4"/>
      <c r="Y10" s="4"/>
      <c r="Z10" s="4"/>
      <c r="AA10" s="3"/>
      <c r="AB10" s="3" t="s">
        <v>727</v>
      </c>
      <c r="AC10" s="3">
        <v>742000</v>
      </c>
      <c r="AD10" s="374"/>
      <c r="AE10" s="4">
        <v>-600000</v>
      </c>
      <c r="AF10" s="4"/>
      <c r="AG10" s="4"/>
      <c r="AH10" s="4"/>
      <c r="AI10" s="4"/>
      <c r="AJ10" s="4"/>
      <c r="AK10" s="4"/>
      <c r="AL10" s="4"/>
      <c r="AM10" s="4">
        <f t="shared" si="9"/>
        <v>-600000</v>
      </c>
      <c r="AN10" s="4">
        <f t="shared" si="10"/>
        <v>0</v>
      </c>
      <c r="AO10" s="4">
        <f t="shared" si="11"/>
        <v>-600000</v>
      </c>
      <c r="AP10" s="3"/>
      <c r="AQ10" s="3"/>
      <c r="AR10" s="3"/>
      <c r="AS10" s="3"/>
      <c r="AT10" s="3"/>
    </row>
    <row r="11" spans="1:48" s="5" customFormat="1" ht="30" customHeight="1">
      <c r="A11" s="3">
        <f t="shared" si="12"/>
        <v>6</v>
      </c>
      <c r="B11" s="3">
        <v>608</v>
      </c>
      <c r="C11" s="3" t="s">
        <v>30</v>
      </c>
      <c r="D11" s="4">
        <v>8300000</v>
      </c>
      <c r="E11" s="4">
        <v>8300000</v>
      </c>
      <c r="F11" s="4">
        <f t="shared" si="0"/>
        <v>0</v>
      </c>
      <c r="G11" s="4">
        <v>6200000</v>
      </c>
      <c r="H11" s="4">
        <v>5671797</v>
      </c>
      <c r="I11" s="4">
        <v>0</v>
      </c>
      <c r="J11" s="4">
        <v>110351</v>
      </c>
      <c r="K11" s="4">
        <f t="shared" si="1"/>
        <v>110351</v>
      </c>
      <c r="L11" s="4">
        <f t="shared" si="2"/>
        <v>5782148</v>
      </c>
      <c r="M11" s="4">
        <f>P11+S11-400000</f>
        <v>17852</v>
      </c>
      <c r="N11" s="4">
        <v>400000</v>
      </c>
      <c r="O11" s="4">
        <f t="shared" si="3"/>
        <v>2100000</v>
      </c>
      <c r="P11" s="4">
        <f t="shared" si="4"/>
        <v>417852</v>
      </c>
      <c r="Q11" s="4"/>
      <c r="R11" s="4"/>
      <c r="S11" s="4">
        <f t="shared" si="5"/>
        <v>0</v>
      </c>
      <c r="T11" s="4">
        <f t="shared" si="6"/>
        <v>400000</v>
      </c>
      <c r="U11" s="4">
        <f t="shared" si="7"/>
        <v>0</v>
      </c>
      <c r="V11" s="4">
        <f t="shared" si="8"/>
        <v>0</v>
      </c>
      <c r="W11" s="4"/>
      <c r="X11" s="4"/>
      <c r="Y11" s="4"/>
      <c r="Z11" s="4"/>
      <c r="AA11" s="3"/>
      <c r="AB11" s="3" t="s">
        <v>306</v>
      </c>
      <c r="AC11" s="3">
        <v>745000</v>
      </c>
      <c r="AD11" s="374"/>
      <c r="AE11" s="374"/>
      <c r="AF11" s="374"/>
      <c r="AG11" s="374"/>
      <c r="AH11" s="374"/>
      <c r="AI11" s="374"/>
      <c r="AJ11" s="374"/>
      <c r="AK11" s="374"/>
      <c r="AL11" s="374"/>
      <c r="AM11" s="4">
        <f t="shared" si="9"/>
        <v>0</v>
      </c>
      <c r="AN11" s="4">
        <f t="shared" si="10"/>
        <v>0</v>
      </c>
      <c r="AO11" s="4">
        <f t="shared" si="11"/>
        <v>0</v>
      </c>
      <c r="AP11" s="3"/>
      <c r="AQ11" s="3"/>
      <c r="AR11" s="3"/>
      <c r="AS11" s="3"/>
      <c r="AT11" s="3"/>
    </row>
    <row r="12" spans="1:48" s="6" customFormat="1" ht="30" customHeight="1">
      <c r="A12" s="3">
        <f t="shared" si="12"/>
        <v>7</v>
      </c>
      <c r="B12" s="3">
        <v>626</v>
      </c>
      <c r="C12" s="3" t="s">
        <v>489</v>
      </c>
      <c r="D12" s="4">
        <f>25195000+12580000-3000000</f>
        <v>34775000</v>
      </c>
      <c r="E12" s="4">
        <v>25195000</v>
      </c>
      <c r="F12" s="4">
        <f t="shared" si="0"/>
        <v>9580000</v>
      </c>
      <c r="G12" s="4">
        <v>17775000</v>
      </c>
      <c r="H12" s="4">
        <v>13581452</v>
      </c>
      <c r="I12" s="4">
        <v>0</v>
      </c>
      <c r="J12" s="4">
        <v>378075</v>
      </c>
      <c r="K12" s="4">
        <f t="shared" si="1"/>
        <v>378075</v>
      </c>
      <c r="L12" s="4">
        <f t="shared" si="2"/>
        <v>13959527</v>
      </c>
      <c r="M12" s="4">
        <f>P12+S12-3500000</f>
        <v>315473</v>
      </c>
      <c r="N12" s="4">
        <f>20000000+500000-5000000-5500000-2000000</f>
        <v>8000000</v>
      </c>
      <c r="O12" s="4">
        <f t="shared" si="3"/>
        <v>12500000</v>
      </c>
      <c r="P12" s="4">
        <f t="shared" si="4"/>
        <v>3815473</v>
      </c>
      <c r="Q12" s="4"/>
      <c r="R12" s="4"/>
      <c r="S12" s="4">
        <f t="shared" si="5"/>
        <v>0</v>
      </c>
      <c r="T12" s="4">
        <f t="shared" si="6"/>
        <v>3500000</v>
      </c>
      <c r="U12" s="4">
        <f t="shared" si="7"/>
        <v>4500000</v>
      </c>
      <c r="V12" s="4">
        <f t="shared" si="8"/>
        <v>2500000</v>
      </c>
      <c r="W12" s="4"/>
      <c r="X12" s="4"/>
      <c r="Y12" s="4"/>
      <c r="Z12" s="4"/>
      <c r="AA12" s="4">
        <v>2000000</v>
      </c>
      <c r="AB12" s="3" t="s">
        <v>816</v>
      </c>
      <c r="AC12" s="3">
        <v>732000</v>
      </c>
      <c r="AD12" s="374"/>
      <c r="AE12" s="374"/>
      <c r="AF12" s="374"/>
      <c r="AG12" s="374"/>
      <c r="AH12" s="374"/>
      <c r="AI12" s="374"/>
      <c r="AJ12" s="374"/>
      <c r="AK12" s="374"/>
      <c r="AL12" s="374"/>
      <c r="AM12" s="4">
        <f t="shared" si="9"/>
        <v>0</v>
      </c>
      <c r="AN12" s="4">
        <f t="shared" si="10"/>
        <v>4500000</v>
      </c>
      <c r="AO12" s="4">
        <f t="shared" si="11"/>
        <v>0</v>
      </c>
      <c r="AP12" s="7"/>
      <c r="AQ12" s="7"/>
      <c r="AR12" s="7"/>
      <c r="AS12" s="7"/>
      <c r="AT12" s="7"/>
      <c r="AV12" s="5"/>
    </row>
    <row r="13" spans="1:48" s="5" customFormat="1" ht="30" customHeight="1">
      <c r="A13" s="3">
        <f t="shared" si="12"/>
        <v>8</v>
      </c>
      <c r="B13" s="3">
        <v>638</v>
      </c>
      <c r="C13" s="3" t="s">
        <v>475</v>
      </c>
      <c r="D13" s="4">
        <v>7000000</v>
      </c>
      <c r="E13" s="4">
        <v>7000000</v>
      </c>
      <c r="F13" s="4">
        <f t="shared" si="0"/>
        <v>0</v>
      </c>
      <c r="G13" s="4">
        <v>3936000</v>
      </c>
      <c r="H13" s="4">
        <v>3713997</v>
      </c>
      <c r="I13" s="4">
        <v>0</v>
      </c>
      <c r="J13" s="4">
        <v>221161</v>
      </c>
      <c r="K13" s="4">
        <f t="shared" si="1"/>
        <v>221161</v>
      </c>
      <c r="L13" s="4">
        <f t="shared" si="2"/>
        <v>3935158</v>
      </c>
      <c r="M13" s="4">
        <f>P13+S13</f>
        <v>842</v>
      </c>
      <c r="N13" s="4">
        <v>1500000</v>
      </c>
      <c r="O13" s="4">
        <f t="shared" si="3"/>
        <v>1564000</v>
      </c>
      <c r="P13" s="4">
        <f t="shared" si="4"/>
        <v>842</v>
      </c>
      <c r="Q13" s="4"/>
      <c r="R13" s="4"/>
      <c r="S13" s="4">
        <f t="shared" si="5"/>
        <v>0</v>
      </c>
      <c r="T13" s="4">
        <f t="shared" si="6"/>
        <v>0</v>
      </c>
      <c r="U13" s="4">
        <f t="shared" si="7"/>
        <v>1500000</v>
      </c>
      <c r="V13" s="4">
        <f t="shared" si="8"/>
        <v>1500000</v>
      </c>
      <c r="W13" s="4"/>
      <c r="X13" s="4"/>
      <c r="Y13" s="4"/>
      <c r="Z13" s="4"/>
      <c r="AA13" s="3"/>
      <c r="AB13" s="3" t="s">
        <v>719</v>
      </c>
      <c r="AC13" s="3">
        <v>742000</v>
      </c>
      <c r="AD13" s="374"/>
      <c r="AE13" s="374"/>
      <c r="AF13" s="374"/>
      <c r="AG13" s="374"/>
      <c r="AH13" s="374"/>
      <c r="AI13" s="374"/>
      <c r="AJ13" s="374"/>
      <c r="AK13" s="374"/>
      <c r="AL13" s="374">
        <v>500000</v>
      </c>
      <c r="AM13" s="4">
        <f t="shared" si="9"/>
        <v>500000</v>
      </c>
      <c r="AN13" s="4">
        <f t="shared" si="10"/>
        <v>1000000</v>
      </c>
      <c r="AO13" s="4">
        <f t="shared" si="11"/>
        <v>500000</v>
      </c>
      <c r="AP13" s="3"/>
      <c r="AQ13" s="3"/>
      <c r="AR13" s="3"/>
      <c r="AS13" s="3"/>
      <c r="AT13" s="3"/>
    </row>
    <row r="14" spans="1:48" s="5" customFormat="1" ht="30" customHeight="1">
      <c r="A14" s="3">
        <f t="shared" si="12"/>
        <v>9</v>
      </c>
      <c r="B14" s="3">
        <v>1018</v>
      </c>
      <c r="C14" s="3" t="s">
        <v>24</v>
      </c>
      <c r="D14" s="4">
        <v>31900000</v>
      </c>
      <c r="E14" s="4">
        <v>31900000</v>
      </c>
      <c r="F14" s="4">
        <f t="shared" si="0"/>
        <v>0</v>
      </c>
      <c r="G14" s="4">
        <v>3150000</v>
      </c>
      <c r="H14" s="4">
        <v>3059671</v>
      </c>
      <c r="I14" s="4">
        <v>84193</v>
      </c>
      <c r="J14" s="4">
        <v>0</v>
      </c>
      <c r="K14" s="4">
        <f t="shared" si="1"/>
        <v>84193</v>
      </c>
      <c r="L14" s="4">
        <f t="shared" si="2"/>
        <v>3143864</v>
      </c>
      <c r="M14" s="4">
        <f>P14+S14</f>
        <v>6136</v>
      </c>
      <c r="N14" s="4"/>
      <c r="O14" s="4">
        <f t="shared" si="3"/>
        <v>28750000</v>
      </c>
      <c r="P14" s="4">
        <f t="shared" si="4"/>
        <v>6136</v>
      </c>
      <c r="Q14" s="4"/>
      <c r="R14" s="4"/>
      <c r="S14" s="4">
        <f t="shared" si="5"/>
        <v>0</v>
      </c>
      <c r="T14" s="4">
        <f t="shared" si="6"/>
        <v>0</v>
      </c>
      <c r="U14" s="4">
        <f t="shared" si="7"/>
        <v>0</v>
      </c>
      <c r="V14" s="4">
        <f t="shared" si="8"/>
        <v>0</v>
      </c>
      <c r="W14" s="4"/>
      <c r="X14" s="4"/>
      <c r="Y14" s="4"/>
      <c r="Z14" s="4"/>
      <c r="AA14" s="3"/>
      <c r="AB14" s="3" t="s">
        <v>515</v>
      </c>
      <c r="AC14" s="3">
        <v>742000</v>
      </c>
      <c r="AD14" s="374"/>
      <c r="AE14" s="374"/>
      <c r="AF14" s="374"/>
      <c r="AG14" s="374"/>
      <c r="AH14" s="374"/>
      <c r="AI14" s="374"/>
      <c r="AJ14" s="374"/>
      <c r="AK14" s="374"/>
      <c r="AL14" s="374"/>
      <c r="AM14" s="4">
        <f t="shared" si="9"/>
        <v>0</v>
      </c>
      <c r="AN14" s="4">
        <f t="shared" si="10"/>
        <v>0</v>
      </c>
      <c r="AO14" s="4">
        <f t="shared" si="11"/>
        <v>0</v>
      </c>
      <c r="AP14" s="3"/>
      <c r="AQ14" s="3"/>
      <c r="AR14" s="3"/>
      <c r="AS14" s="3"/>
      <c r="AT14" s="3"/>
    </row>
    <row r="15" spans="1:48" s="5" customFormat="1" ht="30" customHeight="1">
      <c r="A15" s="3">
        <f t="shared" si="12"/>
        <v>10</v>
      </c>
      <c r="B15" s="3">
        <v>1100</v>
      </c>
      <c r="C15" s="3" t="s">
        <v>17</v>
      </c>
      <c r="D15" s="4">
        <v>7000000</v>
      </c>
      <c r="E15" s="4">
        <v>7000000</v>
      </c>
      <c r="F15" s="4">
        <f t="shared" si="0"/>
        <v>0</v>
      </c>
      <c r="G15" s="4">
        <v>6100000</v>
      </c>
      <c r="H15" s="4">
        <v>4426878</v>
      </c>
      <c r="I15" s="4">
        <v>1304715</v>
      </c>
      <c r="J15" s="4">
        <v>240825</v>
      </c>
      <c r="K15" s="4">
        <f t="shared" si="1"/>
        <v>1545540</v>
      </c>
      <c r="L15" s="4">
        <f t="shared" si="2"/>
        <v>5972418</v>
      </c>
      <c r="M15" s="4">
        <f>P15+S15</f>
        <v>127582</v>
      </c>
      <c r="N15" s="4">
        <v>800000</v>
      </c>
      <c r="O15" s="4">
        <f t="shared" si="3"/>
        <v>100000</v>
      </c>
      <c r="P15" s="4">
        <f t="shared" si="4"/>
        <v>127582</v>
      </c>
      <c r="Q15" s="4"/>
      <c r="R15" s="4"/>
      <c r="S15" s="4">
        <f t="shared" si="5"/>
        <v>0</v>
      </c>
      <c r="T15" s="4">
        <f t="shared" si="6"/>
        <v>0</v>
      </c>
      <c r="U15" s="4">
        <f t="shared" si="7"/>
        <v>800000</v>
      </c>
      <c r="V15" s="4">
        <f t="shared" si="8"/>
        <v>800000</v>
      </c>
      <c r="W15" s="4"/>
      <c r="X15" s="4"/>
      <c r="Y15" s="4"/>
      <c r="Z15" s="4"/>
      <c r="AA15" s="3"/>
      <c r="AB15" s="3" t="s">
        <v>597</v>
      </c>
      <c r="AC15" s="3">
        <v>732000</v>
      </c>
      <c r="AD15" s="374"/>
      <c r="AE15" s="4">
        <v>100000</v>
      </c>
      <c r="AF15" s="4"/>
      <c r="AG15" s="4">
        <v>50000</v>
      </c>
      <c r="AH15" s="4"/>
      <c r="AI15" s="4"/>
      <c r="AJ15" s="4">
        <v>250000</v>
      </c>
      <c r="AK15" s="4"/>
      <c r="AL15" s="4">
        <f>50000+100000</f>
        <v>150000</v>
      </c>
      <c r="AM15" s="4">
        <f t="shared" si="9"/>
        <v>550000</v>
      </c>
      <c r="AN15" s="4">
        <f t="shared" si="10"/>
        <v>250000</v>
      </c>
      <c r="AO15" s="4">
        <f t="shared" si="11"/>
        <v>550000</v>
      </c>
      <c r="AP15" s="3"/>
      <c r="AQ15" s="3"/>
      <c r="AR15" s="3"/>
      <c r="AS15" s="3"/>
      <c r="AT15" s="3"/>
    </row>
    <row r="16" spans="1:48" s="6" customFormat="1" ht="30" customHeight="1">
      <c r="A16" s="3">
        <f t="shared" si="12"/>
        <v>11</v>
      </c>
      <c r="B16" s="3">
        <v>1129</v>
      </c>
      <c r="C16" s="3" t="s">
        <v>31</v>
      </c>
      <c r="D16" s="4">
        <v>7000000</v>
      </c>
      <c r="E16" s="4">
        <v>7000000</v>
      </c>
      <c r="F16" s="4">
        <f t="shared" si="0"/>
        <v>0</v>
      </c>
      <c r="G16" s="4">
        <v>6191771</v>
      </c>
      <c r="H16" s="4">
        <v>5147258</v>
      </c>
      <c r="I16" s="4">
        <v>0</v>
      </c>
      <c r="J16" s="4">
        <v>665793</v>
      </c>
      <c r="K16" s="4">
        <f t="shared" si="1"/>
        <v>665793</v>
      </c>
      <c r="L16" s="4">
        <f t="shared" si="2"/>
        <v>5813051</v>
      </c>
      <c r="M16" s="4">
        <f>P16+S16-300000</f>
        <v>78720</v>
      </c>
      <c r="N16" s="4">
        <v>600000</v>
      </c>
      <c r="O16" s="4">
        <f t="shared" si="3"/>
        <v>508229</v>
      </c>
      <c r="P16" s="4">
        <f t="shared" si="4"/>
        <v>378720</v>
      </c>
      <c r="Q16" s="4"/>
      <c r="R16" s="4"/>
      <c r="S16" s="4">
        <f t="shared" si="5"/>
        <v>0</v>
      </c>
      <c r="T16" s="4">
        <f t="shared" si="6"/>
        <v>300000</v>
      </c>
      <c r="U16" s="4">
        <f t="shared" si="7"/>
        <v>300000</v>
      </c>
      <c r="V16" s="4">
        <f t="shared" si="8"/>
        <v>300000</v>
      </c>
      <c r="W16" s="4"/>
      <c r="X16" s="4"/>
      <c r="Y16" s="4"/>
      <c r="Z16" s="4"/>
      <c r="AA16" s="3"/>
      <c r="AB16" s="3" t="s">
        <v>415</v>
      </c>
      <c r="AC16" s="3">
        <v>742000</v>
      </c>
      <c r="AD16" s="374"/>
      <c r="AE16" s="4">
        <v>50000</v>
      </c>
      <c r="AF16" s="4"/>
      <c r="AG16" s="4"/>
      <c r="AH16" s="4"/>
      <c r="AI16" s="4"/>
      <c r="AJ16" s="4"/>
      <c r="AK16" s="4">
        <v>250000</v>
      </c>
      <c r="AL16" s="4"/>
      <c r="AM16" s="4">
        <f t="shared" si="9"/>
        <v>300000</v>
      </c>
      <c r="AN16" s="4">
        <f t="shared" si="10"/>
        <v>0</v>
      </c>
      <c r="AO16" s="4">
        <f t="shared" si="11"/>
        <v>300000</v>
      </c>
      <c r="AP16" s="7"/>
      <c r="AQ16" s="7"/>
      <c r="AR16" s="7"/>
      <c r="AS16" s="7"/>
      <c r="AT16" s="7"/>
      <c r="AV16" s="5"/>
    </row>
    <row r="17" spans="1:48" s="5" customFormat="1" ht="30" customHeight="1">
      <c r="A17" s="3">
        <f t="shared" si="12"/>
        <v>12</v>
      </c>
      <c r="B17" s="3">
        <v>1220</v>
      </c>
      <c r="C17" s="3" t="s">
        <v>33</v>
      </c>
      <c r="D17" s="4">
        <v>7000000</v>
      </c>
      <c r="E17" s="4">
        <v>7000000</v>
      </c>
      <c r="F17" s="4">
        <f t="shared" si="0"/>
        <v>0</v>
      </c>
      <c r="G17" s="4">
        <v>5950000</v>
      </c>
      <c r="H17" s="4">
        <v>5018962</v>
      </c>
      <c r="I17" s="4">
        <v>113993</v>
      </c>
      <c r="J17" s="4">
        <v>401881</v>
      </c>
      <c r="K17" s="4">
        <f t="shared" si="1"/>
        <v>515874</v>
      </c>
      <c r="L17" s="4">
        <f t="shared" si="2"/>
        <v>5534836</v>
      </c>
      <c r="M17" s="4">
        <f>P17+S17-400000</f>
        <v>15164</v>
      </c>
      <c r="N17" s="4">
        <f>700000+700000</f>
        <v>1400000</v>
      </c>
      <c r="O17" s="4">
        <f t="shared" si="3"/>
        <v>50000</v>
      </c>
      <c r="P17" s="4">
        <f t="shared" si="4"/>
        <v>415164</v>
      </c>
      <c r="Q17" s="4"/>
      <c r="R17" s="4"/>
      <c r="S17" s="4">
        <f t="shared" si="5"/>
        <v>0</v>
      </c>
      <c r="T17" s="4">
        <f t="shared" si="6"/>
        <v>400000</v>
      </c>
      <c r="U17" s="4">
        <f t="shared" si="7"/>
        <v>1000000</v>
      </c>
      <c r="V17" s="4">
        <f t="shared" si="8"/>
        <v>1000000</v>
      </c>
      <c r="W17" s="4"/>
      <c r="X17" s="4"/>
      <c r="Y17" s="4"/>
      <c r="Z17" s="4"/>
      <c r="AA17" s="3"/>
      <c r="AB17" s="3" t="s">
        <v>751</v>
      </c>
      <c r="AC17" s="3">
        <v>732000</v>
      </c>
      <c r="AD17" s="374"/>
      <c r="AE17" s="4">
        <v>60000</v>
      </c>
      <c r="AF17" s="4"/>
      <c r="AG17" s="4"/>
      <c r="AH17" s="4"/>
      <c r="AI17" s="4"/>
      <c r="AJ17" s="4"/>
      <c r="AK17" s="4">
        <v>150000</v>
      </c>
      <c r="AL17" s="4">
        <v>100000</v>
      </c>
      <c r="AM17" s="4">
        <f t="shared" si="9"/>
        <v>310000</v>
      </c>
      <c r="AN17" s="4">
        <f t="shared" si="10"/>
        <v>690000</v>
      </c>
      <c r="AO17" s="4">
        <f t="shared" si="11"/>
        <v>310000</v>
      </c>
      <c r="AP17" s="3"/>
      <c r="AQ17" s="3"/>
      <c r="AR17" s="3"/>
      <c r="AS17" s="3"/>
      <c r="AT17" s="3"/>
    </row>
    <row r="18" spans="1:48" s="5" customFormat="1" ht="30" customHeight="1">
      <c r="A18" s="3">
        <f t="shared" si="12"/>
        <v>13</v>
      </c>
      <c r="B18" s="3">
        <v>1320</v>
      </c>
      <c r="C18" s="3" t="s">
        <v>1919</v>
      </c>
      <c r="D18" s="4">
        <f>23500000-1950000</f>
        <v>21550000</v>
      </c>
      <c r="E18" s="4">
        <v>23500000</v>
      </c>
      <c r="F18" s="4">
        <f t="shared" si="0"/>
        <v>-1950000</v>
      </c>
      <c r="G18" s="4">
        <v>21550000</v>
      </c>
      <c r="H18" s="4">
        <v>21339439</v>
      </c>
      <c r="I18" s="4">
        <v>204226</v>
      </c>
      <c r="J18" s="4">
        <v>0</v>
      </c>
      <c r="K18" s="4">
        <f t="shared" si="1"/>
        <v>204226</v>
      </c>
      <c r="L18" s="4">
        <f t="shared" si="2"/>
        <v>21543665</v>
      </c>
      <c r="M18" s="4">
        <f>P18+S18</f>
        <v>6335</v>
      </c>
      <c r="N18" s="4"/>
      <c r="O18" s="4">
        <f t="shared" si="3"/>
        <v>0</v>
      </c>
      <c r="P18" s="4">
        <f t="shared" si="4"/>
        <v>6335</v>
      </c>
      <c r="Q18" s="4"/>
      <c r="R18" s="4"/>
      <c r="S18" s="4">
        <f t="shared" si="5"/>
        <v>0</v>
      </c>
      <c r="T18" s="4">
        <f t="shared" si="6"/>
        <v>0</v>
      </c>
      <c r="U18" s="4">
        <f t="shared" si="7"/>
        <v>0</v>
      </c>
      <c r="V18" s="4">
        <f t="shared" si="8"/>
        <v>0</v>
      </c>
      <c r="W18" s="4"/>
      <c r="X18" s="4"/>
      <c r="Y18" s="4"/>
      <c r="Z18" s="4"/>
      <c r="AA18" s="3"/>
      <c r="AB18" s="3" t="s">
        <v>679</v>
      </c>
      <c r="AC18" s="3">
        <v>746000</v>
      </c>
      <c r="AD18" s="374"/>
      <c r="AE18" s="374"/>
      <c r="AF18" s="374"/>
      <c r="AG18" s="374"/>
      <c r="AH18" s="374"/>
      <c r="AI18" s="374"/>
      <c r="AJ18" s="374"/>
      <c r="AK18" s="374"/>
      <c r="AL18" s="374"/>
      <c r="AM18" s="4">
        <f t="shared" si="9"/>
        <v>0</v>
      </c>
      <c r="AN18" s="4">
        <f t="shared" si="10"/>
        <v>0</v>
      </c>
      <c r="AO18" s="4">
        <f t="shared" si="11"/>
        <v>0</v>
      </c>
      <c r="AP18" s="3"/>
      <c r="AQ18" s="3"/>
      <c r="AR18" s="3"/>
      <c r="AS18" s="3"/>
      <c r="AT18" s="3"/>
    </row>
    <row r="19" spans="1:48" s="5" customFormat="1" ht="30" customHeight="1">
      <c r="A19" s="3">
        <f t="shared" si="12"/>
        <v>14</v>
      </c>
      <c r="B19" s="3">
        <v>1363</v>
      </c>
      <c r="C19" s="3" t="s">
        <v>36</v>
      </c>
      <c r="D19" s="4">
        <f>15500000-7950000</f>
        <v>7550000</v>
      </c>
      <c r="E19" s="4">
        <v>15500000</v>
      </c>
      <c r="F19" s="4">
        <f t="shared" si="0"/>
        <v>-7950000</v>
      </c>
      <c r="G19" s="4">
        <v>8050000</v>
      </c>
      <c r="H19" s="4">
        <v>5873469</v>
      </c>
      <c r="I19" s="4">
        <v>72510</v>
      </c>
      <c r="J19" s="4">
        <v>1132586</v>
      </c>
      <c r="K19" s="4">
        <f t="shared" si="1"/>
        <v>1205096</v>
      </c>
      <c r="L19" s="4">
        <f t="shared" si="2"/>
        <v>7078565</v>
      </c>
      <c r="M19" s="4">
        <f>P19+S19-500000</f>
        <v>471435</v>
      </c>
      <c r="N19" s="4"/>
      <c r="O19" s="4">
        <f t="shared" si="3"/>
        <v>0</v>
      </c>
      <c r="P19" s="4">
        <f t="shared" si="4"/>
        <v>971435</v>
      </c>
      <c r="Q19" s="4"/>
      <c r="R19" s="4"/>
      <c r="S19" s="4">
        <f t="shared" si="5"/>
        <v>0</v>
      </c>
      <c r="T19" s="4">
        <f t="shared" si="6"/>
        <v>500000</v>
      </c>
      <c r="U19" s="4">
        <f t="shared" si="7"/>
        <v>-500000</v>
      </c>
      <c r="V19" s="4">
        <f t="shared" si="8"/>
        <v>-500000</v>
      </c>
      <c r="W19" s="4"/>
      <c r="X19" s="4"/>
      <c r="Y19" s="4"/>
      <c r="Z19" s="4"/>
      <c r="AA19" s="3"/>
      <c r="AB19" s="3" t="s">
        <v>870</v>
      </c>
      <c r="AC19" s="3">
        <v>742000</v>
      </c>
      <c r="AD19" s="374"/>
      <c r="AE19" s="4">
        <v>-500000</v>
      </c>
      <c r="AF19" s="4"/>
      <c r="AG19" s="4"/>
      <c r="AH19" s="4"/>
      <c r="AI19" s="4"/>
      <c r="AJ19" s="4"/>
      <c r="AK19" s="4"/>
      <c r="AL19" s="4"/>
      <c r="AM19" s="4">
        <f t="shared" si="9"/>
        <v>-500000</v>
      </c>
      <c r="AN19" s="4">
        <f t="shared" si="10"/>
        <v>0</v>
      </c>
      <c r="AO19" s="4">
        <f t="shared" si="11"/>
        <v>-500000</v>
      </c>
      <c r="AP19" s="3"/>
      <c r="AQ19" s="3"/>
      <c r="AR19" s="3"/>
      <c r="AS19" s="3"/>
      <c r="AT19" s="3"/>
    </row>
    <row r="20" spans="1:48" s="6" customFormat="1" ht="30" customHeight="1">
      <c r="A20" s="3">
        <f t="shared" si="12"/>
        <v>15</v>
      </c>
      <c r="B20" s="3">
        <v>1366</v>
      </c>
      <c r="C20" s="3" t="s">
        <v>37</v>
      </c>
      <c r="D20" s="4">
        <v>1500000</v>
      </c>
      <c r="E20" s="4">
        <v>1500000</v>
      </c>
      <c r="F20" s="4">
        <f t="shared" si="0"/>
        <v>0</v>
      </c>
      <c r="G20" s="4">
        <v>846000</v>
      </c>
      <c r="H20" s="4">
        <v>742521</v>
      </c>
      <c r="I20" s="4">
        <v>0</v>
      </c>
      <c r="J20" s="4"/>
      <c r="K20" s="4">
        <f t="shared" si="1"/>
        <v>0</v>
      </c>
      <c r="L20" s="4">
        <f t="shared" si="2"/>
        <v>742521</v>
      </c>
      <c r="M20" s="4">
        <f>P20+S20-100000</f>
        <v>3479</v>
      </c>
      <c r="N20" s="4">
        <f>600000-200000</f>
        <v>400000</v>
      </c>
      <c r="O20" s="4">
        <f t="shared" si="3"/>
        <v>354000</v>
      </c>
      <c r="P20" s="4">
        <f t="shared" si="4"/>
        <v>103479</v>
      </c>
      <c r="Q20" s="4"/>
      <c r="R20" s="4"/>
      <c r="S20" s="4">
        <f t="shared" si="5"/>
        <v>0</v>
      </c>
      <c r="T20" s="4">
        <f t="shared" si="6"/>
        <v>100000</v>
      </c>
      <c r="U20" s="4">
        <f t="shared" si="7"/>
        <v>300000</v>
      </c>
      <c r="V20" s="4">
        <f t="shared" si="8"/>
        <v>300000</v>
      </c>
      <c r="W20" s="4"/>
      <c r="X20" s="4"/>
      <c r="Y20" s="4"/>
      <c r="Z20" s="4"/>
      <c r="AA20" s="3"/>
      <c r="AB20" s="3" t="s">
        <v>720</v>
      </c>
      <c r="AC20" s="3">
        <v>742000</v>
      </c>
      <c r="AD20" s="374"/>
      <c r="AE20" s="374"/>
      <c r="AF20" s="374"/>
      <c r="AG20" s="374"/>
      <c r="AH20" s="374"/>
      <c r="AI20" s="374"/>
      <c r="AJ20" s="4">
        <v>130000</v>
      </c>
      <c r="AK20" s="374"/>
      <c r="AL20" s="374">
        <v>100000</v>
      </c>
      <c r="AM20" s="4">
        <f t="shared" si="9"/>
        <v>230000</v>
      </c>
      <c r="AN20" s="4">
        <f t="shared" si="10"/>
        <v>70000</v>
      </c>
      <c r="AO20" s="4">
        <f t="shared" si="11"/>
        <v>230000</v>
      </c>
      <c r="AP20" s="7"/>
      <c r="AQ20" s="7"/>
      <c r="AR20" s="7"/>
      <c r="AS20" s="7"/>
      <c r="AT20" s="7"/>
      <c r="AV20" s="5"/>
    </row>
    <row r="21" spans="1:48" s="6" customFormat="1" ht="30" customHeight="1">
      <c r="A21" s="3">
        <f t="shared" si="12"/>
        <v>16</v>
      </c>
      <c r="B21" s="3">
        <v>1406</v>
      </c>
      <c r="C21" s="3" t="s">
        <v>115</v>
      </c>
      <c r="D21" s="4">
        <f>1400000-500000+300000</f>
        <v>1200000</v>
      </c>
      <c r="E21" s="4">
        <v>1400000</v>
      </c>
      <c r="F21" s="4">
        <f t="shared" si="0"/>
        <v>-200000</v>
      </c>
      <c r="G21" s="4">
        <v>1300000</v>
      </c>
      <c r="H21" s="4">
        <v>852000</v>
      </c>
      <c r="I21" s="4">
        <v>35528</v>
      </c>
      <c r="J21" s="4">
        <v>0</v>
      </c>
      <c r="K21" s="4">
        <f t="shared" si="1"/>
        <v>35528</v>
      </c>
      <c r="L21" s="4">
        <f t="shared" si="2"/>
        <v>887528</v>
      </c>
      <c r="M21" s="4">
        <f>P21+S21-400000</f>
        <v>12472</v>
      </c>
      <c r="N21" s="4">
        <v>300000</v>
      </c>
      <c r="O21" s="4">
        <f t="shared" si="3"/>
        <v>0</v>
      </c>
      <c r="P21" s="4">
        <f t="shared" si="4"/>
        <v>412472</v>
      </c>
      <c r="Q21" s="4"/>
      <c r="R21" s="4"/>
      <c r="S21" s="4">
        <f t="shared" si="5"/>
        <v>0</v>
      </c>
      <c r="T21" s="4">
        <f t="shared" si="6"/>
        <v>400000</v>
      </c>
      <c r="U21" s="4">
        <f t="shared" si="7"/>
        <v>-100000</v>
      </c>
      <c r="V21" s="4">
        <f t="shared" si="8"/>
        <v>-100000</v>
      </c>
      <c r="W21" s="4"/>
      <c r="X21" s="4"/>
      <c r="Y21" s="4"/>
      <c r="Z21" s="4"/>
      <c r="AA21" s="3"/>
      <c r="AB21" s="3" t="s">
        <v>721</v>
      </c>
      <c r="AC21" s="3">
        <v>732000</v>
      </c>
      <c r="AD21" s="4">
        <v>-100000</v>
      </c>
      <c r="AE21" s="374"/>
      <c r="AF21" s="374"/>
      <c r="AG21" s="374"/>
      <c r="AH21" s="374"/>
      <c r="AI21" s="374"/>
      <c r="AJ21" s="374"/>
      <c r="AK21" s="374"/>
      <c r="AL21" s="374"/>
      <c r="AM21" s="4">
        <f t="shared" si="9"/>
        <v>-100000</v>
      </c>
      <c r="AN21" s="4">
        <f t="shared" si="10"/>
        <v>0</v>
      </c>
      <c r="AO21" s="4">
        <f t="shared" si="11"/>
        <v>-100000</v>
      </c>
      <c r="AP21" s="7"/>
      <c r="AQ21" s="7"/>
      <c r="AR21" s="7"/>
      <c r="AS21" s="7"/>
      <c r="AT21" s="7"/>
      <c r="AV21" s="5"/>
    </row>
    <row r="22" spans="1:48" s="6" customFormat="1" ht="30" customHeight="1">
      <c r="A22" s="3">
        <f t="shared" si="12"/>
        <v>17</v>
      </c>
      <c r="B22" s="3">
        <v>1407</v>
      </c>
      <c r="C22" s="3" t="s">
        <v>18</v>
      </c>
      <c r="D22" s="4">
        <f>4895000+400000</f>
        <v>5295000</v>
      </c>
      <c r="E22" s="4">
        <v>4895000</v>
      </c>
      <c r="F22" s="4">
        <f t="shared" si="0"/>
        <v>400000</v>
      </c>
      <c r="G22" s="4">
        <v>4095000</v>
      </c>
      <c r="H22" s="4">
        <v>2650861</v>
      </c>
      <c r="I22" s="4">
        <v>292816</v>
      </c>
      <c r="J22" s="4">
        <v>308343</v>
      </c>
      <c r="K22" s="4">
        <f t="shared" si="1"/>
        <v>601159</v>
      </c>
      <c r="L22" s="4">
        <f t="shared" si="2"/>
        <v>3252020</v>
      </c>
      <c r="M22" s="4">
        <f>P22+S22-800000</f>
        <v>42980</v>
      </c>
      <c r="N22" s="4">
        <f>2000000-1000000+1000000</f>
        <v>2000000</v>
      </c>
      <c r="O22" s="4">
        <f t="shared" si="3"/>
        <v>0</v>
      </c>
      <c r="P22" s="4">
        <f t="shared" si="4"/>
        <v>842980</v>
      </c>
      <c r="Q22" s="4"/>
      <c r="R22" s="4"/>
      <c r="S22" s="4">
        <f t="shared" si="5"/>
        <v>0</v>
      </c>
      <c r="T22" s="4">
        <f t="shared" si="6"/>
        <v>800000</v>
      </c>
      <c r="U22" s="4">
        <f t="shared" si="7"/>
        <v>1200000</v>
      </c>
      <c r="V22" s="4">
        <f t="shared" si="8"/>
        <v>1200000</v>
      </c>
      <c r="W22" s="4"/>
      <c r="X22" s="4"/>
      <c r="Y22" s="4"/>
      <c r="Z22" s="4"/>
      <c r="AA22" s="3"/>
      <c r="AB22" s="3" t="s">
        <v>750</v>
      </c>
      <c r="AC22" s="3">
        <v>732000</v>
      </c>
      <c r="AD22" s="374"/>
      <c r="AE22" s="4">
        <v>50000</v>
      </c>
      <c r="AF22" s="4"/>
      <c r="AG22" s="4"/>
      <c r="AH22" s="4"/>
      <c r="AI22" s="4"/>
      <c r="AJ22" s="4"/>
      <c r="AK22" s="4"/>
      <c r="AL22" s="4"/>
      <c r="AM22" s="4">
        <f t="shared" si="9"/>
        <v>50000</v>
      </c>
      <c r="AN22" s="4">
        <f t="shared" si="10"/>
        <v>1150000</v>
      </c>
      <c r="AO22" s="4">
        <f t="shared" si="11"/>
        <v>50000</v>
      </c>
      <c r="AP22" s="7"/>
      <c r="AQ22" s="7"/>
      <c r="AR22" s="7"/>
      <c r="AS22" s="7"/>
      <c r="AT22" s="7"/>
      <c r="AV22" s="5"/>
    </row>
    <row r="23" spans="1:48" s="5" customFormat="1" ht="30" customHeight="1">
      <c r="A23" s="3">
        <f t="shared" si="12"/>
        <v>18</v>
      </c>
      <c r="B23" s="3">
        <v>1409</v>
      </c>
      <c r="C23" s="30" t="s">
        <v>516</v>
      </c>
      <c r="D23" s="4">
        <v>7680000</v>
      </c>
      <c r="E23" s="4">
        <v>7680000</v>
      </c>
      <c r="F23" s="4">
        <f t="shared" si="0"/>
        <v>0</v>
      </c>
      <c r="G23" s="4">
        <v>7330000</v>
      </c>
      <c r="H23" s="4">
        <v>5099564</v>
      </c>
      <c r="I23" s="4">
        <v>1314720</v>
      </c>
      <c r="J23" s="4">
        <v>8190</v>
      </c>
      <c r="K23" s="4">
        <f t="shared" si="1"/>
        <v>1322910</v>
      </c>
      <c r="L23" s="4">
        <f t="shared" si="2"/>
        <v>6422474</v>
      </c>
      <c r="M23" s="4">
        <f>P23+S23-900000</f>
        <v>7526</v>
      </c>
      <c r="N23" s="4">
        <v>900000</v>
      </c>
      <c r="O23" s="4">
        <f t="shared" si="3"/>
        <v>350000</v>
      </c>
      <c r="P23" s="4">
        <f t="shared" si="4"/>
        <v>907526</v>
      </c>
      <c r="Q23" s="4"/>
      <c r="R23" s="4"/>
      <c r="S23" s="4">
        <f t="shared" si="5"/>
        <v>0</v>
      </c>
      <c r="T23" s="4">
        <f t="shared" si="6"/>
        <v>900000</v>
      </c>
      <c r="U23" s="4">
        <f t="shared" si="7"/>
        <v>0</v>
      </c>
      <c r="V23" s="4">
        <f t="shared" si="8"/>
        <v>0</v>
      </c>
      <c r="W23" s="4"/>
      <c r="X23" s="4"/>
      <c r="Y23" s="4"/>
      <c r="Z23" s="4"/>
      <c r="AA23" s="3"/>
      <c r="AB23" s="3" t="s">
        <v>752</v>
      </c>
      <c r="AC23" s="3">
        <v>732000</v>
      </c>
      <c r="AD23" s="374"/>
      <c r="AE23" s="4"/>
      <c r="AF23" s="4"/>
      <c r="AG23" s="4"/>
      <c r="AH23" s="4"/>
      <c r="AI23" s="4"/>
      <c r="AJ23" s="4"/>
      <c r="AK23" s="4"/>
      <c r="AL23" s="4"/>
      <c r="AM23" s="4">
        <f t="shared" si="9"/>
        <v>0</v>
      </c>
      <c r="AN23" s="4">
        <f t="shared" si="10"/>
        <v>0</v>
      </c>
      <c r="AO23" s="4">
        <f t="shared" si="11"/>
        <v>0</v>
      </c>
      <c r="AP23" s="3"/>
      <c r="AQ23" s="3"/>
      <c r="AR23" s="3"/>
      <c r="AS23" s="3"/>
      <c r="AT23" s="3"/>
    </row>
    <row r="24" spans="1:48" s="5" customFormat="1" ht="30" customHeight="1">
      <c r="A24" s="3">
        <f t="shared" si="12"/>
        <v>19</v>
      </c>
      <c r="B24" s="3">
        <v>1457</v>
      </c>
      <c r="C24" s="3" t="s">
        <v>152</v>
      </c>
      <c r="D24" s="4">
        <f>1100000-870000</f>
        <v>230000</v>
      </c>
      <c r="E24" s="4">
        <v>1100000</v>
      </c>
      <c r="F24" s="4">
        <f t="shared" si="0"/>
        <v>-870000</v>
      </c>
      <c r="G24" s="4">
        <v>430000</v>
      </c>
      <c r="H24" s="4">
        <v>171904</v>
      </c>
      <c r="I24" s="4">
        <v>0</v>
      </c>
      <c r="J24" s="4">
        <v>28846</v>
      </c>
      <c r="K24" s="4">
        <f t="shared" si="1"/>
        <v>28846</v>
      </c>
      <c r="L24" s="4">
        <f t="shared" si="2"/>
        <v>200750</v>
      </c>
      <c r="M24" s="4">
        <f>P24+S24-200000</f>
        <v>29250</v>
      </c>
      <c r="N24" s="4"/>
      <c r="O24" s="4">
        <f t="shared" si="3"/>
        <v>0</v>
      </c>
      <c r="P24" s="4">
        <f t="shared" si="4"/>
        <v>229250</v>
      </c>
      <c r="Q24" s="4"/>
      <c r="R24" s="4"/>
      <c r="S24" s="4">
        <f t="shared" si="5"/>
        <v>0</v>
      </c>
      <c r="T24" s="4">
        <f t="shared" si="6"/>
        <v>200000</v>
      </c>
      <c r="U24" s="4">
        <f t="shared" si="7"/>
        <v>-200000</v>
      </c>
      <c r="V24" s="4">
        <f t="shared" si="8"/>
        <v>-200000</v>
      </c>
      <c r="W24" s="4"/>
      <c r="X24" s="4"/>
      <c r="Y24" s="4"/>
      <c r="Z24" s="4"/>
      <c r="AA24" s="3"/>
      <c r="AB24" s="3" t="s">
        <v>764</v>
      </c>
      <c r="AC24" s="3">
        <v>742000</v>
      </c>
      <c r="AD24" s="374"/>
      <c r="AE24" s="4">
        <v>-200000</v>
      </c>
      <c r="AF24" s="4"/>
      <c r="AG24" s="4"/>
      <c r="AH24" s="4"/>
      <c r="AI24" s="4"/>
      <c r="AJ24" s="4"/>
      <c r="AK24" s="4"/>
      <c r="AL24" s="4"/>
      <c r="AM24" s="4">
        <f t="shared" si="9"/>
        <v>-200000</v>
      </c>
      <c r="AN24" s="4">
        <f t="shared" si="10"/>
        <v>0</v>
      </c>
      <c r="AO24" s="4">
        <f t="shared" si="11"/>
        <v>-200000</v>
      </c>
      <c r="AP24" s="3"/>
      <c r="AQ24" s="3"/>
      <c r="AR24" s="3"/>
      <c r="AS24" s="3"/>
      <c r="AT24" s="3"/>
    </row>
    <row r="25" spans="1:48" s="5" customFormat="1" ht="30" customHeight="1">
      <c r="A25" s="3">
        <f t="shared" si="12"/>
        <v>20</v>
      </c>
      <c r="B25" s="3">
        <v>1466</v>
      </c>
      <c r="C25" s="3" t="s">
        <v>19</v>
      </c>
      <c r="D25" s="4">
        <v>2200000</v>
      </c>
      <c r="E25" s="4">
        <v>2200000</v>
      </c>
      <c r="F25" s="4">
        <f t="shared" si="0"/>
        <v>0</v>
      </c>
      <c r="G25" s="4">
        <v>1500000</v>
      </c>
      <c r="H25" s="4">
        <v>1242093</v>
      </c>
      <c r="I25" s="4">
        <v>0</v>
      </c>
      <c r="J25" s="4">
        <v>0</v>
      </c>
      <c r="K25" s="4">
        <f t="shared" si="1"/>
        <v>0</v>
      </c>
      <c r="L25" s="4">
        <f t="shared" si="2"/>
        <v>1242093</v>
      </c>
      <c r="M25" s="4">
        <f>P25+S25-250000</f>
        <v>7907</v>
      </c>
      <c r="N25" s="4">
        <f>250000+250000</f>
        <v>500000</v>
      </c>
      <c r="O25" s="4">
        <f t="shared" si="3"/>
        <v>450000</v>
      </c>
      <c r="P25" s="4">
        <f t="shared" si="4"/>
        <v>257907</v>
      </c>
      <c r="Q25" s="4"/>
      <c r="R25" s="4"/>
      <c r="S25" s="4">
        <f t="shared" si="5"/>
        <v>0</v>
      </c>
      <c r="T25" s="4">
        <f t="shared" si="6"/>
        <v>250000</v>
      </c>
      <c r="U25" s="4">
        <f t="shared" si="7"/>
        <v>250000</v>
      </c>
      <c r="V25" s="4">
        <f t="shared" si="8"/>
        <v>250000</v>
      </c>
      <c r="W25" s="4"/>
      <c r="X25" s="4"/>
      <c r="Y25" s="4"/>
      <c r="Z25" s="4"/>
      <c r="AA25" s="3"/>
      <c r="AB25" s="3" t="s">
        <v>728</v>
      </c>
      <c r="AC25" s="3">
        <v>732000</v>
      </c>
      <c r="AD25" s="374"/>
      <c r="AE25" s="4"/>
      <c r="AF25" s="4"/>
      <c r="AG25" s="4"/>
      <c r="AH25" s="4"/>
      <c r="AI25" s="4"/>
      <c r="AJ25" s="4"/>
      <c r="AK25" s="4"/>
      <c r="AL25" s="4"/>
      <c r="AM25" s="4">
        <f t="shared" si="9"/>
        <v>0</v>
      </c>
      <c r="AN25" s="4">
        <f t="shared" si="10"/>
        <v>250000</v>
      </c>
      <c r="AO25" s="4">
        <f t="shared" si="11"/>
        <v>0</v>
      </c>
      <c r="AP25" s="3"/>
      <c r="AQ25" s="3"/>
      <c r="AR25" s="3"/>
      <c r="AS25" s="3"/>
      <c r="AT25" s="3"/>
    </row>
    <row r="26" spans="1:48" s="5" customFormat="1" ht="30" customHeight="1">
      <c r="A26" s="3">
        <f t="shared" si="12"/>
        <v>21</v>
      </c>
      <c r="B26" s="3">
        <v>1511</v>
      </c>
      <c r="C26" s="3" t="s">
        <v>38</v>
      </c>
      <c r="D26" s="4">
        <v>960000</v>
      </c>
      <c r="E26" s="4">
        <v>960000</v>
      </c>
      <c r="F26" s="4">
        <f t="shared" si="0"/>
        <v>0</v>
      </c>
      <c r="G26" s="4">
        <v>100000</v>
      </c>
      <c r="H26" s="4">
        <v>17284</v>
      </c>
      <c r="I26" s="4">
        <v>0</v>
      </c>
      <c r="J26" s="4">
        <v>0</v>
      </c>
      <c r="K26" s="4">
        <f t="shared" si="1"/>
        <v>0</v>
      </c>
      <c r="L26" s="4">
        <f t="shared" si="2"/>
        <v>17284</v>
      </c>
      <c r="M26" s="4">
        <f>P26+S26</f>
        <v>82716</v>
      </c>
      <c r="N26" s="4"/>
      <c r="O26" s="4">
        <f t="shared" si="3"/>
        <v>860000</v>
      </c>
      <c r="P26" s="4">
        <f t="shared" si="4"/>
        <v>82716</v>
      </c>
      <c r="Q26" s="4"/>
      <c r="R26" s="4"/>
      <c r="S26" s="4">
        <f t="shared" si="5"/>
        <v>0</v>
      </c>
      <c r="T26" s="4">
        <f t="shared" si="6"/>
        <v>0</v>
      </c>
      <c r="U26" s="4">
        <f t="shared" si="7"/>
        <v>0</v>
      </c>
      <c r="V26" s="4">
        <f t="shared" si="8"/>
        <v>0</v>
      </c>
      <c r="W26" s="4"/>
      <c r="X26" s="4"/>
      <c r="Y26" s="4"/>
      <c r="Z26" s="4"/>
      <c r="AA26" s="3"/>
      <c r="AB26" s="3" t="s">
        <v>602</v>
      </c>
      <c r="AC26" s="3">
        <v>742000</v>
      </c>
      <c r="AD26" s="374"/>
      <c r="AE26" s="4"/>
      <c r="AF26" s="4"/>
      <c r="AG26" s="4"/>
      <c r="AH26" s="4"/>
      <c r="AI26" s="4"/>
      <c r="AJ26" s="4"/>
      <c r="AK26" s="4"/>
      <c r="AL26" s="4"/>
      <c r="AM26" s="4">
        <f t="shared" si="9"/>
        <v>0</v>
      </c>
      <c r="AN26" s="4">
        <f t="shared" si="10"/>
        <v>0</v>
      </c>
      <c r="AO26" s="4">
        <f t="shared" si="11"/>
        <v>0</v>
      </c>
      <c r="AP26" s="3"/>
      <c r="AQ26" s="3"/>
      <c r="AR26" s="3"/>
      <c r="AS26" s="3"/>
      <c r="AT26" s="3"/>
    </row>
    <row r="27" spans="1:48" s="5" customFormat="1" ht="30" customHeight="1">
      <c r="A27" s="3">
        <f t="shared" si="12"/>
        <v>22</v>
      </c>
      <c r="B27" s="3">
        <v>1527</v>
      </c>
      <c r="C27" s="3" t="s">
        <v>490</v>
      </c>
      <c r="D27" s="4">
        <v>3000000</v>
      </c>
      <c r="E27" s="4">
        <v>3000000</v>
      </c>
      <c r="F27" s="4">
        <f t="shared" si="0"/>
        <v>0</v>
      </c>
      <c r="G27" s="4">
        <v>1200000</v>
      </c>
      <c r="H27" s="4">
        <v>821144</v>
      </c>
      <c r="I27" s="4">
        <v>0</v>
      </c>
      <c r="J27" s="4">
        <v>0</v>
      </c>
      <c r="K27" s="4">
        <f t="shared" si="1"/>
        <v>0</v>
      </c>
      <c r="L27" s="4">
        <f t="shared" si="2"/>
        <v>821144</v>
      </c>
      <c r="M27" s="4">
        <f>P27+S27-350000</f>
        <v>28856</v>
      </c>
      <c r="N27" s="4">
        <v>700000</v>
      </c>
      <c r="O27" s="4">
        <f t="shared" si="3"/>
        <v>1450000</v>
      </c>
      <c r="P27" s="4">
        <f t="shared" si="4"/>
        <v>378856</v>
      </c>
      <c r="Q27" s="4"/>
      <c r="R27" s="4"/>
      <c r="S27" s="4">
        <f t="shared" si="5"/>
        <v>0</v>
      </c>
      <c r="T27" s="4">
        <f t="shared" si="6"/>
        <v>350000</v>
      </c>
      <c r="U27" s="4">
        <f t="shared" si="7"/>
        <v>350000</v>
      </c>
      <c r="V27" s="4">
        <f t="shared" si="8"/>
        <v>350000</v>
      </c>
      <c r="W27" s="4"/>
      <c r="X27" s="4"/>
      <c r="Y27" s="4"/>
      <c r="Z27" s="4"/>
      <c r="AA27" s="3"/>
      <c r="AB27" s="3" t="s">
        <v>598</v>
      </c>
      <c r="AC27" s="3">
        <v>732000</v>
      </c>
      <c r="AD27" s="374"/>
      <c r="AE27" s="4"/>
      <c r="AF27" s="4"/>
      <c r="AG27" s="4"/>
      <c r="AH27" s="4"/>
      <c r="AI27" s="4"/>
      <c r="AJ27" s="4"/>
      <c r="AK27" s="4"/>
      <c r="AL27" s="4"/>
      <c r="AM27" s="4">
        <f t="shared" si="9"/>
        <v>0</v>
      </c>
      <c r="AN27" s="4">
        <f t="shared" si="10"/>
        <v>350000</v>
      </c>
      <c r="AO27" s="4">
        <f t="shared" si="11"/>
        <v>0</v>
      </c>
      <c r="AP27" s="3"/>
      <c r="AQ27" s="3"/>
      <c r="AR27" s="3"/>
      <c r="AS27" s="3"/>
      <c r="AT27" s="3"/>
    </row>
    <row r="28" spans="1:48" s="5" customFormat="1" ht="30" customHeight="1">
      <c r="A28" s="3">
        <f t="shared" si="12"/>
        <v>23</v>
      </c>
      <c r="B28" s="3">
        <v>1529</v>
      </c>
      <c r="C28" s="3" t="s">
        <v>47</v>
      </c>
      <c r="D28" s="4">
        <v>500000</v>
      </c>
      <c r="E28" s="4">
        <v>500000</v>
      </c>
      <c r="F28" s="4">
        <f t="shared" si="0"/>
        <v>0</v>
      </c>
      <c r="G28" s="4">
        <v>500000</v>
      </c>
      <c r="H28" s="4">
        <v>367382</v>
      </c>
      <c r="I28" s="4">
        <v>0</v>
      </c>
      <c r="J28" s="4">
        <v>0</v>
      </c>
      <c r="K28" s="4">
        <f t="shared" si="1"/>
        <v>0</v>
      </c>
      <c r="L28" s="4">
        <f t="shared" si="2"/>
        <v>367382</v>
      </c>
      <c r="M28" s="4">
        <f>P28+S28-130000</f>
        <v>2618</v>
      </c>
      <c r="N28" s="4">
        <v>130000</v>
      </c>
      <c r="O28" s="4">
        <f t="shared" si="3"/>
        <v>0</v>
      </c>
      <c r="P28" s="4">
        <f t="shared" si="4"/>
        <v>132618</v>
      </c>
      <c r="Q28" s="4"/>
      <c r="R28" s="4"/>
      <c r="S28" s="4">
        <f t="shared" si="5"/>
        <v>0</v>
      </c>
      <c r="T28" s="4">
        <f t="shared" si="6"/>
        <v>130000</v>
      </c>
      <c r="U28" s="4">
        <f t="shared" si="7"/>
        <v>0</v>
      </c>
      <c r="V28" s="4">
        <f t="shared" si="8"/>
        <v>0</v>
      </c>
      <c r="W28" s="4"/>
      <c r="X28" s="4"/>
      <c r="Y28" s="4"/>
      <c r="Z28" s="4"/>
      <c r="AA28" s="3"/>
      <c r="AB28" s="3" t="s">
        <v>397</v>
      </c>
      <c r="AC28" s="3">
        <v>760000</v>
      </c>
      <c r="AD28" s="374"/>
      <c r="AE28" s="4"/>
      <c r="AF28" s="4"/>
      <c r="AG28" s="4"/>
      <c r="AH28" s="4"/>
      <c r="AI28" s="4"/>
      <c r="AJ28" s="4"/>
      <c r="AK28" s="4"/>
      <c r="AL28" s="4"/>
      <c r="AM28" s="4">
        <f t="shared" si="9"/>
        <v>0</v>
      </c>
      <c r="AN28" s="4">
        <f t="shared" si="10"/>
        <v>0</v>
      </c>
      <c r="AO28" s="4">
        <f t="shared" si="11"/>
        <v>0</v>
      </c>
      <c r="AP28" s="3"/>
      <c r="AQ28" s="3"/>
      <c r="AR28" s="3"/>
      <c r="AS28" s="3"/>
      <c r="AT28" s="3"/>
    </row>
    <row r="29" spans="1:48" s="5" customFormat="1" ht="30" customHeight="1">
      <c r="A29" s="3">
        <f t="shared" si="12"/>
        <v>24</v>
      </c>
      <c r="B29" s="3">
        <v>1551</v>
      </c>
      <c r="C29" s="3" t="s">
        <v>99</v>
      </c>
      <c r="D29" s="4">
        <f>525240+520000-520000</f>
        <v>525240</v>
      </c>
      <c r="E29" s="4">
        <v>525240</v>
      </c>
      <c r="F29" s="4">
        <f t="shared" si="0"/>
        <v>0</v>
      </c>
      <c r="G29" s="4">
        <v>375240</v>
      </c>
      <c r="H29" s="4">
        <v>225965</v>
      </c>
      <c r="I29" s="4">
        <v>18729</v>
      </c>
      <c r="J29" s="4"/>
      <c r="K29" s="4">
        <f t="shared" si="1"/>
        <v>18729</v>
      </c>
      <c r="L29" s="4">
        <f t="shared" si="2"/>
        <v>244694</v>
      </c>
      <c r="M29" s="4">
        <f>P29+S29-130000</f>
        <v>546</v>
      </c>
      <c r="N29" s="4">
        <f>250000-50000</f>
        <v>200000</v>
      </c>
      <c r="O29" s="4">
        <f t="shared" si="3"/>
        <v>80000</v>
      </c>
      <c r="P29" s="4">
        <f t="shared" si="4"/>
        <v>130546</v>
      </c>
      <c r="Q29" s="4"/>
      <c r="R29" s="4"/>
      <c r="S29" s="4">
        <f t="shared" si="5"/>
        <v>0</v>
      </c>
      <c r="T29" s="4">
        <f t="shared" si="6"/>
        <v>130000</v>
      </c>
      <c r="U29" s="4">
        <f t="shared" si="7"/>
        <v>70000</v>
      </c>
      <c r="V29" s="4">
        <f t="shared" si="8"/>
        <v>70000</v>
      </c>
      <c r="W29" s="4"/>
      <c r="X29" s="4"/>
      <c r="Y29" s="4"/>
      <c r="Z29" s="4"/>
      <c r="AA29" s="3"/>
      <c r="AB29" s="3" t="s">
        <v>723</v>
      </c>
      <c r="AC29" s="3">
        <v>732000</v>
      </c>
      <c r="AD29" s="374"/>
      <c r="AE29" s="374"/>
      <c r="AF29" s="374"/>
      <c r="AG29" s="374"/>
      <c r="AH29" s="374"/>
      <c r="AI29" s="374"/>
      <c r="AJ29" s="374"/>
      <c r="AK29" s="374"/>
      <c r="AL29" s="374"/>
      <c r="AM29" s="4">
        <f t="shared" si="9"/>
        <v>0</v>
      </c>
      <c r="AN29" s="4">
        <f t="shared" si="10"/>
        <v>70000</v>
      </c>
      <c r="AO29" s="4">
        <f t="shared" si="11"/>
        <v>0</v>
      </c>
      <c r="AP29" s="3"/>
      <c r="AQ29" s="3"/>
      <c r="AR29" s="3"/>
      <c r="AS29" s="3"/>
      <c r="AT29" s="3"/>
    </row>
    <row r="30" spans="1:48" s="6" customFormat="1" ht="30" customHeight="1">
      <c r="A30" s="3">
        <f t="shared" si="12"/>
        <v>25</v>
      </c>
      <c r="B30" s="3">
        <v>1568</v>
      </c>
      <c r="C30" s="3" t="s">
        <v>48</v>
      </c>
      <c r="D30" s="4">
        <v>46375301</v>
      </c>
      <c r="E30" s="4">
        <v>46375301</v>
      </c>
      <c r="F30" s="4">
        <f t="shared" si="0"/>
        <v>0</v>
      </c>
      <c r="G30" s="4">
        <v>28875301</v>
      </c>
      <c r="H30" s="4">
        <v>27763907</v>
      </c>
      <c r="I30" s="4">
        <v>822126</v>
      </c>
      <c r="J30" s="4">
        <v>37672</v>
      </c>
      <c r="K30" s="4">
        <f t="shared" si="1"/>
        <v>859798</v>
      </c>
      <c r="L30" s="4">
        <f t="shared" si="2"/>
        <v>28623705</v>
      </c>
      <c r="M30" s="4">
        <f>P30+S30-250000</f>
        <v>1596</v>
      </c>
      <c r="N30" s="4">
        <f>250000-250000</f>
        <v>0</v>
      </c>
      <c r="O30" s="4">
        <f t="shared" si="3"/>
        <v>17750000</v>
      </c>
      <c r="P30" s="4">
        <f t="shared" si="4"/>
        <v>251596</v>
      </c>
      <c r="Q30" s="4"/>
      <c r="R30" s="4"/>
      <c r="S30" s="4">
        <f t="shared" si="5"/>
        <v>0</v>
      </c>
      <c r="T30" s="4">
        <f t="shared" si="6"/>
        <v>250000</v>
      </c>
      <c r="U30" s="4">
        <f t="shared" si="7"/>
        <v>-250000</v>
      </c>
      <c r="V30" s="4">
        <f t="shared" si="8"/>
        <v>-250000</v>
      </c>
      <c r="W30" s="4"/>
      <c r="X30" s="4"/>
      <c r="Y30" s="4"/>
      <c r="Z30" s="4"/>
      <c r="AA30" s="3"/>
      <c r="AB30" s="3"/>
      <c r="AC30" s="3">
        <v>746000</v>
      </c>
      <c r="AD30" s="4">
        <v>-250000</v>
      </c>
      <c r="AE30" s="374"/>
      <c r="AF30" s="374"/>
      <c r="AG30" s="374"/>
      <c r="AH30" s="374"/>
      <c r="AI30" s="374"/>
      <c r="AJ30" s="374"/>
      <c r="AK30" s="374"/>
      <c r="AL30" s="374"/>
      <c r="AM30" s="4">
        <f t="shared" si="9"/>
        <v>-250000</v>
      </c>
      <c r="AN30" s="4">
        <f t="shared" si="10"/>
        <v>0</v>
      </c>
      <c r="AO30" s="4">
        <f t="shared" si="11"/>
        <v>-250000</v>
      </c>
      <c r="AP30" s="7"/>
      <c r="AQ30" s="7"/>
      <c r="AR30" s="7"/>
      <c r="AS30" s="7"/>
      <c r="AT30" s="7"/>
      <c r="AV30" s="5"/>
    </row>
    <row r="31" spans="1:48" s="5" customFormat="1" ht="30" customHeight="1">
      <c r="A31" s="3">
        <f t="shared" si="12"/>
        <v>26</v>
      </c>
      <c r="B31" s="3">
        <v>1576</v>
      </c>
      <c r="C31" s="3" t="s">
        <v>49</v>
      </c>
      <c r="D31" s="4">
        <v>1000000</v>
      </c>
      <c r="E31" s="4">
        <v>1000000</v>
      </c>
      <c r="F31" s="4">
        <f t="shared" si="0"/>
        <v>0</v>
      </c>
      <c r="G31" s="4">
        <v>450000</v>
      </c>
      <c r="H31" s="4">
        <v>372800</v>
      </c>
      <c r="I31" s="4">
        <v>25973</v>
      </c>
      <c r="J31" s="4">
        <v>0</v>
      </c>
      <c r="K31" s="4">
        <f t="shared" si="1"/>
        <v>25973</v>
      </c>
      <c r="L31" s="4">
        <f t="shared" si="2"/>
        <v>398773</v>
      </c>
      <c r="M31" s="4">
        <f>P31+S31-50000</f>
        <v>1227</v>
      </c>
      <c r="N31" s="4">
        <v>50000</v>
      </c>
      <c r="O31" s="4">
        <f t="shared" si="3"/>
        <v>550000</v>
      </c>
      <c r="P31" s="4">
        <f t="shared" si="4"/>
        <v>51227</v>
      </c>
      <c r="Q31" s="4"/>
      <c r="R31" s="4"/>
      <c r="S31" s="4">
        <f t="shared" si="5"/>
        <v>0</v>
      </c>
      <c r="T31" s="4">
        <f t="shared" si="6"/>
        <v>50000</v>
      </c>
      <c r="U31" s="4">
        <f t="shared" si="7"/>
        <v>0</v>
      </c>
      <c r="V31" s="4">
        <f t="shared" si="8"/>
        <v>0</v>
      </c>
      <c r="W31" s="4"/>
      <c r="X31" s="4"/>
      <c r="Y31" s="4"/>
      <c r="Z31" s="4"/>
      <c r="AA31" s="3"/>
      <c r="AB31" s="3" t="s">
        <v>416</v>
      </c>
      <c r="AC31" s="3">
        <v>732000</v>
      </c>
      <c r="AD31" s="374"/>
      <c r="AE31" s="374"/>
      <c r="AF31" s="374"/>
      <c r="AG31" s="374"/>
      <c r="AH31" s="374"/>
      <c r="AI31" s="374"/>
      <c r="AJ31" s="374"/>
      <c r="AK31" s="374"/>
      <c r="AL31" s="374"/>
      <c r="AM31" s="4">
        <f t="shared" si="9"/>
        <v>0</v>
      </c>
      <c r="AN31" s="4">
        <f t="shared" si="10"/>
        <v>0</v>
      </c>
      <c r="AO31" s="4">
        <f t="shared" si="11"/>
        <v>0</v>
      </c>
      <c r="AP31" s="3"/>
      <c r="AQ31" s="3"/>
      <c r="AR31" s="3"/>
      <c r="AS31" s="3"/>
      <c r="AT31" s="3"/>
    </row>
    <row r="32" spans="1:48" s="6" customFormat="1" ht="30" customHeight="1">
      <c r="A32" s="3">
        <f t="shared" si="12"/>
        <v>27</v>
      </c>
      <c r="B32" s="3">
        <v>1587</v>
      </c>
      <c r="C32" s="3" t="s">
        <v>100</v>
      </c>
      <c r="D32" s="4">
        <v>34200000</v>
      </c>
      <c r="E32" s="4">
        <v>34200000</v>
      </c>
      <c r="F32" s="4">
        <f t="shared" si="0"/>
        <v>0</v>
      </c>
      <c r="G32" s="4">
        <v>12550000</v>
      </c>
      <c r="H32" s="4">
        <v>8932630</v>
      </c>
      <c r="I32" s="4">
        <v>1089975</v>
      </c>
      <c r="J32" s="4">
        <v>1077252</v>
      </c>
      <c r="K32" s="4">
        <f t="shared" si="1"/>
        <v>2167227</v>
      </c>
      <c r="L32" s="4">
        <f t="shared" si="2"/>
        <v>11099857</v>
      </c>
      <c r="M32" s="4">
        <f>P32+S32-1400000</f>
        <v>50143</v>
      </c>
      <c r="N32" s="4">
        <v>1500000</v>
      </c>
      <c r="O32" s="4">
        <f t="shared" si="3"/>
        <v>21550000</v>
      </c>
      <c r="P32" s="4">
        <f t="shared" si="4"/>
        <v>1450143</v>
      </c>
      <c r="Q32" s="4"/>
      <c r="R32" s="4"/>
      <c r="S32" s="4">
        <f t="shared" si="5"/>
        <v>0</v>
      </c>
      <c r="T32" s="4">
        <f t="shared" si="6"/>
        <v>1400000</v>
      </c>
      <c r="U32" s="4">
        <f t="shared" si="7"/>
        <v>100000</v>
      </c>
      <c r="V32" s="4">
        <f t="shared" si="8"/>
        <v>100000</v>
      </c>
      <c r="W32" s="4"/>
      <c r="X32" s="4"/>
      <c r="Y32" s="4"/>
      <c r="Z32" s="4"/>
      <c r="AA32" s="3"/>
      <c r="AB32" s="3" t="s">
        <v>581</v>
      </c>
      <c r="AC32" s="3">
        <v>742000</v>
      </c>
      <c r="AD32" s="374"/>
      <c r="AE32" s="374"/>
      <c r="AF32" s="374"/>
      <c r="AG32" s="374"/>
      <c r="AH32" s="374"/>
      <c r="AI32" s="374"/>
      <c r="AJ32" s="374"/>
      <c r="AK32" s="374"/>
      <c r="AL32" s="374"/>
      <c r="AM32" s="4">
        <f t="shared" si="9"/>
        <v>0</v>
      </c>
      <c r="AN32" s="4">
        <f t="shared" si="10"/>
        <v>100000</v>
      </c>
      <c r="AO32" s="4">
        <f t="shared" si="11"/>
        <v>0</v>
      </c>
      <c r="AP32" s="7"/>
      <c r="AQ32" s="7"/>
      <c r="AR32" s="7"/>
      <c r="AS32" s="7"/>
      <c r="AT32" s="7"/>
      <c r="AV32" s="5"/>
    </row>
    <row r="33" spans="1:48" s="5" customFormat="1" ht="30" customHeight="1">
      <c r="A33" s="3">
        <f t="shared" si="12"/>
        <v>28</v>
      </c>
      <c r="B33" s="3">
        <v>1601</v>
      </c>
      <c r="C33" s="3" t="s">
        <v>40</v>
      </c>
      <c r="D33" s="4">
        <v>700000</v>
      </c>
      <c r="E33" s="4">
        <v>700000</v>
      </c>
      <c r="F33" s="4">
        <f t="shared" si="0"/>
        <v>0</v>
      </c>
      <c r="G33" s="4">
        <v>650000</v>
      </c>
      <c r="H33" s="4">
        <v>538227</v>
      </c>
      <c r="I33" s="4">
        <v>0</v>
      </c>
      <c r="J33" s="4">
        <v>0</v>
      </c>
      <c r="K33" s="4">
        <f t="shared" si="1"/>
        <v>0</v>
      </c>
      <c r="L33" s="4">
        <f t="shared" si="2"/>
        <v>538227</v>
      </c>
      <c r="M33" s="4">
        <f>P33+S33-100000</f>
        <v>11773</v>
      </c>
      <c r="N33" s="4">
        <v>100000</v>
      </c>
      <c r="O33" s="4">
        <f t="shared" si="3"/>
        <v>50000</v>
      </c>
      <c r="P33" s="4">
        <f t="shared" si="4"/>
        <v>111773</v>
      </c>
      <c r="Q33" s="4"/>
      <c r="R33" s="4"/>
      <c r="S33" s="4">
        <f t="shared" si="5"/>
        <v>0</v>
      </c>
      <c r="T33" s="4">
        <f t="shared" si="6"/>
        <v>100000</v>
      </c>
      <c r="U33" s="4">
        <f t="shared" si="7"/>
        <v>0</v>
      </c>
      <c r="V33" s="4">
        <f t="shared" si="8"/>
        <v>0</v>
      </c>
      <c r="W33" s="4"/>
      <c r="X33" s="4"/>
      <c r="Y33" s="4"/>
      <c r="Z33" s="4"/>
      <c r="AA33" s="3"/>
      <c r="AB33" s="3" t="s">
        <v>817</v>
      </c>
      <c r="AC33" s="3">
        <v>742000</v>
      </c>
      <c r="AD33" s="374"/>
      <c r="AE33" s="374"/>
      <c r="AF33" s="374"/>
      <c r="AG33" s="374"/>
      <c r="AH33" s="374"/>
      <c r="AI33" s="374"/>
      <c r="AJ33" s="374"/>
      <c r="AK33" s="374"/>
      <c r="AL33" s="374"/>
      <c r="AM33" s="4">
        <f t="shared" si="9"/>
        <v>0</v>
      </c>
      <c r="AN33" s="4">
        <f t="shared" si="10"/>
        <v>0</v>
      </c>
      <c r="AO33" s="4">
        <f t="shared" si="11"/>
        <v>0</v>
      </c>
      <c r="AP33" s="3"/>
      <c r="AQ33" s="3"/>
      <c r="AR33" s="3"/>
      <c r="AS33" s="3"/>
      <c r="AT33" s="3"/>
    </row>
    <row r="34" spans="1:48" s="5" customFormat="1" ht="30" customHeight="1">
      <c r="A34" s="3">
        <f t="shared" si="12"/>
        <v>29</v>
      </c>
      <c r="B34" s="3">
        <v>1602</v>
      </c>
      <c r="C34" s="3" t="s">
        <v>26</v>
      </c>
      <c r="D34" s="4">
        <f>32500000-500000</f>
        <v>32000000</v>
      </c>
      <c r="E34" s="4">
        <v>32500000</v>
      </c>
      <c r="F34" s="4">
        <f t="shared" si="0"/>
        <v>-500000</v>
      </c>
      <c r="G34" s="4">
        <v>32500000</v>
      </c>
      <c r="H34" s="4">
        <v>29113324</v>
      </c>
      <c r="I34" s="4">
        <v>2559506</v>
      </c>
      <c r="J34" s="4">
        <v>119805</v>
      </c>
      <c r="K34" s="4">
        <f t="shared" si="1"/>
        <v>2679311</v>
      </c>
      <c r="L34" s="4">
        <f t="shared" si="2"/>
        <v>31792635</v>
      </c>
      <c r="M34" s="4">
        <f>P34+S34-500000</f>
        <v>207365</v>
      </c>
      <c r="N34" s="4"/>
      <c r="O34" s="4">
        <f t="shared" si="3"/>
        <v>0</v>
      </c>
      <c r="P34" s="4">
        <f t="shared" si="4"/>
        <v>707365</v>
      </c>
      <c r="Q34" s="4"/>
      <c r="R34" s="4"/>
      <c r="S34" s="4">
        <f t="shared" si="5"/>
        <v>0</v>
      </c>
      <c r="T34" s="4">
        <f t="shared" si="6"/>
        <v>500000</v>
      </c>
      <c r="U34" s="4">
        <f t="shared" si="7"/>
        <v>-500000</v>
      </c>
      <c r="V34" s="4">
        <f t="shared" si="8"/>
        <v>-500000</v>
      </c>
      <c r="W34" s="4"/>
      <c r="X34" s="4"/>
      <c r="Y34" s="4"/>
      <c r="Z34" s="4"/>
      <c r="AA34" s="3"/>
      <c r="AB34" s="3" t="s">
        <v>871</v>
      </c>
      <c r="AC34" s="3">
        <v>742000</v>
      </c>
      <c r="AD34" s="374"/>
      <c r="AE34" s="374"/>
      <c r="AF34" s="374"/>
      <c r="AG34" s="374"/>
      <c r="AH34" s="374"/>
      <c r="AI34" s="374"/>
      <c r="AJ34" s="374"/>
      <c r="AK34" s="4">
        <v>-500000</v>
      </c>
      <c r="AL34" s="4"/>
      <c r="AM34" s="4">
        <f t="shared" si="9"/>
        <v>-500000</v>
      </c>
      <c r="AN34" s="4">
        <f t="shared" si="10"/>
        <v>0</v>
      </c>
      <c r="AO34" s="4">
        <f t="shared" si="11"/>
        <v>-500000</v>
      </c>
      <c r="AP34" s="3"/>
      <c r="AQ34" s="3"/>
      <c r="AR34" s="3"/>
      <c r="AS34" s="3"/>
      <c r="AT34" s="3"/>
    </row>
    <row r="35" spans="1:48" s="5" customFormat="1" ht="30" customHeight="1">
      <c r="A35" s="3">
        <f t="shared" si="12"/>
        <v>30</v>
      </c>
      <c r="B35" s="3">
        <v>1620</v>
      </c>
      <c r="C35" s="30" t="s">
        <v>517</v>
      </c>
      <c r="D35" s="4">
        <v>1000000</v>
      </c>
      <c r="E35" s="4">
        <v>1000000</v>
      </c>
      <c r="F35" s="4">
        <f t="shared" si="0"/>
        <v>0</v>
      </c>
      <c r="G35" s="4">
        <v>300000</v>
      </c>
      <c r="H35" s="4">
        <v>0</v>
      </c>
      <c r="I35" s="4">
        <v>0</v>
      </c>
      <c r="J35" s="4">
        <v>0</v>
      </c>
      <c r="K35" s="4">
        <f t="shared" si="1"/>
        <v>0</v>
      </c>
      <c r="L35" s="4">
        <f t="shared" si="2"/>
        <v>0</v>
      </c>
      <c r="M35" s="4">
        <f>P35+S35-300000</f>
        <v>0</v>
      </c>
      <c r="N35" s="4">
        <v>300000</v>
      </c>
      <c r="O35" s="4">
        <f t="shared" si="3"/>
        <v>700000</v>
      </c>
      <c r="P35" s="4">
        <f t="shared" si="4"/>
        <v>300000</v>
      </c>
      <c r="Q35" s="4"/>
      <c r="R35" s="4"/>
      <c r="S35" s="4">
        <f t="shared" si="5"/>
        <v>0</v>
      </c>
      <c r="T35" s="4">
        <f t="shared" si="6"/>
        <v>300000</v>
      </c>
      <c r="U35" s="4">
        <f t="shared" si="7"/>
        <v>0</v>
      </c>
      <c r="V35" s="4">
        <f t="shared" si="8"/>
        <v>0</v>
      </c>
      <c r="W35" s="4"/>
      <c r="X35" s="4"/>
      <c r="Y35" s="4"/>
      <c r="Z35" s="4"/>
      <c r="AA35" s="3"/>
      <c r="AB35" s="3" t="s">
        <v>479</v>
      </c>
      <c r="AC35" s="3">
        <v>732000</v>
      </c>
      <c r="AD35" s="374"/>
      <c r="AE35" s="374"/>
      <c r="AF35" s="374"/>
      <c r="AG35" s="374"/>
      <c r="AH35" s="374"/>
      <c r="AI35" s="374"/>
      <c r="AJ35" s="374"/>
      <c r="AK35" s="374"/>
      <c r="AL35" s="374"/>
      <c r="AM35" s="4">
        <f t="shared" si="9"/>
        <v>0</v>
      </c>
      <c r="AN35" s="4">
        <f t="shared" si="10"/>
        <v>0</v>
      </c>
      <c r="AO35" s="4">
        <f t="shared" si="11"/>
        <v>0</v>
      </c>
      <c r="AP35" s="3"/>
      <c r="AQ35" s="3"/>
      <c r="AR35" s="3"/>
      <c r="AS35" s="3"/>
      <c r="AT35" s="3"/>
    </row>
    <row r="36" spans="1:48" s="6" customFormat="1" ht="30" customHeight="1">
      <c r="A36" s="3">
        <f t="shared" si="12"/>
        <v>31</v>
      </c>
      <c r="B36" s="3">
        <v>1660</v>
      </c>
      <c r="C36" s="3" t="s">
        <v>20</v>
      </c>
      <c r="D36" s="4">
        <v>2000000</v>
      </c>
      <c r="E36" s="4">
        <v>2000000</v>
      </c>
      <c r="F36" s="4">
        <f t="shared" si="0"/>
        <v>0</v>
      </c>
      <c r="G36" s="4">
        <v>1100000</v>
      </c>
      <c r="H36" s="4">
        <v>126220</v>
      </c>
      <c r="I36" s="4">
        <v>345150</v>
      </c>
      <c r="J36" s="4">
        <v>9966</v>
      </c>
      <c r="K36" s="4">
        <f t="shared" si="1"/>
        <v>355116</v>
      </c>
      <c r="L36" s="4">
        <f t="shared" si="2"/>
        <v>481336</v>
      </c>
      <c r="M36" s="4">
        <f>P36+S36-600000</f>
        <v>18664</v>
      </c>
      <c r="N36" s="4">
        <f>1200000-600000+400000-400000+200000</f>
        <v>800000</v>
      </c>
      <c r="O36" s="4">
        <f t="shared" si="3"/>
        <v>700000</v>
      </c>
      <c r="P36" s="4">
        <f t="shared" si="4"/>
        <v>618664</v>
      </c>
      <c r="Q36" s="4"/>
      <c r="R36" s="4"/>
      <c r="S36" s="4">
        <f t="shared" si="5"/>
        <v>0</v>
      </c>
      <c r="T36" s="4">
        <f t="shared" si="6"/>
        <v>600000</v>
      </c>
      <c r="U36" s="4">
        <f t="shared" si="7"/>
        <v>200000</v>
      </c>
      <c r="V36" s="4">
        <f t="shared" si="8"/>
        <v>200000</v>
      </c>
      <c r="W36" s="4"/>
      <c r="X36" s="4"/>
      <c r="Y36" s="4"/>
      <c r="Z36" s="4"/>
      <c r="AA36" s="3"/>
      <c r="AB36" s="3" t="s">
        <v>765</v>
      </c>
      <c r="AC36" s="3">
        <v>732000</v>
      </c>
      <c r="AD36" s="374"/>
      <c r="AE36" s="374"/>
      <c r="AF36" s="374"/>
      <c r="AG36" s="374"/>
      <c r="AH36" s="374"/>
      <c r="AI36" s="374"/>
      <c r="AJ36" s="374"/>
      <c r="AK36" s="374"/>
      <c r="AL36" s="374"/>
      <c r="AM36" s="4">
        <f t="shared" si="9"/>
        <v>0</v>
      </c>
      <c r="AN36" s="4">
        <f t="shared" si="10"/>
        <v>200000</v>
      </c>
      <c r="AO36" s="4">
        <f t="shared" si="11"/>
        <v>0</v>
      </c>
      <c r="AP36" s="7"/>
      <c r="AQ36" s="7"/>
      <c r="AR36" s="7"/>
      <c r="AS36" s="7"/>
      <c r="AT36" s="7"/>
      <c r="AV36" s="5"/>
    </row>
    <row r="37" spans="1:48" s="5" customFormat="1" ht="30" customHeight="1">
      <c r="A37" s="3">
        <f t="shared" si="12"/>
        <v>32</v>
      </c>
      <c r="B37" s="3">
        <v>1670</v>
      </c>
      <c r="C37" s="3" t="s">
        <v>2252</v>
      </c>
      <c r="D37" s="4">
        <v>17800000</v>
      </c>
      <c r="E37" s="4">
        <v>12500000</v>
      </c>
      <c r="F37" s="4">
        <f t="shared" si="0"/>
        <v>5300000</v>
      </c>
      <c r="G37" s="4">
        <v>1550000</v>
      </c>
      <c r="H37" s="4">
        <v>191608</v>
      </c>
      <c r="I37" s="4">
        <v>195570</v>
      </c>
      <c r="J37" s="4">
        <v>78302</v>
      </c>
      <c r="K37" s="4">
        <f t="shared" si="1"/>
        <v>273872</v>
      </c>
      <c r="L37" s="4">
        <f t="shared" si="2"/>
        <v>465480</v>
      </c>
      <c r="M37" s="4">
        <f>P37+S37-1000000</f>
        <v>84520</v>
      </c>
      <c r="N37" s="4">
        <f>2300000-500000</f>
        <v>1800000</v>
      </c>
      <c r="O37" s="4">
        <f t="shared" si="3"/>
        <v>15450000</v>
      </c>
      <c r="P37" s="4">
        <f t="shared" si="4"/>
        <v>1084520</v>
      </c>
      <c r="Q37" s="4"/>
      <c r="R37" s="4"/>
      <c r="S37" s="4">
        <f t="shared" si="5"/>
        <v>0</v>
      </c>
      <c r="T37" s="4">
        <f t="shared" si="6"/>
        <v>1000000</v>
      </c>
      <c r="U37" s="4">
        <f t="shared" si="7"/>
        <v>800000</v>
      </c>
      <c r="V37" s="4">
        <f t="shared" si="8"/>
        <v>800000</v>
      </c>
      <c r="W37" s="4"/>
      <c r="X37" s="4"/>
      <c r="Y37" s="4"/>
      <c r="Z37" s="4"/>
      <c r="AA37" s="3"/>
      <c r="AB37" s="3" t="s">
        <v>724</v>
      </c>
      <c r="AC37" s="3">
        <v>742000</v>
      </c>
      <c r="AD37" s="374"/>
      <c r="AE37" s="374"/>
      <c r="AF37" s="374"/>
      <c r="AG37" s="374"/>
      <c r="AH37" s="374"/>
      <c r="AI37" s="374"/>
      <c r="AJ37" s="374"/>
      <c r="AK37" s="374"/>
      <c r="AL37" s="374"/>
      <c r="AM37" s="4">
        <f t="shared" si="9"/>
        <v>0</v>
      </c>
      <c r="AN37" s="4">
        <f t="shared" si="10"/>
        <v>800000</v>
      </c>
      <c r="AO37" s="4">
        <f t="shared" si="11"/>
        <v>0</v>
      </c>
      <c r="AP37" s="3"/>
      <c r="AQ37" s="3"/>
      <c r="AR37" s="3"/>
      <c r="AS37" s="3"/>
      <c r="AT37" s="3"/>
    </row>
    <row r="38" spans="1:48" s="6" customFormat="1" ht="30" customHeight="1">
      <c r="A38" s="3">
        <f t="shared" si="12"/>
        <v>33</v>
      </c>
      <c r="B38" s="3">
        <v>1674</v>
      </c>
      <c r="C38" s="3" t="s">
        <v>21</v>
      </c>
      <c r="D38" s="4">
        <f>2300000-500000</f>
        <v>1800000</v>
      </c>
      <c r="E38" s="4">
        <v>2300000</v>
      </c>
      <c r="F38" s="4">
        <f t="shared" si="0"/>
        <v>-500000</v>
      </c>
      <c r="G38" s="4">
        <v>2300000</v>
      </c>
      <c r="H38" s="4">
        <v>1565978</v>
      </c>
      <c r="I38" s="4">
        <v>127422</v>
      </c>
      <c r="J38" s="4">
        <v>88003</v>
      </c>
      <c r="K38" s="4">
        <f t="shared" ref="K38:K69" si="13">SUM(I38:J38)</f>
        <v>215425</v>
      </c>
      <c r="L38" s="4">
        <f t="shared" si="2"/>
        <v>1781403</v>
      </c>
      <c r="M38" s="4">
        <f>P38+S38-500000</f>
        <v>18597</v>
      </c>
      <c r="N38" s="4"/>
      <c r="O38" s="4">
        <f t="shared" si="3"/>
        <v>0</v>
      </c>
      <c r="P38" s="4">
        <f t="shared" si="4"/>
        <v>518597</v>
      </c>
      <c r="Q38" s="4"/>
      <c r="R38" s="4"/>
      <c r="S38" s="4">
        <f t="shared" si="5"/>
        <v>0</v>
      </c>
      <c r="T38" s="4">
        <f t="shared" si="6"/>
        <v>500000</v>
      </c>
      <c r="U38" s="4">
        <f t="shared" si="7"/>
        <v>-500000</v>
      </c>
      <c r="V38" s="4">
        <f t="shared" si="8"/>
        <v>-500000</v>
      </c>
      <c r="W38" s="4"/>
      <c r="X38" s="4"/>
      <c r="Y38" s="4"/>
      <c r="Z38" s="4"/>
      <c r="AA38" s="4"/>
      <c r="AB38" s="3" t="s">
        <v>766</v>
      </c>
      <c r="AC38" s="3">
        <v>732000</v>
      </c>
      <c r="AD38" s="374"/>
      <c r="AE38" s="4">
        <v>-500000</v>
      </c>
      <c r="AF38" s="4"/>
      <c r="AG38" s="4"/>
      <c r="AH38" s="4"/>
      <c r="AI38" s="4"/>
      <c r="AJ38" s="4"/>
      <c r="AK38" s="4"/>
      <c r="AL38" s="4"/>
      <c r="AM38" s="4">
        <f t="shared" si="9"/>
        <v>-500000</v>
      </c>
      <c r="AN38" s="4">
        <f t="shared" si="10"/>
        <v>0</v>
      </c>
      <c r="AO38" s="4">
        <f t="shared" si="11"/>
        <v>-500000</v>
      </c>
      <c r="AP38" s="7"/>
      <c r="AQ38" s="7"/>
      <c r="AR38" s="7"/>
      <c r="AS38" s="7"/>
      <c r="AT38" s="7"/>
      <c r="AV38" s="5"/>
    </row>
    <row r="39" spans="1:48" s="5" customFormat="1" ht="30" customHeight="1">
      <c r="A39" s="3">
        <f t="shared" si="12"/>
        <v>34</v>
      </c>
      <c r="B39" s="3">
        <v>1692</v>
      </c>
      <c r="C39" s="3" t="s">
        <v>22</v>
      </c>
      <c r="D39" s="4">
        <v>2450000</v>
      </c>
      <c r="E39" s="4">
        <v>2450000</v>
      </c>
      <c r="F39" s="4">
        <f t="shared" si="0"/>
        <v>0</v>
      </c>
      <c r="G39" s="4">
        <v>1746509</v>
      </c>
      <c r="H39" s="4">
        <v>578671</v>
      </c>
      <c r="I39" s="4">
        <v>128716</v>
      </c>
      <c r="J39" s="4">
        <v>0</v>
      </c>
      <c r="K39" s="4">
        <f t="shared" si="13"/>
        <v>128716</v>
      </c>
      <c r="L39" s="4">
        <f t="shared" si="2"/>
        <v>707387</v>
      </c>
      <c r="M39" s="4">
        <f>P39+S39</f>
        <v>1039122</v>
      </c>
      <c r="N39" s="4"/>
      <c r="O39" s="4">
        <f t="shared" si="3"/>
        <v>703491</v>
      </c>
      <c r="P39" s="4">
        <f t="shared" si="4"/>
        <v>1039122</v>
      </c>
      <c r="Q39" s="4"/>
      <c r="R39" s="4"/>
      <c r="S39" s="4">
        <f t="shared" si="5"/>
        <v>0</v>
      </c>
      <c r="T39" s="4">
        <f t="shared" si="6"/>
        <v>0</v>
      </c>
      <c r="U39" s="4">
        <f t="shared" si="7"/>
        <v>0</v>
      </c>
      <c r="V39" s="4">
        <f t="shared" si="8"/>
        <v>0</v>
      </c>
      <c r="W39" s="4"/>
      <c r="X39" s="4"/>
      <c r="Y39" s="4"/>
      <c r="Z39" s="4"/>
      <c r="AA39" s="4"/>
      <c r="AB39" s="3" t="s">
        <v>872</v>
      </c>
      <c r="AC39" s="3">
        <v>732000</v>
      </c>
      <c r="AD39" s="374"/>
      <c r="AE39" s="374"/>
      <c r="AF39" s="374"/>
      <c r="AG39" s="374"/>
      <c r="AH39" s="374"/>
      <c r="AI39" s="374"/>
      <c r="AJ39" s="374"/>
      <c r="AK39" s="374"/>
      <c r="AL39" s="374"/>
      <c r="AM39" s="4">
        <f t="shared" si="9"/>
        <v>0</v>
      </c>
      <c r="AN39" s="4">
        <f t="shared" si="10"/>
        <v>0</v>
      </c>
      <c r="AO39" s="4">
        <f t="shared" si="11"/>
        <v>0</v>
      </c>
      <c r="AP39" s="3"/>
      <c r="AQ39" s="3"/>
      <c r="AR39" s="3"/>
      <c r="AS39" s="3"/>
      <c r="AT39" s="3"/>
    </row>
    <row r="40" spans="1:48" s="5" customFormat="1" ht="30" customHeight="1">
      <c r="A40" s="3">
        <f t="shared" si="12"/>
        <v>35</v>
      </c>
      <c r="B40" s="3">
        <v>1693</v>
      </c>
      <c r="C40" s="3" t="s">
        <v>2253</v>
      </c>
      <c r="D40" s="4">
        <v>4500000</v>
      </c>
      <c r="E40" s="4">
        <v>4500000</v>
      </c>
      <c r="F40" s="4">
        <f t="shared" si="0"/>
        <v>0</v>
      </c>
      <c r="G40" s="4">
        <v>2235481</v>
      </c>
      <c r="H40" s="4">
        <v>312539</v>
      </c>
      <c r="I40" s="4">
        <v>48063</v>
      </c>
      <c r="J40" s="4">
        <v>0</v>
      </c>
      <c r="K40" s="4">
        <f t="shared" si="13"/>
        <v>48063</v>
      </c>
      <c r="L40" s="4">
        <f t="shared" si="2"/>
        <v>360602</v>
      </c>
      <c r="M40" s="4">
        <f>P40+S40</f>
        <v>1874879</v>
      </c>
      <c r="N40" s="4"/>
      <c r="O40" s="4">
        <f t="shared" si="3"/>
        <v>2264519</v>
      </c>
      <c r="P40" s="4">
        <f t="shared" si="4"/>
        <v>1874879</v>
      </c>
      <c r="Q40" s="4"/>
      <c r="R40" s="4"/>
      <c r="S40" s="4">
        <f t="shared" si="5"/>
        <v>0</v>
      </c>
      <c r="T40" s="4">
        <f t="shared" si="6"/>
        <v>0</v>
      </c>
      <c r="U40" s="4">
        <f t="shared" si="7"/>
        <v>0</v>
      </c>
      <c r="V40" s="4">
        <f t="shared" si="8"/>
        <v>0</v>
      </c>
      <c r="W40" s="4"/>
      <c r="X40" s="4"/>
      <c r="Y40" s="4"/>
      <c r="Z40" s="4"/>
      <c r="AA40" s="4"/>
      <c r="AB40" s="3" t="s">
        <v>1920</v>
      </c>
      <c r="AC40" s="3">
        <v>732000</v>
      </c>
      <c r="AD40" s="374"/>
      <c r="AE40" s="374"/>
      <c r="AF40" s="374"/>
      <c r="AG40" s="374"/>
      <c r="AH40" s="374"/>
      <c r="AI40" s="374"/>
      <c r="AJ40" s="374"/>
      <c r="AK40" s="374"/>
      <c r="AL40" s="374"/>
      <c r="AM40" s="4">
        <f t="shared" si="9"/>
        <v>0</v>
      </c>
      <c r="AN40" s="4">
        <f t="shared" si="10"/>
        <v>0</v>
      </c>
      <c r="AO40" s="4">
        <f t="shared" si="11"/>
        <v>0</v>
      </c>
      <c r="AP40" s="3"/>
      <c r="AQ40" s="3"/>
      <c r="AR40" s="3"/>
      <c r="AS40" s="3"/>
      <c r="AT40" s="3"/>
    </row>
    <row r="41" spans="1:48" s="5" customFormat="1" ht="30" customHeight="1">
      <c r="A41" s="3">
        <f t="shared" si="12"/>
        <v>36</v>
      </c>
      <c r="B41" s="3">
        <v>1701</v>
      </c>
      <c r="C41" s="3" t="s">
        <v>2473</v>
      </c>
      <c r="D41" s="4">
        <v>1250000</v>
      </c>
      <c r="E41" s="4">
        <v>1250000</v>
      </c>
      <c r="F41" s="4">
        <f t="shared" si="0"/>
        <v>0</v>
      </c>
      <c r="G41" s="4">
        <v>570000</v>
      </c>
      <c r="H41" s="4">
        <v>149316</v>
      </c>
      <c r="I41" s="4">
        <v>75117</v>
      </c>
      <c r="J41" s="4">
        <v>263559</v>
      </c>
      <c r="K41" s="4">
        <f t="shared" si="13"/>
        <v>338676</v>
      </c>
      <c r="L41" s="4">
        <f t="shared" si="2"/>
        <v>487992</v>
      </c>
      <c r="M41" s="4">
        <f>P41+S41-50000</f>
        <v>32008</v>
      </c>
      <c r="N41" s="4">
        <f>400000-200000</f>
        <v>200000</v>
      </c>
      <c r="O41" s="4">
        <f t="shared" si="3"/>
        <v>530000</v>
      </c>
      <c r="P41" s="4">
        <f t="shared" si="4"/>
        <v>82008</v>
      </c>
      <c r="Q41" s="4"/>
      <c r="R41" s="4"/>
      <c r="S41" s="4">
        <f t="shared" si="5"/>
        <v>0</v>
      </c>
      <c r="T41" s="4">
        <f t="shared" si="6"/>
        <v>50000</v>
      </c>
      <c r="U41" s="4">
        <f t="shared" si="7"/>
        <v>150000</v>
      </c>
      <c r="V41" s="4">
        <f t="shared" si="8"/>
        <v>150000</v>
      </c>
      <c r="W41" s="4"/>
      <c r="X41" s="4"/>
      <c r="Y41" s="4"/>
      <c r="Z41" s="4"/>
      <c r="AA41" s="3"/>
      <c r="AB41" s="3" t="s">
        <v>725</v>
      </c>
      <c r="AC41" s="3">
        <v>732000</v>
      </c>
      <c r="AD41" s="374"/>
      <c r="AE41" s="374"/>
      <c r="AF41" s="374"/>
      <c r="AG41" s="374"/>
      <c r="AH41" s="374"/>
      <c r="AI41" s="374"/>
      <c r="AJ41" s="374"/>
      <c r="AK41" s="374"/>
      <c r="AL41" s="374"/>
      <c r="AM41" s="4">
        <f t="shared" si="9"/>
        <v>0</v>
      </c>
      <c r="AN41" s="4">
        <f t="shared" si="10"/>
        <v>150000</v>
      </c>
      <c r="AO41" s="4">
        <f t="shared" si="11"/>
        <v>0</v>
      </c>
      <c r="AP41" s="3"/>
      <c r="AQ41" s="3"/>
      <c r="AR41" s="3"/>
      <c r="AS41" s="3"/>
      <c r="AT41" s="3"/>
    </row>
    <row r="42" spans="1:48" s="5" customFormat="1" ht="30" customHeight="1">
      <c r="A42" s="3">
        <f t="shared" si="12"/>
        <v>37</v>
      </c>
      <c r="B42" s="3">
        <v>1722</v>
      </c>
      <c r="C42" s="3" t="s">
        <v>41</v>
      </c>
      <c r="D42" s="4">
        <v>2400000</v>
      </c>
      <c r="E42" s="4">
        <v>2400000</v>
      </c>
      <c r="F42" s="4">
        <f t="shared" si="0"/>
        <v>0</v>
      </c>
      <c r="G42" s="4">
        <v>300000</v>
      </c>
      <c r="H42" s="4">
        <v>98067</v>
      </c>
      <c r="I42" s="4">
        <v>67053</v>
      </c>
      <c r="J42" s="4">
        <v>8850</v>
      </c>
      <c r="K42" s="4">
        <f t="shared" si="13"/>
        <v>75903</v>
      </c>
      <c r="L42" s="4">
        <f t="shared" si="2"/>
        <v>173970</v>
      </c>
      <c r="M42" s="4">
        <f>P42+S42-100000</f>
        <v>26030</v>
      </c>
      <c r="N42" s="4">
        <v>100000</v>
      </c>
      <c r="O42" s="4">
        <f t="shared" si="3"/>
        <v>2100000</v>
      </c>
      <c r="P42" s="4">
        <f t="shared" si="4"/>
        <v>126030</v>
      </c>
      <c r="Q42" s="4"/>
      <c r="R42" s="4"/>
      <c r="S42" s="4">
        <f t="shared" si="5"/>
        <v>0</v>
      </c>
      <c r="T42" s="4">
        <f t="shared" si="6"/>
        <v>100000</v>
      </c>
      <c r="U42" s="4">
        <f t="shared" si="7"/>
        <v>0</v>
      </c>
      <c r="V42" s="4">
        <f t="shared" si="8"/>
        <v>0</v>
      </c>
      <c r="W42" s="4"/>
      <c r="X42" s="4"/>
      <c r="Y42" s="4"/>
      <c r="Z42" s="4"/>
      <c r="AA42" s="3"/>
      <c r="AB42" s="3" t="s">
        <v>308</v>
      </c>
      <c r="AC42" s="3">
        <v>742000</v>
      </c>
      <c r="AD42" s="374"/>
      <c r="AE42" s="374"/>
      <c r="AF42" s="374"/>
      <c r="AG42" s="374"/>
      <c r="AH42" s="374"/>
      <c r="AI42" s="374"/>
      <c r="AJ42" s="374"/>
      <c r="AK42" s="374"/>
      <c r="AL42" s="374"/>
      <c r="AM42" s="4">
        <f t="shared" si="9"/>
        <v>0</v>
      </c>
      <c r="AN42" s="4">
        <f t="shared" si="10"/>
        <v>0</v>
      </c>
      <c r="AO42" s="4">
        <f t="shared" si="11"/>
        <v>0</v>
      </c>
      <c r="AP42" s="3"/>
      <c r="AQ42" s="3"/>
      <c r="AR42" s="3"/>
      <c r="AS42" s="3"/>
      <c r="AT42" s="3"/>
    </row>
    <row r="43" spans="1:48" s="6" customFormat="1" ht="30" customHeight="1">
      <c r="A43" s="3">
        <f t="shared" si="12"/>
        <v>38</v>
      </c>
      <c r="B43" s="3">
        <v>1744</v>
      </c>
      <c r="C43" s="3" t="s">
        <v>42</v>
      </c>
      <c r="D43" s="4">
        <v>13000000</v>
      </c>
      <c r="E43" s="4">
        <v>13000000</v>
      </c>
      <c r="F43" s="4">
        <f t="shared" si="0"/>
        <v>0</v>
      </c>
      <c r="G43" s="4">
        <v>8700000</v>
      </c>
      <c r="H43" s="4">
        <v>5930332</v>
      </c>
      <c r="I43" s="4">
        <v>0</v>
      </c>
      <c r="J43" s="4">
        <v>1315502</v>
      </c>
      <c r="K43" s="4">
        <f t="shared" si="13"/>
        <v>1315502</v>
      </c>
      <c r="L43" s="4">
        <f t="shared" si="2"/>
        <v>7245834</v>
      </c>
      <c r="M43" s="4">
        <f>P43+S43-1400000</f>
        <v>54166</v>
      </c>
      <c r="N43" s="4">
        <v>500000</v>
      </c>
      <c r="O43" s="4">
        <f t="shared" si="3"/>
        <v>5200000</v>
      </c>
      <c r="P43" s="4">
        <f t="shared" si="4"/>
        <v>1454166</v>
      </c>
      <c r="Q43" s="4"/>
      <c r="R43" s="4"/>
      <c r="S43" s="4">
        <f t="shared" si="5"/>
        <v>0</v>
      </c>
      <c r="T43" s="4">
        <f t="shared" si="6"/>
        <v>1400000</v>
      </c>
      <c r="U43" s="4">
        <f t="shared" si="7"/>
        <v>-900000</v>
      </c>
      <c r="V43" s="4">
        <f t="shared" si="8"/>
        <v>-900000</v>
      </c>
      <c r="W43" s="4"/>
      <c r="X43" s="4"/>
      <c r="Y43" s="4"/>
      <c r="Z43" s="4"/>
      <c r="AA43" s="3"/>
      <c r="AB43" s="3" t="s">
        <v>1921</v>
      </c>
      <c r="AC43" s="3">
        <v>742000</v>
      </c>
      <c r="AD43" s="4">
        <v>-900000</v>
      </c>
      <c r="AE43" s="374"/>
      <c r="AF43" s="374"/>
      <c r="AG43" s="374"/>
      <c r="AH43" s="374"/>
      <c r="AI43" s="374"/>
      <c r="AJ43" s="374"/>
      <c r="AK43" s="374"/>
      <c r="AL43" s="374"/>
      <c r="AM43" s="4">
        <f t="shared" si="9"/>
        <v>-900000</v>
      </c>
      <c r="AN43" s="4">
        <f t="shared" si="10"/>
        <v>0</v>
      </c>
      <c r="AO43" s="4">
        <f t="shared" si="11"/>
        <v>-900000</v>
      </c>
      <c r="AP43" s="7"/>
      <c r="AQ43" s="7"/>
      <c r="AR43" s="7"/>
      <c r="AS43" s="7"/>
      <c r="AT43" s="7"/>
      <c r="AV43" s="5"/>
    </row>
    <row r="44" spans="1:48" s="5" customFormat="1" ht="52.9" customHeight="1">
      <c r="A44" s="3">
        <f t="shared" si="12"/>
        <v>39</v>
      </c>
      <c r="B44" s="3">
        <v>1756</v>
      </c>
      <c r="C44" s="3" t="s">
        <v>642</v>
      </c>
      <c r="D44" s="4">
        <f>1400000+300000</f>
        <v>1700000</v>
      </c>
      <c r="E44" s="4">
        <v>1400000</v>
      </c>
      <c r="F44" s="4">
        <f t="shared" si="0"/>
        <v>300000</v>
      </c>
      <c r="G44" s="4">
        <v>1100000</v>
      </c>
      <c r="H44" s="4">
        <v>239672</v>
      </c>
      <c r="I44" s="4">
        <v>173160</v>
      </c>
      <c r="J44" s="4">
        <v>44604</v>
      </c>
      <c r="K44" s="4">
        <f t="shared" si="13"/>
        <v>217764</v>
      </c>
      <c r="L44" s="4">
        <f t="shared" si="2"/>
        <v>457436</v>
      </c>
      <c r="M44" s="4">
        <f>P44+S44-600000</f>
        <v>42564</v>
      </c>
      <c r="N44" s="4">
        <f>900000-300000+600000-300000</f>
        <v>900000</v>
      </c>
      <c r="O44" s="4">
        <f t="shared" si="3"/>
        <v>300000</v>
      </c>
      <c r="P44" s="4">
        <f t="shared" si="4"/>
        <v>642564</v>
      </c>
      <c r="Q44" s="4"/>
      <c r="R44" s="4"/>
      <c r="S44" s="4">
        <f t="shared" si="5"/>
        <v>0</v>
      </c>
      <c r="T44" s="4">
        <f t="shared" si="6"/>
        <v>600000</v>
      </c>
      <c r="U44" s="4">
        <f t="shared" si="7"/>
        <v>300000</v>
      </c>
      <c r="V44" s="4">
        <f t="shared" si="8"/>
        <v>300000</v>
      </c>
      <c r="W44" s="4"/>
      <c r="X44" s="4"/>
      <c r="Y44" s="4"/>
      <c r="Z44" s="4"/>
      <c r="AA44" s="4"/>
      <c r="AB44" s="3" t="s">
        <v>763</v>
      </c>
      <c r="AC44" s="3">
        <v>732000</v>
      </c>
      <c r="AD44" s="374"/>
      <c r="AE44" s="374"/>
      <c r="AF44" s="374"/>
      <c r="AG44" s="374"/>
      <c r="AH44" s="374"/>
      <c r="AI44" s="374"/>
      <c r="AJ44" s="374"/>
      <c r="AK44" s="374"/>
      <c r="AL44" s="374"/>
      <c r="AM44" s="4">
        <f t="shared" si="9"/>
        <v>0</v>
      </c>
      <c r="AN44" s="4">
        <f t="shared" si="10"/>
        <v>300000</v>
      </c>
      <c r="AO44" s="4">
        <f t="shared" si="11"/>
        <v>0</v>
      </c>
      <c r="AP44" s="3"/>
      <c r="AQ44" s="3"/>
      <c r="AR44" s="3"/>
      <c r="AS44" s="3"/>
      <c r="AT44" s="3"/>
    </row>
    <row r="45" spans="1:48" s="5" customFormat="1" ht="43.15" customHeight="1">
      <c r="A45" s="3">
        <f t="shared" si="12"/>
        <v>40</v>
      </c>
      <c r="B45" s="3">
        <v>1759</v>
      </c>
      <c r="C45" s="3" t="s">
        <v>518</v>
      </c>
      <c r="D45" s="4">
        <f>940000-440000</f>
        <v>500000</v>
      </c>
      <c r="E45" s="4">
        <v>940000</v>
      </c>
      <c r="F45" s="4">
        <f t="shared" si="0"/>
        <v>-440000</v>
      </c>
      <c r="G45" s="4">
        <v>540000</v>
      </c>
      <c r="H45" s="4">
        <v>478660</v>
      </c>
      <c r="I45" s="4">
        <v>0</v>
      </c>
      <c r="J45" s="4">
        <v>17152</v>
      </c>
      <c r="K45" s="4">
        <f t="shared" si="13"/>
        <v>17152</v>
      </c>
      <c r="L45" s="4">
        <f t="shared" si="2"/>
        <v>495812</v>
      </c>
      <c r="M45" s="4">
        <f>P45+S45-40000</f>
        <v>4188</v>
      </c>
      <c r="N45" s="4"/>
      <c r="O45" s="4">
        <f t="shared" si="3"/>
        <v>0</v>
      </c>
      <c r="P45" s="4">
        <f t="shared" si="4"/>
        <v>44188</v>
      </c>
      <c r="Q45" s="4"/>
      <c r="R45" s="4"/>
      <c r="S45" s="4">
        <f t="shared" si="5"/>
        <v>0</v>
      </c>
      <c r="T45" s="4">
        <f t="shared" si="6"/>
        <v>40000</v>
      </c>
      <c r="U45" s="4">
        <f t="shared" si="7"/>
        <v>-40000</v>
      </c>
      <c r="V45" s="4">
        <f t="shared" si="8"/>
        <v>-40000</v>
      </c>
      <c r="W45" s="4"/>
      <c r="X45" s="4"/>
      <c r="Y45" s="4"/>
      <c r="Z45" s="4"/>
      <c r="AA45" s="3"/>
      <c r="AB45" s="3" t="s">
        <v>1922</v>
      </c>
      <c r="AC45" s="3">
        <v>732000</v>
      </c>
      <c r="AD45" s="4">
        <v>-40000</v>
      </c>
      <c r="AE45" s="374"/>
      <c r="AF45" s="374"/>
      <c r="AG45" s="374"/>
      <c r="AH45" s="374"/>
      <c r="AI45" s="374"/>
      <c r="AJ45" s="374"/>
      <c r="AK45" s="374"/>
      <c r="AL45" s="374"/>
      <c r="AM45" s="4">
        <f t="shared" si="9"/>
        <v>-40000</v>
      </c>
      <c r="AN45" s="4">
        <f t="shared" si="10"/>
        <v>0</v>
      </c>
      <c r="AO45" s="4">
        <f t="shared" si="11"/>
        <v>-40000</v>
      </c>
      <c r="AP45" s="3"/>
      <c r="AQ45" s="3"/>
      <c r="AR45" s="3"/>
      <c r="AS45" s="3"/>
      <c r="AT45" s="3"/>
    </row>
    <row r="46" spans="1:48" s="5" customFormat="1" ht="30" customHeight="1">
      <c r="A46" s="3">
        <f t="shared" si="12"/>
        <v>41</v>
      </c>
      <c r="B46" s="3">
        <v>1760</v>
      </c>
      <c r="C46" s="3" t="s">
        <v>2242</v>
      </c>
      <c r="D46" s="4">
        <v>900000</v>
      </c>
      <c r="E46" s="4">
        <v>900000</v>
      </c>
      <c r="F46" s="4">
        <f t="shared" si="0"/>
        <v>0</v>
      </c>
      <c r="G46" s="4">
        <v>300000</v>
      </c>
      <c r="H46" s="4">
        <v>38898</v>
      </c>
      <c r="I46" s="4">
        <v>0</v>
      </c>
      <c r="J46" s="4">
        <v>1228</v>
      </c>
      <c r="K46" s="4">
        <f t="shared" si="13"/>
        <v>1228</v>
      </c>
      <c r="L46" s="4">
        <f t="shared" si="2"/>
        <v>40126</v>
      </c>
      <c r="M46" s="4">
        <f>P46+S46-250000</f>
        <v>9874</v>
      </c>
      <c r="N46" s="4">
        <v>250000</v>
      </c>
      <c r="O46" s="4">
        <f t="shared" si="3"/>
        <v>600000</v>
      </c>
      <c r="P46" s="4">
        <f t="shared" si="4"/>
        <v>259874</v>
      </c>
      <c r="Q46" s="4"/>
      <c r="R46" s="4"/>
      <c r="S46" s="4">
        <f t="shared" si="5"/>
        <v>0</v>
      </c>
      <c r="T46" s="4">
        <f t="shared" si="6"/>
        <v>250000</v>
      </c>
      <c r="U46" s="4">
        <f t="shared" si="7"/>
        <v>0</v>
      </c>
      <c r="V46" s="4">
        <f t="shared" si="8"/>
        <v>0</v>
      </c>
      <c r="W46" s="4"/>
      <c r="X46" s="4"/>
      <c r="Y46" s="4"/>
      <c r="Z46" s="4"/>
      <c r="AA46" s="3"/>
      <c r="AB46" s="3" t="s">
        <v>1923</v>
      </c>
      <c r="AC46" s="3">
        <v>732000</v>
      </c>
      <c r="AD46" s="374"/>
      <c r="AE46" s="374"/>
      <c r="AF46" s="374"/>
      <c r="AG46" s="374"/>
      <c r="AH46" s="374"/>
      <c r="AI46" s="374"/>
      <c r="AJ46" s="374"/>
      <c r="AK46" s="374"/>
      <c r="AL46" s="374"/>
      <c r="AM46" s="4">
        <f t="shared" si="9"/>
        <v>0</v>
      </c>
      <c r="AN46" s="4">
        <f t="shared" si="10"/>
        <v>0</v>
      </c>
      <c r="AO46" s="4">
        <f t="shared" si="11"/>
        <v>0</v>
      </c>
      <c r="AP46" s="3"/>
      <c r="AQ46" s="3"/>
      <c r="AR46" s="3"/>
      <c r="AS46" s="3"/>
      <c r="AT46" s="3"/>
    </row>
    <row r="47" spans="1:48" s="5" customFormat="1" ht="30" customHeight="1">
      <c r="A47" s="3">
        <f t="shared" si="12"/>
        <v>42</v>
      </c>
      <c r="B47" s="3">
        <v>1799</v>
      </c>
      <c r="C47" s="3" t="s">
        <v>106</v>
      </c>
      <c r="D47" s="4">
        <v>1000000</v>
      </c>
      <c r="E47" s="4">
        <v>1000000</v>
      </c>
      <c r="F47" s="4">
        <f t="shared" si="0"/>
        <v>0</v>
      </c>
      <c r="G47" s="4">
        <v>350000</v>
      </c>
      <c r="H47" s="4">
        <v>183189</v>
      </c>
      <c r="I47" s="4">
        <v>32175</v>
      </c>
      <c r="J47" s="4">
        <v>6426</v>
      </c>
      <c r="K47" s="4">
        <f t="shared" si="13"/>
        <v>38601</v>
      </c>
      <c r="L47" s="4">
        <f t="shared" si="2"/>
        <v>221790</v>
      </c>
      <c r="M47" s="4">
        <f>P47+S47-100000</f>
        <v>28210</v>
      </c>
      <c r="N47" s="4">
        <f>800000-50000-200000</f>
        <v>550000</v>
      </c>
      <c r="O47" s="4">
        <f t="shared" si="3"/>
        <v>200000</v>
      </c>
      <c r="P47" s="4">
        <f t="shared" si="4"/>
        <v>128210</v>
      </c>
      <c r="Q47" s="4"/>
      <c r="R47" s="4"/>
      <c r="S47" s="4">
        <f t="shared" si="5"/>
        <v>0</v>
      </c>
      <c r="T47" s="4">
        <f t="shared" si="6"/>
        <v>100000</v>
      </c>
      <c r="U47" s="4">
        <f t="shared" si="7"/>
        <v>450000</v>
      </c>
      <c r="V47" s="4">
        <f t="shared" si="8"/>
        <v>450000</v>
      </c>
      <c r="W47" s="4"/>
      <c r="X47" s="4"/>
      <c r="Y47" s="4"/>
      <c r="Z47" s="4"/>
      <c r="AA47" s="3"/>
      <c r="AB47" s="3" t="s">
        <v>748</v>
      </c>
      <c r="AC47" s="3">
        <v>732000</v>
      </c>
      <c r="AD47" s="374"/>
      <c r="AE47" s="374"/>
      <c r="AF47" s="374"/>
      <c r="AG47" s="374"/>
      <c r="AH47" s="374"/>
      <c r="AI47" s="374"/>
      <c r="AJ47" s="374"/>
      <c r="AK47" s="374"/>
      <c r="AL47" s="374"/>
      <c r="AM47" s="4">
        <f t="shared" si="9"/>
        <v>0</v>
      </c>
      <c r="AN47" s="4">
        <f t="shared" si="10"/>
        <v>450000</v>
      </c>
      <c r="AO47" s="4">
        <f t="shared" si="11"/>
        <v>0</v>
      </c>
      <c r="AP47" s="3"/>
      <c r="AQ47" s="3"/>
      <c r="AR47" s="3"/>
      <c r="AS47" s="3"/>
      <c r="AT47" s="3"/>
    </row>
    <row r="48" spans="1:48" s="5" customFormat="1" ht="30" customHeight="1">
      <c r="A48" s="3">
        <f t="shared" si="12"/>
        <v>43</v>
      </c>
      <c r="B48" s="3">
        <v>1805</v>
      </c>
      <c r="C48" s="3" t="s">
        <v>107</v>
      </c>
      <c r="D48" s="4">
        <v>1000000</v>
      </c>
      <c r="E48" s="4">
        <v>1000000</v>
      </c>
      <c r="F48" s="4">
        <f t="shared" si="0"/>
        <v>0</v>
      </c>
      <c r="G48" s="4">
        <v>1000000</v>
      </c>
      <c r="H48" s="4">
        <v>9976</v>
      </c>
      <c r="I48" s="4">
        <v>0</v>
      </c>
      <c r="J48" s="4">
        <v>14716</v>
      </c>
      <c r="K48" s="4">
        <f t="shared" si="13"/>
        <v>14716</v>
      </c>
      <c r="L48" s="4">
        <f t="shared" si="2"/>
        <v>24692</v>
      </c>
      <c r="M48" s="4">
        <f>P48+S48-950000</f>
        <v>25308</v>
      </c>
      <c r="N48" s="4">
        <v>500000</v>
      </c>
      <c r="O48" s="4">
        <f t="shared" si="3"/>
        <v>450000</v>
      </c>
      <c r="P48" s="4">
        <f t="shared" si="4"/>
        <v>975308</v>
      </c>
      <c r="Q48" s="4"/>
      <c r="R48" s="4"/>
      <c r="S48" s="4">
        <f t="shared" si="5"/>
        <v>0</v>
      </c>
      <c r="T48" s="4">
        <f t="shared" si="6"/>
        <v>950000</v>
      </c>
      <c r="U48" s="4">
        <f t="shared" si="7"/>
        <v>-450000</v>
      </c>
      <c r="V48" s="4">
        <f t="shared" si="8"/>
        <v>-450000</v>
      </c>
      <c r="W48" s="4"/>
      <c r="X48" s="4"/>
      <c r="Y48" s="4"/>
      <c r="Z48" s="4"/>
      <c r="AA48" s="3"/>
      <c r="AB48" s="3" t="s">
        <v>519</v>
      </c>
      <c r="AC48" s="3">
        <v>742000</v>
      </c>
      <c r="AD48" s="374"/>
      <c r="AE48" s="374"/>
      <c r="AF48" s="4">
        <v>-450000</v>
      </c>
      <c r="AG48" s="374"/>
      <c r="AH48" s="374"/>
      <c r="AI48" s="374"/>
      <c r="AJ48" s="374"/>
      <c r="AK48" s="374"/>
      <c r="AL48" s="374"/>
      <c r="AM48" s="4">
        <f t="shared" si="9"/>
        <v>-450000</v>
      </c>
      <c r="AN48" s="4">
        <f t="shared" si="10"/>
        <v>0</v>
      </c>
      <c r="AO48" s="4">
        <f t="shared" si="11"/>
        <v>-450000</v>
      </c>
      <c r="AP48" s="3"/>
      <c r="AQ48" s="3"/>
      <c r="AR48" s="3"/>
      <c r="AS48" s="3"/>
      <c r="AT48" s="3"/>
    </row>
    <row r="49" spans="1:48" s="5" customFormat="1" ht="30" customHeight="1">
      <c r="A49" s="3">
        <f t="shared" si="12"/>
        <v>44</v>
      </c>
      <c r="B49" s="3">
        <v>1811</v>
      </c>
      <c r="C49" s="3" t="s">
        <v>2243</v>
      </c>
      <c r="D49" s="4">
        <v>250000</v>
      </c>
      <c r="E49" s="4">
        <v>250000</v>
      </c>
      <c r="F49" s="4">
        <f t="shared" si="0"/>
        <v>0</v>
      </c>
      <c r="G49" s="4">
        <v>250000</v>
      </c>
      <c r="H49" s="4">
        <v>0</v>
      </c>
      <c r="I49" s="4">
        <v>0</v>
      </c>
      <c r="J49" s="4">
        <v>0</v>
      </c>
      <c r="K49" s="4">
        <f t="shared" si="13"/>
        <v>0</v>
      </c>
      <c r="L49" s="4">
        <f t="shared" si="2"/>
        <v>0</v>
      </c>
      <c r="M49" s="4">
        <f>P49+S49</f>
        <v>250000</v>
      </c>
      <c r="N49" s="4"/>
      <c r="O49" s="4">
        <f t="shared" si="3"/>
        <v>0</v>
      </c>
      <c r="P49" s="4">
        <f t="shared" si="4"/>
        <v>250000</v>
      </c>
      <c r="Q49" s="4"/>
      <c r="R49" s="4"/>
      <c r="S49" s="4">
        <f t="shared" si="5"/>
        <v>0</v>
      </c>
      <c r="T49" s="4">
        <f t="shared" si="6"/>
        <v>0</v>
      </c>
      <c r="U49" s="4">
        <f t="shared" si="7"/>
        <v>0</v>
      </c>
      <c r="V49" s="4">
        <f t="shared" si="8"/>
        <v>0</v>
      </c>
      <c r="W49" s="4"/>
      <c r="X49" s="4"/>
      <c r="Y49" s="4"/>
      <c r="Z49" s="4"/>
      <c r="AA49" s="3"/>
      <c r="AB49" s="3" t="s">
        <v>1924</v>
      </c>
      <c r="AC49" s="3">
        <v>732000</v>
      </c>
      <c r="AD49" s="374"/>
      <c r="AE49" s="374"/>
      <c r="AF49" s="374"/>
      <c r="AG49" s="374"/>
      <c r="AH49" s="374"/>
      <c r="AI49" s="374"/>
      <c r="AJ49" s="374"/>
      <c r="AK49" s="374"/>
      <c r="AL49" s="374"/>
      <c r="AM49" s="4">
        <f t="shared" si="9"/>
        <v>0</v>
      </c>
      <c r="AN49" s="4">
        <f t="shared" si="10"/>
        <v>0</v>
      </c>
      <c r="AO49" s="4">
        <f t="shared" si="11"/>
        <v>0</v>
      </c>
      <c r="AP49" s="3"/>
      <c r="AQ49" s="3"/>
      <c r="AR49" s="3"/>
      <c r="AS49" s="3"/>
      <c r="AT49" s="3"/>
    </row>
    <row r="50" spans="1:48" s="399" customFormat="1" ht="30" customHeight="1">
      <c r="A50" s="3">
        <f t="shared" si="12"/>
        <v>45</v>
      </c>
      <c r="B50" s="3">
        <v>1843</v>
      </c>
      <c r="C50" s="3" t="s">
        <v>111</v>
      </c>
      <c r="D50" s="4">
        <v>380000</v>
      </c>
      <c r="E50" s="4">
        <v>380000</v>
      </c>
      <c r="F50" s="4">
        <f t="shared" si="0"/>
        <v>0</v>
      </c>
      <c r="G50" s="4">
        <v>0</v>
      </c>
      <c r="H50" s="4">
        <v>0</v>
      </c>
      <c r="I50" s="4">
        <v>0</v>
      </c>
      <c r="J50" s="4">
        <v>0</v>
      </c>
      <c r="K50" s="4">
        <f t="shared" si="13"/>
        <v>0</v>
      </c>
      <c r="L50" s="4">
        <f t="shared" si="2"/>
        <v>0</v>
      </c>
      <c r="M50" s="4">
        <f>P50+S50</f>
        <v>0</v>
      </c>
      <c r="N50" s="4">
        <v>200000</v>
      </c>
      <c r="O50" s="4">
        <f t="shared" si="3"/>
        <v>180000</v>
      </c>
      <c r="P50" s="4">
        <f t="shared" si="4"/>
        <v>0</v>
      </c>
      <c r="Q50" s="4"/>
      <c r="R50" s="4"/>
      <c r="S50" s="4">
        <f t="shared" si="5"/>
        <v>0</v>
      </c>
      <c r="T50" s="4">
        <f t="shared" si="6"/>
        <v>0</v>
      </c>
      <c r="U50" s="4">
        <f t="shared" si="7"/>
        <v>200000</v>
      </c>
      <c r="V50" s="4">
        <f t="shared" si="8"/>
        <v>200000</v>
      </c>
      <c r="W50" s="4"/>
      <c r="X50" s="4"/>
      <c r="Y50" s="4"/>
      <c r="Z50" s="4"/>
      <c r="AA50" s="3"/>
      <c r="AB50" s="3" t="s">
        <v>1925</v>
      </c>
      <c r="AC50" s="3">
        <v>732000</v>
      </c>
      <c r="AD50" s="374"/>
      <c r="AE50" s="374"/>
      <c r="AF50" s="374"/>
      <c r="AG50" s="374"/>
      <c r="AH50" s="374"/>
      <c r="AI50" s="374"/>
      <c r="AJ50" s="374"/>
      <c r="AK50" s="374"/>
      <c r="AL50" s="374"/>
      <c r="AM50" s="4">
        <f t="shared" si="9"/>
        <v>0</v>
      </c>
      <c r="AN50" s="4">
        <f t="shared" si="10"/>
        <v>200000</v>
      </c>
      <c r="AO50" s="4">
        <f t="shared" si="11"/>
        <v>0</v>
      </c>
      <c r="AP50" s="30"/>
      <c r="AQ50" s="30"/>
      <c r="AR50" s="30"/>
      <c r="AS50" s="30"/>
      <c r="AT50" s="30"/>
      <c r="AV50" s="5"/>
    </row>
    <row r="51" spans="1:48" s="5" customFormat="1" ht="30" customHeight="1">
      <c r="A51" s="3">
        <f t="shared" si="12"/>
        <v>46</v>
      </c>
      <c r="B51" s="30">
        <v>1882</v>
      </c>
      <c r="C51" s="30" t="s">
        <v>2254</v>
      </c>
      <c r="D51" s="4">
        <v>14300000</v>
      </c>
      <c r="E51" s="332">
        <v>14300000</v>
      </c>
      <c r="F51" s="4">
        <f t="shared" si="0"/>
        <v>0</v>
      </c>
      <c r="G51" s="332">
        <v>200000</v>
      </c>
      <c r="H51" s="332">
        <v>0</v>
      </c>
      <c r="I51" s="332">
        <v>0</v>
      </c>
      <c r="J51" s="332">
        <v>0</v>
      </c>
      <c r="K51" s="4">
        <f t="shared" si="13"/>
        <v>0</v>
      </c>
      <c r="L51" s="4">
        <f t="shared" si="2"/>
        <v>0</v>
      </c>
      <c r="M51" s="332">
        <f>P51+S51-200000</f>
        <v>0</v>
      </c>
      <c r="N51" s="332">
        <f>1200000-900000-50000</f>
        <v>250000</v>
      </c>
      <c r="O51" s="4">
        <f t="shared" si="3"/>
        <v>14050000</v>
      </c>
      <c r="P51" s="4">
        <f t="shared" si="4"/>
        <v>200000</v>
      </c>
      <c r="Q51" s="4"/>
      <c r="R51" s="4"/>
      <c r="S51" s="4">
        <f t="shared" si="5"/>
        <v>0</v>
      </c>
      <c r="T51" s="4">
        <f t="shared" si="6"/>
        <v>200000</v>
      </c>
      <c r="U51" s="4">
        <f t="shared" si="7"/>
        <v>50000</v>
      </c>
      <c r="V51" s="4">
        <f t="shared" si="8"/>
        <v>50000</v>
      </c>
      <c r="W51" s="332"/>
      <c r="X51" s="332"/>
      <c r="Y51" s="332"/>
      <c r="Z51" s="332"/>
      <c r="AA51" s="30"/>
      <c r="AB51" s="30" t="s">
        <v>726</v>
      </c>
      <c r="AC51" s="30">
        <v>742000</v>
      </c>
      <c r="AD51" s="374"/>
      <c r="AE51" s="4"/>
      <c r="AF51" s="4"/>
      <c r="AG51" s="4"/>
      <c r="AH51" s="4"/>
      <c r="AI51" s="4"/>
      <c r="AJ51" s="4"/>
      <c r="AK51" s="4"/>
      <c r="AL51" s="4"/>
      <c r="AM51" s="4">
        <f t="shared" si="9"/>
        <v>0</v>
      </c>
      <c r="AN51" s="4">
        <f t="shared" si="10"/>
        <v>50000</v>
      </c>
      <c r="AO51" s="4">
        <f t="shared" si="11"/>
        <v>0</v>
      </c>
      <c r="AP51" s="3"/>
      <c r="AQ51" s="3"/>
      <c r="AR51" s="3"/>
      <c r="AS51" s="3"/>
      <c r="AT51" s="3"/>
    </row>
    <row r="52" spans="1:48" s="6" customFormat="1" ht="30" customHeight="1">
      <c r="A52" s="3">
        <f t="shared" si="12"/>
        <v>47</v>
      </c>
      <c r="B52" s="3">
        <v>1937</v>
      </c>
      <c r="C52" s="3" t="s">
        <v>424</v>
      </c>
      <c r="D52" s="4">
        <v>1050000</v>
      </c>
      <c r="E52" s="4">
        <v>1050000</v>
      </c>
      <c r="F52" s="4">
        <f t="shared" si="0"/>
        <v>0</v>
      </c>
      <c r="G52" s="4">
        <v>750000</v>
      </c>
      <c r="H52" s="4">
        <v>56082</v>
      </c>
      <c r="I52" s="4">
        <v>244936</v>
      </c>
      <c r="J52" s="4">
        <v>40358</v>
      </c>
      <c r="K52" s="4">
        <f t="shared" si="13"/>
        <v>285294</v>
      </c>
      <c r="L52" s="4">
        <f t="shared" si="2"/>
        <v>341376</v>
      </c>
      <c r="M52" s="4">
        <f>P52+S52-400000</f>
        <v>8624</v>
      </c>
      <c r="N52" s="4">
        <v>300000</v>
      </c>
      <c r="O52" s="4">
        <f t="shared" si="3"/>
        <v>400000</v>
      </c>
      <c r="P52" s="4">
        <f t="shared" si="4"/>
        <v>408624</v>
      </c>
      <c r="Q52" s="4"/>
      <c r="R52" s="4"/>
      <c r="S52" s="4">
        <f t="shared" si="5"/>
        <v>0</v>
      </c>
      <c r="T52" s="4">
        <f t="shared" si="6"/>
        <v>400000</v>
      </c>
      <c r="U52" s="4">
        <f t="shared" si="7"/>
        <v>-100000</v>
      </c>
      <c r="V52" s="4">
        <f t="shared" si="8"/>
        <v>-100000</v>
      </c>
      <c r="W52" s="4"/>
      <c r="X52" s="4"/>
      <c r="Y52" s="4"/>
      <c r="Z52" s="4"/>
      <c r="AA52" s="3"/>
      <c r="AB52" s="3" t="s">
        <v>818</v>
      </c>
      <c r="AC52" s="3">
        <v>732000</v>
      </c>
      <c r="AD52" s="374"/>
      <c r="AE52" s="4">
        <v>-100000</v>
      </c>
      <c r="AF52" s="4"/>
      <c r="AG52" s="4"/>
      <c r="AH52" s="4"/>
      <c r="AI52" s="4"/>
      <c r="AJ52" s="4"/>
      <c r="AK52" s="4"/>
      <c r="AL52" s="4"/>
      <c r="AM52" s="4">
        <f t="shared" si="9"/>
        <v>-100000</v>
      </c>
      <c r="AN52" s="4">
        <f t="shared" si="10"/>
        <v>0</v>
      </c>
      <c r="AO52" s="4">
        <f t="shared" si="11"/>
        <v>-100000</v>
      </c>
      <c r="AP52" s="7"/>
      <c r="AQ52" s="7"/>
      <c r="AR52" s="7"/>
      <c r="AS52" s="7"/>
      <c r="AT52" s="7"/>
      <c r="AV52" s="5"/>
    </row>
    <row r="53" spans="1:48" s="5" customFormat="1" ht="30" customHeight="1">
      <c r="A53" s="3">
        <f>A52+1</f>
        <v>48</v>
      </c>
      <c r="B53" s="3">
        <v>1943</v>
      </c>
      <c r="C53" s="3" t="s">
        <v>1926</v>
      </c>
      <c r="D53" s="4">
        <f>6750000-400000</f>
        <v>6350000</v>
      </c>
      <c r="E53" s="4">
        <v>6750000</v>
      </c>
      <c r="F53" s="4">
        <f t="shared" si="0"/>
        <v>-400000</v>
      </c>
      <c r="G53" s="4">
        <v>6750000</v>
      </c>
      <c r="H53" s="4">
        <v>5715003</v>
      </c>
      <c r="I53" s="4">
        <v>51510</v>
      </c>
      <c r="J53" s="4">
        <v>532878</v>
      </c>
      <c r="K53" s="4">
        <f t="shared" si="13"/>
        <v>584388</v>
      </c>
      <c r="L53" s="4">
        <f t="shared" si="2"/>
        <v>6299391</v>
      </c>
      <c r="M53" s="4">
        <f>P53+S53-400000</f>
        <v>50609</v>
      </c>
      <c r="N53" s="4"/>
      <c r="O53" s="4">
        <f t="shared" si="3"/>
        <v>0</v>
      </c>
      <c r="P53" s="4">
        <f t="shared" si="4"/>
        <v>450609</v>
      </c>
      <c r="Q53" s="4"/>
      <c r="R53" s="4"/>
      <c r="S53" s="4">
        <f t="shared" si="5"/>
        <v>0</v>
      </c>
      <c r="T53" s="4">
        <f t="shared" si="6"/>
        <v>400000</v>
      </c>
      <c r="U53" s="4">
        <f t="shared" si="7"/>
        <v>-400000</v>
      </c>
      <c r="V53" s="4">
        <f t="shared" si="8"/>
        <v>-400000</v>
      </c>
      <c r="W53" s="4"/>
      <c r="X53" s="4"/>
      <c r="Y53" s="4"/>
      <c r="Z53" s="4"/>
      <c r="AA53" s="3"/>
      <c r="AB53" s="3" t="s">
        <v>1927</v>
      </c>
      <c r="AC53" s="3">
        <v>744000</v>
      </c>
      <c r="AD53" s="374"/>
      <c r="AE53" s="4"/>
      <c r="AF53" s="4"/>
      <c r="AG53" s="4"/>
      <c r="AH53" s="4"/>
      <c r="AI53" s="4">
        <v>-400000</v>
      </c>
      <c r="AJ53" s="4"/>
      <c r="AK53" s="4"/>
      <c r="AL53" s="4"/>
      <c r="AM53" s="4">
        <f t="shared" si="9"/>
        <v>-400000</v>
      </c>
      <c r="AN53" s="4">
        <f t="shared" si="10"/>
        <v>0</v>
      </c>
      <c r="AO53" s="4">
        <f t="shared" si="11"/>
        <v>-400000</v>
      </c>
      <c r="AP53" s="3"/>
      <c r="AQ53" s="3"/>
      <c r="AR53" s="3"/>
      <c r="AS53" s="3"/>
      <c r="AT53" s="3"/>
    </row>
    <row r="54" spans="1:48" s="5" customFormat="1" ht="30" customHeight="1">
      <c r="A54" s="3">
        <f t="shared" si="12"/>
        <v>49</v>
      </c>
      <c r="B54" s="3">
        <v>1950</v>
      </c>
      <c r="C54" s="30" t="s">
        <v>2244</v>
      </c>
      <c r="D54" s="4">
        <v>500000</v>
      </c>
      <c r="E54" s="4">
        <v>500000</v>
      </c>
      <c r="F54" s="4">
        <f t="shared" si="0"/>
        <v>0</v>
      </c>
      <c r="G54" s="4">
        <v>100000</v>
      </c>
      <c r="H54" s="4">
        <v>0</v>
      </c>
      <c r="I54" s="4">
        <v>0</v>
      </c>
      <c r="J54" s="4">
        <v>0</v>
      </c>
      <c r="K54" s="4">
        <f t="shared" si="13"/>
        <v>0</v>
      </c>
      <c r="L54" s="4">
        <f t="shared" si="2"/>
        <v>0</v>
      </c>
      <c r="M54" s="4">
        <f>P54+S54</f>
        <v>100000</v>
      </c>
      <c r="N54" s="4"/>
      <c r="O54" s="4">
        <f t="shared" si="3"/>
        <v>400000</v>
      </c>
      <c r="P54" s="4">
        <f t="shared" si="4"/>
        <v>100000</v>
      </c>
      <c r="Q54" s="4"/>
      <c r="R54" s="4"/>
      <c r="S54" s="4">
        <f t="shared" si="5"/>
        <v>0</v>
      </c>
      <c r="T54" s="4">
        <f t="shared" si="6"/>
        <v>0</v>
      </c>
      <c r="U54" s="4">
        <f t="shared" si="7"/>
        <v>0</v>
      </c>
      <c r="V54" s="4">
        <f t="shared" si="8"/>
        <v>0</v>
      </c>
      <c r="W54" s="4"/>
      <c r="X54" s="4"/>
      <c r="Y54" s="4"/>
      <c r="Z54" s="4"/>
      <c r="AA54" s="3"/>
      <c r="AB54" s="3" t="s">
        <v>1928</v>
      </c>
      <c r="AC54" s="3">
        <v>732000</v>
      </c>
      <c r="AD54" s="374"/>
      <c r="AE54" s="4"/>
      <c r="AF54" s="4"/>
      <c r="AG54" s="4"/>
      <c r="AH54" s="4"/>
      <c r="AI54" s="4"/>
      <c r="AJ54" s="4"/>
      <c r="AK54" s="4"/>
      <c r="AL54" s="4"/>
      <c r="AM54" s="4">
        <f t="shared" si="9"/>
        <v>0</v>
      </c>
      <c r="AN54" s="4">
        <f t="shared" si="10"/>
        <v>0</v>
      </c>
      <c r="AO54" s="4">
        <f t="shared" si="11"/>
        <v>0</v>
      </c>
      <c r="AP54" s="3"/>
      <c r="AQ54" s="3"/>
      <c r="AR54" s="3"/>
      <c r="AS54" s="3"/>
      <c r="AT54" s="3"/>
    </row>
    <row r="55" spans="1:48" s="5" customFormat="1" ht="30" customHeight="1">
      <c r="A55" s="3">
        <f t="shared" si="12"/>
        <v>50</v>
      </c>
      <c r="B55" s="3">
        <v>2009</v>
      </c>
      <c r="C55" s="3" t="s">
        <v>2258</v>
      </c>
      <c r="D55" s="4">
        <v>13700000</v>
      </c>
      <c r="E55" s="4">
        <v>9000000</v>
      </c>
      <c r="F55" s="4">
        <f t="shared" si="0"/>
        <v>4700000</v>
      </c>
      <c r="G55" s="4">
        <v>2200000</v>
      </c>
      <c r="H55" s="4">
        <v>11776</v>
      </c>
      <c r="I55" s="4">
        <v>292500</v>
      </c>
      <c r="J55" s="4">
        <v>35675</v>
      </c>
      <c r="K55" s="4">
        <f t="shared" si="13"/>
        <v>328175</v>
      </c>
      <c r="L55" s="4">
        <f t="shared" si="2"/>
        <v>339951</v>
      </c>
      <c r="M55" s="4">
        <f>P55+S55-1800000</f>
        <v>60049</v>
      </c>
      <c r="N55" s="4">
        <f>8000000-2000000-1000000</f>
        <v>5000000</v>
      </c>
      <c r="O55" s="4">
        <f t="shared" si="3"/>
        <v>8300000</v>
      </c>
      <c r="P55" s="4">
        <f t="shared" si="4"/>
        <v>1860049</v>
      </c>
      <c r="Q55" s="4"/>
      <c r="R55" s="4"/>
      <c r="S55" s="4">
        <f t="shared" si="5"/>
        <v>0</v>
      </c>
      <c r="T55" s="4">
        <f t="shared" si="6"/>
        <v>1800000</v>
      </c>
      <c r="U55" s="4">
        <f t="shared" si="7"/>
        <v>3200000</v>
      </c>
      <c r="V55" s="4">
        <f t="shared" si="8"/>
        <v>3200000</v>
      </c>
      <c r="W55" s="4"/>
      <c r="X55" s="4"/>
      <c r="Y55" s="4"/>
      <c r="Z55" s="4"/>
      <c r="AA55" s="3"/>
      <c r="AB55" s="3" t="s">
        <v>722</v>
      </c>
      <c r="AC55" s="3">
        <v>742000</v>
      </c>
      <c r="AD55" s="374"/>
      <c r="AE55" s="4"/>
      <c r="AF55" s="4"/>
      <c r="AG55" s="4"/>
      <c r="AH55" s="4"/>
      <c r="AI55" s="4"/>
      <c r="AJ55" s="4"/>
      <c r="AK55" s="4"/>
      <c r="AL55" s="4"/>
      <c r="AM55" s="4">
        <f t="shared" si="9"/>
        <v>0</v>
      </c>
      <c r="AN55" s="4">
        <f t="shared" si="10"/>
        <v>3200000</v>
      </c>
      <c r="AO55" s="4">
        <f t="shared" si="11"/>
        <v>0</v>
      </c>
      <c r="AP55" s="3"/>
      <c r="AQ55" s="3"/>
      <c r="AR55" s="3"/>
      <c r="AS55" s="3"/>
      <c r="AT55" s="3"/>
    </row>
    <row r="56" spans="1:48" s="5" customFormat="1" ht="30" customHeight="1">
      <c r="A56" s="3">
        <f t="shared" si="12"/>
        <v>51</v>
      </c>
      <c r="B56" s="3">
        <v>2014</v>
      </c>
      <c r="C56" s="3" t="s">
        <v>2245</v>
      </c>
      <c r="D56" s="4">
        <v>750000</v>
      </c>
      <c r="E56" s="4">
        <v>750000</v>
      </c>
      <c r="F56" s="4">
        <f t="shared" si="0"/>
        <v>0</v>
      </c>
      <c r="G56" s="4">
        <v>100000</v>
      </c>
      <c r="H56" s="4">
        <v>0</v>
      </c>
      <c r="I56" s="4">
        <v>0</v>
      </c>
      <c r="J56" s="4">
        <v>0</v>
      </c>
      <c r="K56" s="4">
        <f t="shared" si="13"/>
        <v>0</v>
      </c>
      <c r="L56" s="4">
        <f t="shared" si="2"/>
        <v>0</v>
      </c>
      <c r="M56" s="4">
        <f>P56+S56-100000</f>
        <v>0</v>
      </c>
      <c r="N56" s="4">
        <f>350000-50000-100000-100000</f>
        <v>100000</v>
      </c>
      <c r="O56" s="4">
        <f t="shared" si="3"/>
        <v>650000</v>
      </c>
      <c r="P56" s="4">
        <f t="shared" si="4"/>
        <v>100000</v>
      </c>
      <c r="Q56" s="4"/>
      <c r="R56" s="4"/>
      <c r="S56" s="4">
        <f t="shared" si="5"/>
        <v>0</v>
      </c>
      <c r="T56" s="4">
        <f t="shared" si="6"/>
        <v>100000</v>
      </c>
      <c r="U56" s="4">
        <f t="shared" si="7"/>
        <v>0</v>
      </c>
      <c r="V56" s="4">
        <f t="shared" si="8"/>
        <v>0</v>
      </c>
      <c r="W56" s="4"/>
      <c r="X56" s="4"/>
      <c r="Y56" s="4"/>
      <c r="Z56" s="4"/>
      <c r="AA56" s="3"/>
      <c r="AB56" s="3" t="s">
        <v>575</v>
      </c>
      <c r="AC56" s="3">
        <v>732000</v>
      </c>
      <c r="AD56" s="374"/>
      <c r="AE56" s="4"/>
      <c r="AF56" s="4"/>
      <c r="AG56" s="4"/>
      <c r="AH56" s="4"/>
      <c r="AI56" s="4"/>
      <c r="AJ56" s="4"/>
      <c r="AK56" s="4"/>
      <c r="AL56" s="4"/>
      <c r="AM56" s="4">
        <f t="shared" si="9"/>
        <v>0</v>
      </c>
      <c r="AN56" s="4">
        <f t="shared" si="10"/>
        <v>0</v>
      </c>
      <c r="AO56" s="4">
        <f t="shared" si="11"/>
        <v>0</v>
      </c>
      <c r="AP56" s="3"/>
      <c r="AQ56" s="3"/>
      <c r="AR56" s="3"/>
      <c r="AS56" s="3"/>
      <c r="AT56" s="3"/>
    </row>
    <row r="57" spans="1:48" s="6" customFormat="1" ht="30" customHeight="1">
      <c r="A57" s="3">
        <f t="shared" si="12"/>
        <v>52</v>
      </c>
      <c r="B57" s="30">
        <v>2105</v>
      </c>
      <c r="C57" s="3" t="s">
        <v>419</v>
      </c>
      <c r="D57" s="4">
        <v>60000000</v>
      </c>
      <c r="E57" s="4">
        <v>60000000</v>
      </c>
      <c r="F57" s="4">
        <f t="shared" si="0"/>
        <v>0</v>
      </c>
      <c r="G57" s="4">
        <v>1000000</v>
      </c>
      <c r="H57" s="4">
        <v>0</v>
      </c>
      <c r="I57" s="4">
        <v>0</v>
      </c>
      <c r="J57" s="4">
        <v>129838</v>
      </c>
      <c r="K57" s="4">
        <f t="shared" si="13"/>
        <v>129838</v>
      </c>
      <c r="L57" s="4">
        <f t="shared" si="2"/>
        <v>129838</v>
      </c>
      <c r="M57" s="4">
        <f>P57+S57-800000</f>
        <v>70162</v>
      </c>
      <c r="N57" s="4">
        <v>800000</v>
      </c>
      <c r="O57" s="4">
        <f t="shared" si="3"/>
        <v>59000000</v>
      </c>
      <c r="P57" s="4">
        <f t="shared" si="4"/>
        <v>870162</v>
      </c>
      <c r="Q57" s="4"/>
      <c r="R57" s="4"/>
      <c r="S57" s="4">
        <f t="shared" si="5"/>
        <v>0</v>
      </c>
      <c r="T57" s="4">
        <f t="shared" si="6"/>
        <v>800000</v>
      </c>
      <c r="U57" s="4">
        <f t="shared" si="7"/>
        <v>0</v>
      </c>
      <c r="V57" s="4">
        <f t="shared" si="8"/>
        <v>0</v>
      </c>
      <c r="W57" s="4"/>
      <c r="X57" s="4"/>
      <c r="Y57" s="4"/>
      <c r="Z57" s="4"/>
      <c r="AA57" s="3"/>
      <c r="AB57" s="3" t="s">
        <v>819</v>
      </c>
      <c r="AC57" s="3">
        <v>742000</v>
      </c>
      <c r="AD57" s="374"/>
      <c r="AE57" s="374"/>
      <c r="AF57" s="374"/>
      <c r="AG57" s="374"/>
      <c r="AH57" s="374"/>
      <c r="AI57" s="374"/>
      <c r="AJ57" s="374"/>
      <c r="AK57" s="374"/>
      <c r="AL57" s="374"/>
      <c r="AM57" s="4">
        <f t="shared" si="9"/>
        <v>0</v>
      </c>
      <c r="AN57" s="4">
        <f t="shared" si="10"/>
        <v>0</v>
      </c>
      <c r="AO57" s="4">
        <f t="shared" si="11"/>
        <v>0</v>
      </c>
      <c r="AP57" s="7"/>
      <c r="AQ57" s="7"/>
      <c r="AR57" s="7"/>
      <c r="AS57" s="7"/>
      <c r="AT57" s="7"/>
      <c r="AV57" s="5"/>
    </row>
    <row r="58" spans="1:48" s="5" customFormat="1" ht="30" customHeight="1">
      <c r="A58" s="3">
        <f t="shared" si="12"/>
        <v>53</v>
      </c>
      <c r="B58" s="30">
        <v>2107</v>
      </c>
      <c r="C58" s="3" t="s">
        <v>312</v>
      </c>
      <c r="D58" s="4">
        <v>340000</v>
      </c>
      <c r="E58" s="4">
        <v>340000</v>
      </c>
      <c r="F58" s="4">
        <f t="shared" si="0"/>
        <v>0</v>
      </c>
      <c r="G58" s="4">
        <v>340000</v>
      </c>
      <c r="H58" s="4">
        <v>0</v>
      </c>
      <c r="I58" s="4">
        <v>0</v>
      </c>
      <c r="J58" s="4">
        <v>0</v>
      </c>
      <c r="K58" s="4">
        <f t="shared" si="13"/>
        <v>0</v>
      </c>
      <c r="L58" s="4">
        <f t="shared" si="2"/>
        <v>0</v>
      </c>
      <c r="M58" s="4">
        <f>P58+S58-340000</f>
        <v>0</v>
      </c>
      <c r="N58" s="4">
        <v>340000</v>
      </c>
      <c r="O58" s="4">
        <f t="shared" si="3"/>
        <v>0</v>
      </c>
      <c r="P58" s="4">
        <f t="shared" si="4"/>
        <v>340000</v>
      </c>
      <c r="Q58" s="4"/>
      <c r="R58" s="4"/>
      <c r="S58" s="4">
        <f t="shared" si="5"/>
        <v>0</v>
      </c>
      <c r="T58" s="4">
        <f t="shared" si="6"/>
        <v>340000</v>
      </c>
      <c r="U58" s="4">
        <f t="shared" si="7"/>
        <v>0</v>
      </c>
      <c r="V58" s="4">
        <f t="shared" si="8"/>
        <v>0</v>
      </c>
      <c r="W58" s="4"/>
      <c r="X58" s="4"/>
      <c r="Y58" s="4"/>
      <c r="Z58" s="4"/>
      <c r="AA58" s="3"/>
      <c r="AB58" s="3" t="s">
        <v>1929</v>
      </c>
      <c r="AC58" s="3">
        <v>742000</v>
      </c>
      <c r="AD58" s="374"/>
      <c r="AE58" s="374"/>
      <c r="AF58" s="374"/>
      <c r="AG58" s="374"/>
      <c r="AH58" s="374"/>
      <c r="AI58" s="374"/>
      <c r="AJ58" s="374"/>
      <c r="AK58" s="374"/>
      <c r="AL58" s="374"/>
      <c r="AM58" s="4">
        <f t="shared" si="9"/>
        <v>0</v>
      </c>
      <c r="AN58" s="4">
        <f t="shared" si="10"/>
        <v>0</v>
      </c>
      <c r="AO58" s="4">
        <f t="shared" si="11"/>
        <v>0</v>
      </c>
      <c r="AP58" s="3"/>
      <c r="AQ58" s="3"/>
      <c r="AR58" s="3"/>
      <c r="AS58" s="3"/>
      <c r="AT58" s="3"/>
    </row>
    <row r="59" spans="1:48" s="5" customFormat="1" ht="30" customHeight="1">
      <c r="A59" s="3">
        <f t="shared" si="12"/>
        <v>54</v>
      </c>
      <c r="B59" s="3">
        <v>2112</v>
      </c>
      <c r="C59" s="3" t="s">
        <v>480</v>
      </c>
      <c r="D59" s="4">
        <v>7650000</v>
      </c>
      <c r="E59" s="4">
        <v>7650000</v>
      </c>
      <c r="F59" s="4">
        <f t="shared" si="0"/>
        <v>0</v>
      </c>
      <c r="G59" s="4">
        <v>2160000</v>
      </c>
      <c r="H59" s="4">
        <v>0</v>
      </c>
      <c r="I59" s="4">
        <v>0</v>
      </c>
      <c r="J59" s="4">
        <v>13843</v>
      </c>
      <c r="K59" s="4">
        <f t="shared" si="13"/>
        <v>13843</v>
      </c>
      <c r="L59" s="4">
        <f t="shared" si="2"/>
        <v>13843</v>
      </c>
      <c r="M59" s="4">
        <f>P59+S59-2100000</f>
        <v>46157</v>
      </c>
      <c r="N59" s="4">
        <v>2100000</v>
      </c>
      <c r="O59" s="4">
        <f t="shared" si="3"/>
        <v>5490000</v>
      </c>
      <c r="P59" s="4">
        <f t="shared" si="4"/>
        <v>2146157</v>
      </c>
      <c r="Q59" s="4"/>
      <c r="R59" s="4"/>
      <c r="S59" s="4">
        <f t="shared" si="5"/>
        <v>0</v>
      </c>
      <c r="T59" s="4">
        <f t="shared" si="6"/>
        <v>2100000</v>
      </c>
      <c r="U59" s="4">
        <f t="shared" si="7"/>
        <v>0</v>
      </c>
      <c r="V59" s="4">
        <f t="shared" si="8"/>
        <v>0</v>
      </c>
      <c r="W59" s="4"/>
      <c r="X59" s="4"/>
      <c r="Y59" s="4"/>
      <c r="Z59" s="4"/>
      <c r="AA59" s="3"/>
      <c r="AB59" s="255" t="s">
        <v>820</v>
      </c>
      <c r="AC59" s="3">
        <v>732000</v>
      </c>
      <c r="AD59" s="374"/>
      <c r="AE59" s="374"/>
      <c r="AF59" s="374"/>
      <c r="AG59" s="374"/>
      <c r="AH59" s="374"/>
      <c r="AI59" s="374"/>
      <c r="AJ59" s="374"/>
      <c r="AK59" s="374"/>
      <c r="AL59" s="374"/>
      <c r="AM59" s="4">
        <f t="shared" si="9"/>
        <v>0</v>
      </c>
      <c r="AN59" s="4">
        <f t="shared" si="10"/>
        <v>0</v>
      </c>
      <c r="AO59" s="4">
        <f t="shared" si="11"/>
        <v>0</v>
      </c>
      <c r="AP59" s="3"/>
      <c r="AQ59" s="3"/>
      <c r="AR59" s="3"/>
      <c r="AS59" s="3"/>
      <c r="AT59" s="3"/>
    </row>
    <row r="60" spans="1:48" s="6" customFormat="1" ht="30" customHeight="1">
      <c r="A60" s="3">
        <f t="shared" si="12"/>
        <v>55</v>
      </c>
      <c r="B60" s="3">
        <v>2113</v>
      </c>
      <c r="C60" s="3" t="s">
        <v>316</v>
      </c>
      <c r="D60" s="4">
        <v>2550000</v>
      </c>
      <c r="E60" s="4">
        <v>2550000</v>
      </c>
      <c r="F60" s="4">
        <f t="shared" si="0"/>
        <v>0</v>
      </c>
      <c r="G60" s="4">
        <v>200000</v>
      </c>
      <c r="H60" s="4">
        <v>0</v>
      </c>
      <c r="I60" s="4">
        <v>0</v>
      </c>
      <c r="J60" s="4">
        <v>0</v>
      </c>
      <c r="K60" s="4">
        <f t="shared" si="13"/>
        <v>0</v>
      </c>
      <c r="L60" s="4">
        <f t="shared" si="2"/>
        <v>0</v>
      </c>
      <c r="M60" s="4">
        <f>P60+S60-200000</f>
        <v>0</v>
      </c>
      <c r="N60" s="4">
        <v>200000</v>
      </c>
      <c r="O60" s="4">
        <f t="shared" si="3"/>
        <v>2350000</v>
      </c>
      <c r="P60" s="4">
        <f t="shared" si="4"/>
        <v>200000</v>
      </c>
      <c r="Q60" s="4"/>
      <c r="R60" s="4"/>
      <c r="S60" s="4">
        <f t="shared" si="5"/>
        <v>0</v>
      </c>
      <c r="T60" s="4">
        <f t="shared" si="6"/>
        <v>200000</v>
      </c>
      <c r="U60" s="4">
        <f t="shared" si="7"/>
        <v>0</v>
      </c>
      <c r="V60" s="4">
        <f t="shared" si="8"/>
        <v>0</v>
      </c>
      <c r="W60" s="4"/>
      <c r="X60" s="4"/>
      <c r="Y60" s="4"/>
      <c r="Z60" s="4"/>
      <c r="AA60" s="3"/>
      <c r="AB60" s="255" t="s">
        <v>821</v>
      </c>
      <c r="AC60" s="3">
        <v>732000</v>
      </c>
      <c r="AD60" s="374"/>
      <c r="AE60" s="374"/>
      <c r="AF60" s="374"/>
      <c r="AG60" s="374"/>
      <c r="AH60" s="374"/>
      <c r="AI60" s="374"/>
      <c r="AJ60" s="374"/>
      <c r="AK60" s="374"/>
      <c r="AL60" s="374"/>
      <c r="AM60" s="4">
        <f t="shared" si="9"/>
        <v>0</v>
      </c>
      <c r="AN60" s="4">
        <f t="shared" si="10"/>
        <v>0</v>
      </c>
      <c r="AO60" s="4">
        <f t="shared" si="11"/>
        <v>0</v>
      </c>
      <c r="AP60" s="7"/>
      <c r="AQ60" s="7"/>
      <c r="AR60" s="7"/>
      <c r="AS60" s="7"/>
      <c r="AT60" s="7"/>
      <c r="AV60" s="5"/>
    </row>
    <row r="61" spans="1:48" s="6" customFormat="1" ht="30" customHeight="1">
      <c r="A61" s="3">
        <f t="shared" si="12"/>
        <v>56</v>
      </c>
      <c r="B61" s="3">
        <v>2114</v>
      </c>
      <c r="C61" s="3" t="s">
        <v>398</v>
      </c>
      <c r="D61" s="4">
        <v>1450000</v>
      </c>
      <c r="E61" s="4">
        <v>1450000</v>
      </c>
      <c r="F61" s="4">
        <f t="shared" si="0"/>
        <v>0</v>
      </c>
      <c r="G61" s="4">
        <v>850000</v>
      </c>
      <c r="H61" s="4">
        <v>0</v>
      </c>
      <c r="I61" s="4">
        <v>44352</v>
      </c>
      <c r="J61" s="4">
        <v>0</v>
      </c>
      <c r="K61" s="4">
        <f t="shared" si="13"/>
        <v>44352</v>
      </c>
      <c r="L61" s="4">
        <f t="shared" si="2"/>
        <v>44352</v>
      </c>
      <c r="M61" s="4">
        <f>P61+S61-800000</f>
        <v>5648</v>
      </c>
      <c r="N61" s="4">
        <f>800000-200000</f>
        <v>600000</v>
      </c>
      <c r="O61" s="4">
        <f t="shared" si="3"/>
        <v>800000</v>
      </c>
      <c r="P61" s="4">
        <f t="shared" si="4"/>
        <v>805648</v>
      </c>
      <c r="Q61" s="4"/>
      <c r="R61" s="4"/>
      <c r="S61" s="4">
        <f t="shared" si="5"/>
        <v>0</v>
      </c>
      <c r="T61" s="4">
        <f t="shared" si="6"/>
        <v>800000</v>
      </c>
      <c r="U61" s="4">
        <f t="shared" si="7"/>
        <v>-200000</v>
      </c>
      <c r="V61" s="4">
        <f t="shared" si="8"/>
        <v>-200000</v>
      </c>
      <c r="W61" s="4"/>
      <c r="X61" s="4"/>
      <c r="Y61" s="4"/>
      <c r="Z61" s="4"/>
      <c r="AA61" s="3"/>
      <c r="AB61" s="3" t="s">
        <v>753</v>
      </c>
      <c r="AC61" s="3">
        <v>732000</v>
      </c>
      <c r="AD61" s="4">
        <v>-200000</v>
      </c>
      <c r="AE61" s="374"/>
      <c r="AF61" s="374"/>
      <c r="AG61" s="374"/>
      <c r="AH61" s="374"/>
      <c r="AI61" s="374"/>
      <c r="AJ61" s="374"/>
      <c r="AK61" s="374"/>
      <c r="AL61" s="374"/>
      <c r="AM61" s="4">
        <f t="shared" si="9"/>
        <v>-200000</v>
      </c>
      <c r="AN61" s="4">
        <f t="shared" si="10"/>
        <v>0</v>
      </c>
      <c r="AO61" s="4">
        <f t="shared" si="11"/>
        <v>-200000</v>
      </c>
      <c r="AP61" s="7"/>
      <c r="AQ61" s="7"/>
      <c r="AR61" s="7"/>
      <c r="AS61" s="7"/>
      <c r="AT61" s="7"/>
      <c r="AV61" s="5"/>
    </row>
    <row r="62" spans="1:48" s="6" customFormat="1" ht="30" customHeight="1">
      <c r="A62" s="3">
        <f t="shared" si="12"/>
        <v>57</v>
      </c>
      <c r="B62" s="3">
        <v>2117</v>
      </c>
      <c r="C62" s="3" t="s">
        <v>729</v>
      </c>
      <c r="D62" s="4">
        <v>750000</v>
      </c>
      <c r="E62" s="4">
        <v>600000</v>
      </c>
      <c r="F62" s="4">
        <f t="shared" si="0"/>
        <v>150000</v>
      </c>
      <c r="G62" s="4">
        <v>600000</v>
      </c>
      <c r="H62" s="4">
        <v>0</v>
      </c>
      <c r="I62" s="4">
        <v>0</v>
      </c>
      <c r="J62" s="4">
        <v>0</v>
      </c>
      <c r="K62" s="4">
        <f t="shared" si="13"/>
        <v>0</v>
      </c>
      <c r="L62" s="4">
        <f t="shared" si="2"/>
        <v>0</v>
      </c>
      <c r="M62" s="4">
        <f>P62+S62-600000</f>
        <v>0</v>
      </c>
      <c r="N62" s="4">
        <f>600000-200000</f>
        <v>400000</v>
      </c>
      <c r="O62" s="4">
        <f t="shared" si="3"/>
        <v>350000</v>
      </c>
      <c r="P62" s="4">
        <f t="shared" si="4"/>
        <v>600000</v>
      </c>
      <c r="Q62" s="4"/>
      <c r="R62" s="4"/>
      <c r="S62" s="4">
        <f t="shared" si="5"/>
        <v>0</v>
      </c>
      <c r="T62" s="4">
        <f t="shared" si="6"/>
        <v>600000</v>
      </c>
      <c r="U62" s="4">
        <f t="shared" si="7"/>
        <v>-200000</v>
      </c>
      <c r="V62" s="4">
        <f t="shared" si="8"/>
        <v>-200000</v>
      </c>
      <c r="W62" s="8"/>
      <c r="X62" s="8"/>
      <c r="Y62" s="8"/>
      <c r="Z62" s="8"/>
      <c r="AA62" s="8"/>
      <c r="AB62" s="3" t="s">
        <v>730</v>
      </c>
      <c r="AC62" s="3">
        <v>732000</v>
      </c>
      <c r="AD62" s="4">
        <v>-200000</v>
      </c>
      <c r="AE62" s="374"/>
      <c r="AF62" s="374"/>
      <c r="AG62" s="374"/>
      <c r="AH62" s="374"/>
      <c r="AI62" s="374"/>
      <c r="AJ62" s="374"/>
      <c r="AK62" s="374"/>
      <c r="AL62" s="374"/>
      <c r="AM62" s="4">
        <f t="shared" si="9"/>
        <v>-200000</v>
      </c>
      <c r="AN62" s="4">
        <f t="shared" si="10"/>
        <v>0</v>
      </c>
      <c r="AO62" s="4">
        <f t="shared" si="11"/>
        <v>-200000</v>
      </c>
      <c r="AP62" s="7"/>
      <c r="AQ62" s="7"/>
      <c r="AR62" s="7"/>
      <c r="AS62" s="7"/>
      <c r="AT62" s="7"/>
      <c r="AV62" s="5"/>
    </row>
    <row r="63" spans="1:48" s="5" customFormat="1" ht="30" customHeight="1">
      <c r="A63" s="3">
        <f t="shared" si="12"/>
        <v>58</v>
      </c>
      <c r="B63" s="30">
        <v>2121</v>
      </c>
      <c r="C63" s="3" t="s">
        <v>420</v>
      </c>
      <c r="D63" s="4">
        <v>300000</v>
      </c>
      <c r="E63" s="4">
        <v>300000</v>
      </c>
      <c r="F63" s="4">
        <f t="shared" si="0"/>
        <v>0</v>
      </c>
      <c r="G63" s="4">
        <v>300000</v>
      </c>
      <c r="H63" s="4">
        <v>45958</v>
      </c>
      <c r="I63" s="4">
        <v>0</v>
      </c>
      <c r="J63" s="4">
        <v>46309</v>
      </c>
      <c r="K63" s="4">
        <f t="shared" si="13"/>
        <v>46309</v>
      </c>
      <c r="L63" s="4">
        <f t="shared" si="2"/>
        <v>92267</v>
      </c>
      <c r="M63" s="4">
        <f>P63+S63</f>
        <v>207733</v>
      </c>
      <c r="N63" s="4"/>
      <c r="O63" s="4">
        <f t="shared" si="3"/>
        <v>0</v>
      </c>
      <c r="P63" s="4">
        <f t="shared" si="4"/>
        <v>207733</v>
      </c>
      <c r="Q63" s="4"/>
      <c r="R63" s="4"/>
      <c r="S63" s="4">
        <f t="shared" si="5"/>
        <v>0</v>
      </c>
      <c r="T63" s="4">
        <f t="shared" si="6"/>
        <v>0</v>
      </c>
      <c r="U63" s="4">
        <f t="shared" si="7"/>
        <v>0</v>
      </c>
      <c r="V63" s="4">
        <f t="shared" si="8"/>
        <v>0</v>
      </c>
      <c r="W63" s="4"/>
      <c r="X63" s="4"/>
      <c r="Y63" s="4"/>
      <c r="Z63" s="4"/>
      <c r="AA63" s="4"/>
      <c r="AB63" s="3" t="s">
        <v>421</v>
      </c>
      <c r="AC63" s="3">
        <v>742000</v>
      </c>
      <c r="AD63" s="374"/>
      <c r="AE63" s="374"/>
      <c r="AF63" s="374"/>
      <c r="AG63" s="374"/>
      <c r="AH63" s="374"/>
      <c r="AI63" s="374"/>
      <c r="AJ63" s="374"/>
      <c r="AK63" s="374"/>
      <c r="AL63" s="374"/>
      <c r="AM63" s="4">
        <f t="shared" si="9"/>
        <v>0</v>
      </c>
      <c r="AN63" s="4">
        <f t="shared" si="10"/>
        <v>0</v>
      </c>
      <c r="AO63" s="4">
        <f t="shared" si="11"/>
        <v>0</v>
      </c>
      <c r="AP63" s="3"/>
      <c r="AQ63" s="3"/>
      <c r="AR63" s="3"/>
      <c r="AS63" s="3"/>
      <c r="AT63" s="3"/>
    </row>
    <row r="64" spans="1:48" s="5" customFormat="1" ht="30" customHeight="1">
      <c r="A64" s="3">
        <f t="shared" si="12"/>
        <v>59</v>
      </c>
      <c r="B64" s="30">
        <v>2122</v>
      </c>
      <c r="C64" s="3" t="s">
        <v>477</v>
      </c>
      <c r="D64" s="4">
        <v>300000</v>
      </c>
      <c r="E64" s="4">
        <v>300000</v>
      </c>
      <c r="F64" s="4">
        <f t="shared" si="0"/>
        <v>0</v>
      </c>
      <c r="G64" s="4">
        <v>300000</v>
      </c>
      <c r="H64" s="4">
        <v>28641</v>
      </c>
      <c r="I64" s="4">
        <v>0</v>
      </c>
      <c r="J64" s="4">
        <v>30789</v>
      </c>
      <c r="K64" s="4">
        <f t="shared" si="13"/>
        <v>30789</v>
      </c>
      <c r="L64" s="4">
        <f t="shared" si="2"/>
        <v>59430</v>
      </c>
      <c r="M64" s="4">
        <f>P64+S64</f>
        <v>240570</v>
      </c>
      <c r="N64" s="4"/>
      <c r="O64" s="4">
        <f t="shared" si="3"/>
        <v>0</v>
      </c>
      <c r="P64" s="4">
        <f t="shared" si="4"/>
        <v>240570</v>
      </c>
      <c r="Q64" s="4"/>
      <c r="R64" s="4"/>
      <c r="S64" s="4">
        <f t="shared" si="5"/>
        <v>0</v>
      </c>
      <c r="T64" s="4">
        <f t="shared" si="6"/>
        <v>0</v>
      </c>
      <c r="U64" s="4">
        <f t="shared" si="7"/>
        <v>0</v>
      </c>
      <c r="V64" s="4">
        <f t="shared" si="8"/>
        <v>0</v>
      </c>
      <c r="W64" s="4"/>
      <c r="X64" s="4"/>
      <c r="Y64" s="4"/>
      <c r="Z64" s="4"/>
      <c r="AA64" s="4"/>
      <c r="AB64" s="3" t="s">
        <v>731</v>
      </c>
      <c r="AC64" s="3">
        <v>742000</v>
      </c>
      <c r="AD64" s="374"/>
      <c r="AE64" s="374"/>
      <c r="AF64" s="374"/>
      <c r="AG64" s="374"/>
      <c r="AH64" s="374"/>
      <c r="AI64" s="374"/>
      <c r="AJ64" s="374"/>
      <c r="AK64" s="374"/>
      <c r="AL64" s="374"/>
      <c r="AM64" s="4">
        <f t="shared" si="9"/>
        <v>0</v>
      </c>
      <c r="AN64" s="4">
        <f t="shared" si="10"/>
        <v>0</v>
      </c>
      <c r="AO64" s="4">
        <f t="shared" si="11"/>
        <v>0</v>
      </c>
      <c r="AP64" s="3"/>
      <c r="AQ64" s="3"/>
      <c r="AR64" s="3"/>
      <c r="AS64" s="3"/>
      <c r="AT64" s="3"/>
    </row>
    <row r="65" spans="1:46" s="5" customFormat="1" ht="30" customHeight="1">
      <c r="A65" s="3">
        <f t="shared" si="12"/>
        <v>60</v>
      </c>
      <c r="B65" s="30">
        <v>2123</v>
      </c>
      <c r="C65" s="3" t="s">
        <v>478</v>
      </c>
      <c r="D65" s="4">
        <v>750000</v>
      </c>
      <c r="E65" s="4">
        <v>750000</v>
      </c>
      <c r="F65" s="4">
        <f t="shared" si="0"/>
        <v>0</v>
      </c>
      <c r="G65" s="4">
        <v>750000</v>
      </c>
      <c r="H65" s="4">
        <v>14281</v>
      </c>
      <c r="I65" s="4">
        <v>0</v>
      </c>
      <c r="J65" s="4">
        <v>11350</v>
      </c>
      <c r="K65" s="4">
        <f t="shared" si="13"/>
        <v>11350</v>
      </c>
      <c r="L65" s="4">
        <f t="shared" si="2"/>
        <v>25631</v>
      </c>
      <c r="M65" s="4">
        <f>P65+S65</f>
        <v>724369</v>
      </c>
      <c r="N65" s="4"/>
      <c r="O65" s="4">
        <f t="shared" si="3"/>
        <v>0</v>
      </c>
      <c r="P65" s="4">
        <f t="shared" si="4"/>
        <v>724369</v>
      </c>
      <c r="Q65" s="4"/>
      <c r="R65" s="4"/>
      <c r="S65" s="4">
        <f t="shared" si="5"/>
        <v>0</v>
      </c>
      <c r="T65" s="4">
        <f t="shared" si="6"/>
        <v>0</v>
      </c>
      <c r="U65" s="4">
        <f t="shared" si="7"/>
        <v>0</v>
      </c>
      <c r="V65" s="4">
        <f t="shared" si="8"/>
        <v>0</v>
      </c>
      <c r="W65" s="4"/>
      <c r="X65" s="4"/>
      <c r="Y65" s="4"/>
      <c r="Z65" s="4"/>
      <c r="AA65" s="4"/>
      <c r="AB65" s="3" t="s">
        <v>427</v>
      </c>
      <c r="AC65" s="3">
        <v>742000</v>
      </c>
      <c r="AD65" s="374"/>
      <c r="AE65" s="374"/>
      <c r="AF65" s="374"/>
      <c r="AG65" s="374"/>
      <c r="AH65" s="374"/>
      <c r="AI65" s="374"/>
      <c r="AJ65" s="374"/>
      <c r="AK65" s="374"/>
      <c r="AL65" s="374"/>
      <c r="AM65" s="4">
        <f t="shared" si="9"/>
        <v>0</v>
      </c>
      <c r="AN65" s="4">
        <f t="shared" si="10"/>
        <v>0</v>
      </c>
      <c r="AO65" s="4">
        <f t="shared" si="11"/>
        <v>0</v>
      </c>
      <c r="AP65" s="3"/>
      <c r="AQ65" s="3"/>
      <c r="AR65" s="3"/>
      <c r="AS65" s="3"/>
      <c r="AT65" s="3"/>
    </row>
    <row r="66" spans="1:46" s="5" customFormat="1" ht="30" customHeight="1">
      <c r="A66" s="3">
        <f t="shared" si="12"/>
        <v>61</v>
      </c>
      <c r="B66" s="30">
        <v>2141</v>
      </c>
      <c r="C66" s="3" t="s">
        <v>520</v>
      </c>
      <c r="D66" s="4">
        <v>640000</v>
      </c>
      <c r="E66" s="4">
        <v>640000</v>
      </c>
      <c r="F66" s="4">
        <f t="shared" si="0"/>
        <v>0</v>
      </c>
      <c r="G66" s="4">
        <v>0</v>
      </c>
      <c r="H66" s="4">
        <v>0</v>
      </c>
      <c r="I66" s="4">
        <v>0</v>
      </c>
      <c r="J66" s="4">
        <v>0</v>
      </c>
      <c r="K66" s="4">
        <f t="shared" si="13"/>
        <v>0</v>
      </c>
      <c r="L66" s="4">
        <f t="shared" si="2"/>
        <v>0</v>
      </c>
      <c r="M66" s="4">
        <f>P66+S66</f>
        <v>0</v>
      </c>
      <c r="N66" s="4">
        <f>220000-220000</f>
        <v>0</v>
      </c>
      <c r="O66" s="4">
        <f t="shared" si="3"/>
        <v>640000</v>
      </c>
      <c r="P66" s="4">
        <f t="shared" si="4"/>
        <v>0</v>
      </c>
      <c r="Q66" s="4"/>
      <c r="R66" s="4"/>
      <c r="S66" s="4">
        <f t="shared" si="5"/>
        <v>0</v>
      </c>
      <c r="T66" s="4">
        <f t="shared" si="6"/>
        <v>0</v>
      </c>
      <c r="U66" s="4">
        <f t="shared" si="7"/>
        <v>0</v>
      </c>
      <c r="V66" s="4">
        <f t="shared" si="8"/>
        <v>0</v>
      </c>
      <c r="W66" s="4"/>
      <c r="X66" s="4"/>
      <c r="Y66" s="4"/>
      <c r="Z66" s="4"/>
      <c r="AA66" s="4"/>
      <c r="AB66" s="3" t="s">
        <v>822</v>
      </c>
      <c r="AC66" s="3">
        <v>732000</v>
      </c>
      <c r="AD66" s="374"/>
      <c r="AE66" s="374"/>
      <c r="AF66" s="374"/>
      <c r="AG66" s="374"/>
      <c r="AH66" s="374"/>
      <c r="AI66" s="374"/>
      <c r="AJ66" s="374"/>
      <c r="AK66" s="374"/>
      <c r="AL66" s="374"/>
      <c r="AM66" s="4">
        <f t="shared" si="9"/>
        <v>0</v>
      </c>
      <c r="AN66" s="4">
        <f t="shared" si="10"/>
        <v>0</v>
      </c>
      <c r="AO66" s="4">
        <f t="shared" si="11"/>
        <v>0</v>
      </c>
      <c r="AP66" s="3"/>
      <c r="AQ66" s="3"/>
      <c r="AR66" s="3"/>
      <c r="AS66" s="3"/>
      <c r="AT66" s="3"/>
    </row>
    <row r="67" spans="1:46" s="5" customFormat="1" ht="30" customHeight="1">
      <c r="A67" s="3">
        <f t="shared" si="12"/>
        <v>62</v>
      </c>
      <c r="B67" s="30">
        <v>2142</v>
      </c>
      <c r="C67" s="3" t="s">
        <v>568</v>
      </c>
      <c r="D67" s="4">
        <v>4000000</v>
      </c>
      <c r="E67" s="4">
        <v>2400000</v>
      </c>
      <c r="F67" s="4">
        <f t="shared" si="0"/>
        <v>1600000</v>
      </c>
      <c r="G67" s="4">
        <v>2400000</v>
      </c>
      <c r="H67" s="4">
        <v>103181</v>
      </c>
      <c r="I67" s="4">
        <v>0</v>
      </c>
      <c r="J67" s="4">
        <v>134448</v>
      </c>
      <c r="K67" s="4">
        <f t="shared" si="13"/>
        <v>134448</v>
      </c>
      <c r="L67" s="4">
        <f t="shared" si="2"/>
        <v>237629</v>
      </c>
      <c r="M67" s="4">
        <f>P67+S67-2100000</f>
        <v>62371</v>
      </c>
      <c r="N67" s="4">
        <f>4000000-300000-300000</f>
        <v>3400000</v>
      </c>
      <c r="O67" s="4">
        <f t="shared" si="3"/>
        <v>300000</v>
      </c>
      <c r="P67" s="4">
        <f t="shared" si="4"/>
        <v>2162371</v>
      </c>
      <c r="Q67" s="4"/>
      <c r="R67" s="4"/>
      <c r="S67" s="4">
        <f t="shared" si="5"/>
        <v>0</v>
      </c>
      <c r="T67" s="4">
        <f t="shared" si="6"/>
        <v>2100000</v>
      </c>
      <c r="U67" s="4">
        <f t="shared" si="7"/>
        <v>1300000</v>
      </c>
      <c r="V67" s="4">
        <f t="shared" si="8"/>
        <v>1300000</v>
      </c>
      <c r="W67" s="4"/>
      <c r="X67" s="4"/>
      <c r="Y67" s="4"/>
      <c r="Z67" s="4"/>
      <c r="AA67" s="4"/>
      <c r="AB67" s="3" t="s">
        <v>569</v>
      </c>
      <c r="AC67" s="3">
        <v>742000</v>
      </c>
      <c r="AD67" s="374"/>
      <c r="AE67" s="374"/>
      <c r="AF67" s="374"/>
      <c r="AG67" s="374"/>
      <c r="AH67" s="374"/>
      <c r="AI67" s="374"/>
      <c r="AJ67" s="374"/>
      <c r="AK67" s="4">
        <v>1000000</v>
      </c>
      <c r="AL67" s="4"/>
      <c r="AM67" s="4">
        <f t="shared" si="9"/>
        <v>1000000</v>
      </c>
      <c r="AN67" s="4">
        <f t="shared" si="10"/>
        <v>300000</v>
      </c>
      <c r="AO67" s="4">
        <f t="shared" si="11"/>
        <v>1000000</v>
      </c>
      <c r="AP67" s="3"/>
      <c r="AQ67" s="3"/>
      <c r="AR67" s="3"/>
      <c r="AS67" s="3"/>
      <c r="AT67" s="3"/>
    </row>
    <row r="68" spans="1:46" s="5" customFormat="1" ht="30" customHeight="1">
      <c r="A68" s="3">
        <f t="shared" si="12"/>
        <v>63</v>
      </c>
      <c r="B68" s="30">
        <v>2143</v>
      </c>
      <c r="C68" s="3" t="s">
        <v>570</v>
      </c>
      <c r="D68" s="4">
        <v>500000</v>
      </c>
      <c r="E68" s="4">
        <v>500000</v>
      </c>
      <c r="F68" s="4">
        <f t="shared" si="0"/>
        <v>0</v>
      </c>
      <c r="G68" s="4">
        <v>500000</v>
      </c>
      <c r="H68" s="4">
        <v>0</v>
      </c>
      <c r="I68" s="4">
        <v>0</v>
      </c>
      <c r="J68" s="4">
        <v>0</v>
      </c>
      <c r="K68" s="4">
        <f t="shared" si="13"/>
        <v>0</v>
      </c>
      <c r="L68" s="4">
        <f t="shared" si="2"/>
        <v>0</v>
      </c>
      <c r="M68" s="4">
        <f>P68+S68-500000</f>
        <v>0</v>
      </c>
      <c r="N68" s="4">
        <v>500000</v>
      </c>
      <c r="O68" s="4">
        <f t="shared" si="3"/>
        <v>0</v>
      </c>
      <c r="P68" s="4">
        <f t="shared" si="4"/>
        <v>500000</v>
      </c>
      <c r="Q68" s="4"/>
      <c r="R68" s="4"/>
      <c r="S68" s="4">
        <f t="shared" si="5"/>
        <v>0</v>
      </c>
      <c r="T68" s="4">
        <f t="shared" si="6"/>
        <v>500000</v>
      </c>
      <c r="U68" s="4">
        <f t="shared" si="7"/>
        <v>0</v>
      </c>
      <c r="V68" s="4">
        <f t="shared" si="8"/>
        <v>0</v>
      </c>
      <c r="W68" s="4"/>
      <c r="X68" s="4"/>
      <c r="Y68" s="4"/>
      <c r="Z68" s="4"/>
      <c r="AA68" s="4"/>
      <c r="AB68" s="3" t="s">
        <v>732</v>
      </c>
      <c r="AC68" s="3">
        <v>732000</v>
      </c>
      <c r="AD68" s="374"/>
      <c r="AE68" s="374"/>
      <c r="AF68" s="374"/>
      <c r="AG68" s="374"/>
      <c r="AH68" s="374"/>
      <c r="AI68" s="374"/>
      <c r="AJ68" s="374"/>
      <c r="AK68" s="374"/>
      <c r="AL68" s="374"/>
      <c r="AM68" s="4">
        <f t="shared" si="9"/>
        <v>0</v>
      </c>
      <c r="AN68" s="4">
        <f t="shared" si="10"/>
        <v>0</v>
      </c>
      <c r="AO68" s="4">
        <f t="shared" si="11"/>
        <v>0</v>
      </c>
      <c r="AP68" s="3"/>
      <c r="AQ68" s="3"/>
      <c r="AR68" s="3"/>
      <c r="AS68" s="3"/>
      <c r="AT68" s="3"/>
    </row>
    <row r="69" spans="1:46" s="5" customFormat="1" ht="30" customHeight="1">
      <c r="A69" s="3">
        <f t="shared" si="12"/>
        <v>64</v>
      </c>
      <c r="B69" s="30">
        <v>2144</v>
      </c>
      <c r="C69" s="3" t="s">
        <v>574</v>
      </c>
      <c r="D69" s="4">
        <v>500000</v>
      </c>
      <c r="E69" s="4">
        <v>500000</v>
      </c>
      <c r="F69" s="4">
        <f t="shared" si="0"/>
        <v>0</v>
      </c>
      <c r="G69" s="4">
        <v>500000</v>
      </c>
      <c r="H69" s="4">
        <v>0</v>
      </c>
      <c r="I69" s="4">
        <v>0</v>
      </c>
      <c r="J69" s="4">
        <v>5850</v>
      </c>
      <c r="K69" s="4">
        <f t="shared" si="13"/>
        <v>5850</v>
      </c>
      <c r="L69" s="4">
        <f t="shared" si="2"/>
        <v>5850</v>
      </c>
      <c r="M69" s="4">
        <f>P69+S69-450000</f>
        <v>44150</v>
      </c>
      <c r="N69" s="4">
        <v>450000</v>
      </c>
      <c r="O69" s="4">
        <f t="shared" si="3"/>
        <v>0</v>
      </c>
      <c r="P69" s="4">
        <f t="shared" si="4"/>
        <v>494150</v>
      </c>
      <c r="Q69" s="4"/>
      <c r="R69" s="4"/>
      <c r="S69" s="4">
        <f t="shared" si="5"/>
        <v>0</v>
      </c>
      <c r="T69" s="4">
        <f t="shared" si="6"/>
        <v>450000</v>
      </c>
      <c r="U69" s="4">
        <f t="shared" si="7"/>
        <v>0</v>
      </c>
      <c r="V69" s="4">
        <f t="shared" si="8"/>
        <v>0</v>
      </c>
      <c r="W69" s="4"/>
      <c r="X69" s="4"/>
      <c r="Y69" s="4"/>
      <c r="Z69" s="4"/>
      <c r="AA69" s="4"/>
      <c r="AB69" s="3" t="s">
        <v>603</v>
      </c>
      <c r="AC69" s="3">
        <v>732000</v>
      </c>
      <c r="AD69" s="374"/>
      <c r="AE69" s="374"/>
      <c r="AF69" s="374"/>
      <c r="AG69" s="374"/>
      <c r="AH69" s="374"/>
      <c r="AI69" s="374"/>
      <c r="AJ69" s="374"/>
      <c r="AK69" s="374"/>
      <c r="AL69" s="374"/>
      <c r="AM69" s="4">
        <f t="shared" si="9"/>
        <v>0</v>
      </c>
      <c r="AN69" s="4">
        <f t="shared" si="10"/>
        <v>0</v>
      </c>
      <c r="AO69" s="4">
        <f t="shared" si="11"/>
        <v>0</v>
      </c>
      <c r="AP69" s="3"/>
      <c r="AQ69" s="3"/>
      <c r="AR69" s="3"/>
      <c r="AS69" s="3"/>
      <c r="AT69" s="3"/>
    </row>
    <row r="70" spans="1:46" s="5" customFormat="1" ht="30" customHeight="1">
      <c r="A70" s="3">
        <f t="shared" si="12"/>
        <v>65</v>
      </c>
      <c r="B70" s="3">
        <v>2146</v>
      </c>
      <c r="C70" s="3" t="s">
        <v>580</v>
      </c>
      <c r="D70" s="4">
        <v>220000</v>
      </c>
      <c r="E70" s="4">
        <v>220000</v>
      </c>
      <c r="F70" s="4">
        <f>D70-E70</f>
        <v>0</v>
      </c>
      <c r="G70" s="4">
        <v>130000</v>
      </c>
      <c r="H70" s="4">
        <v>0</v>
      </c>
      <c r="I70" s="4">
        <v>0</v>
      </c>
      <c r="J70" s="4">
        <v>0</v>
      </c>
      <c r="K70" s="4">
        <f t="shared" ref="K70:K75" si="14">SUM(I70:J70)</f>
        <v>0</v>
      </c>
      <c r="L70" s="4">
        <f>H70+K70</f>
        <v>0</v>
      </c>
      <c r="M70" s="4">
        <f>P70+S70</f>
        <v>130000</v>
      </c>
      <c r="N70" s="4"/>
      <c r="O70" s="4">
        <f>D70-L70-M70-N70</f>
        <v>90000</v>
      </c>
      <c r="P70" s="4">
        <f t="shared" ref="P70:P83" si="15">G70-L70</f>
        <v>130000</v>
      </c>
      <c r="Q70" s="4"/>
      <c r="R70" s="4"/>
      <c r="S70" s="4">
        <f>SUM(Q70:R70)</f>
        <v>0</v>
      </c>
      <c r="T70" s="4">
        <f>P70-M70+S70</f>
        <v>0</v>
      </c>
      <c r="U70" s="4">
        <f>N70-T70</f>
        <v>0</v>
      </c>
      <c r="V70" s="4">
        <f>U70-AA70-W70-Z70</f>
        <v>0</v>
      </c>
      <c r="W70" s="4"/>
      <c r="X70" s="4"/>
      <c r="Y70" s="4"/>
      <c r="Z70" s="4"/>
      <c r="AA70" s="4"/>
      <c r="AB70" s="3" t="s">
        <v>772</v>
      </c>
      <c r="AC70" s="3">
        <v>732000</v>
      </c>
      <c r="AD70" s="374"/>
      <c r="AE70" s="374"/>
      <c r="AF70" s="374"/>
      <c r="AG70" s="374"/>
      <c r="AH70" s="374"/>
      <c r="AI70" s="374"/>
      <c r="AJ70" s="374"/>
      <c r="AK70" s="374"/>
      <c r="AL70" s="374"/>
      <c r="AM70" s="4">
        <f t="shared" si="9"/>
        <v>0</v>
      </c>
      <c r="AN70" s="4">
        <f t="shared" si="10"/>
        <v>0</v>
      </c>
      <c r="AO70" s="4">
        <f t="shared" si="11"/>
        <v>0</v>
      </c>
      <c r="AP70" s="3"/>
      <c r="AQ70" s="3"/>
      <c r="AR70" s="3"/>
      <c r="AS70" s="3"/>
      <c r="AT70" s="3"/>
    </row>
    <row r="71" spans="1:46" s="5" customFormat="1" ht="30" customHeight="1">
      <c r="A71" s="3">
        <f t="shared" si="12"/>
        <v>66</v>
      </c>
      <c r="B71" s="3">
        <v>2173</v>
      </c>
      <c r="C71" s="3" t="s">
        <v>2246</v>
      </c>
      <c r="D71" s="4">
        <v>1950000</v>
      </c>
      <c r="E71" s="4">
        <v>1950000</v>
      </c>
      <c r="F71" s="4">
        <f>D71-E71</f>
        <v>0</v>
      </c>
      <c r="G71" s="4">
        <v>0</v>
      </c>
      <c r="H71" s="4">
        <v>0</v>
      </c>
      <c r="I71" s="4">
        <v>0</v>
      </c>
      <c r="J71" s="4">
        <v>0</v>
      </c>
      <c r="K71" s="4">
        <f t="shared" si="14"/>
        <v>0</v>
      </c>
      <c r="L71" s="4">
        <f>H71+K71</f>
        <v>0</v>
      </c>
      <c r="M71" s="4">
        <f>P71+S71</f>
        <v>0</v>
      </c>
      <c r="N71" s="4">
        <v>1950000</v>
      </c>
      <c r="O71" s="4">
        <f>D71-L71-M71-N71</f>
        <v>0</v>
      </c>
      <c r="P71" s="4">
        <f t="shared" si="15"/>
        <v>0</v>
      </c>
      <c r="Q71" s="4"/>
      <c r="R71" s="4"/>
      <c r="S71" s="4">
        <f>SUM(Q71:R71)</f>
        <v>0</v>
      </c>
      <c r="T71" s="4">
        <f>P71-M71+S71</f>
        <v>0</v>
      </c>
      <c r="U71" s="4">
        <f>N71-T71</f>
        <v>1950000</v>
      </c>
      <c r="V71" s="4">
        <f>U71-AA71-W71-Z71</f>
        <v>138750</v>
      </c>
      <c r="W71" s="4"/>
      <c r="X71" s="4"/>
      <c r="Y71" s="4"/>
      <c r="Z71" s="4"/>
      <c r="AA71" s="4">
        <f>100000+1850000*0.925</f>
        <v>1811250</v>
      </c>
      <c r="AB71" s="3" t="s">
        <v>1930</v>
      </c>
      <c r="AC71" s="3">
        <v>732000</v>
      </c>
      <c r="AD71" s="374"/>
      <c r="AE71" s="374"/>
      <c r="AF71" s="374"/>
      <c r="AG71" s="374"/>
      <c r="AH71" s="374"/>
      <c r="AI71" s="374"/>
      <c r="AJ71" s="374"/>
      <c r="AK71" s="374"/>
      <c r="AL71" s="374"/>
      <c r="AM71" s="4">
        <f t="shared" ref="AM71:AM83" si="16">SUM(AD71:AL71)</f>
        <v>0</v>
      </c>
      <c r="AN71" s="4">
        <f t="shared" ref="AN71:AN83" si="17">U71-AM71</f>
        <v>1950000</v>
      </c>
      <c r="AO71" s="4">
        <f t="shared" ref="AO71:AO83" si="18">AM71-AP71-AQ71-AR71-AS71-AT71</f>
        <v>0</v>
      </c>
      <c r="AP71" s="3"/>
      <c r="AQ71" s="3"/>
      <c r="AR71" s="3"/>
      <c r="AS71" s="3"/>
      <c r="AT71" s="3"/>
    </row>
    <row r="72" spans="1:46" s="5" customFormat="1" ht="30" customHeight="1">
      <c r="A72" s="3">
        <f>A71+1</f>
        <v>67</v>
      </c>
      <c r="B72" s="30">
        <v>2189</v>
      </c>
      <c r="C72" s="3" t="s">
        <v>733</v>
      </c>
      <c r="D72" s="4">
        <v>250000</v>
      </c>
      <c r="E72" s="4"/>
      <c r="F72" s="4">
        <f t="shared" ref="F72:F83" si="19">D72-E72</f>
        <v>250000</v>
      </c>
      <c r="G72" s="4">
        <v>0</v>
      </c>
      <c r="H72" s="4">
        <v>0</v>
      </c>
      <c r="I72" s="4">
        <v>0</v>
      </c>
      <c r="J72" s="4">
        <v>0</v>
      </c>
      <c r="K72" s="4">
        <f t="shared" si="14"/>
        <v>0</v>
      </c>
      <c r="L72" s="4">
        <f t="shared" ref="L72:L83" si="20">H72+K72</f>
        <v>0</v>
      </c>
      <c r="M72" s="4">
        <f>P72+S72</f>
        <v>0</v>
      </c>
      <c r="N72" s="4">
        <v>250000</v>
      </c>
      <c r="O72" s="4">
        <f t="shared" ref="O72:O83" si="21">D72-L72-M72-N72</f>
        <v>0</v>
      </c>
      <c r="P72" s="4">
        <f t="shared" si="15"/>
        <v>0</v>
      </c>
      <c r="Q72" s="4"/>
      <c r="R72" s="4"/>
      <c r="S72" s="4">
        <f t="shared" ref="S72:S83" si="22">SUM(Q72:R72)</f>
        <v>0</v>
      </c>
      <c r="T72" s="4">
        <f t="shared" ref="T72:T83" si="23">P72-M72+S72</f>
        <v>0</v>
      </c>
      <c r="U72" s="4">
        <f t="shared" ref="U72:U83" si="24">N72-T72</f>
        <v>250000</v>
      </c>
      <c r="V72" s="4">
        <f t="shared" ref="V72:V83" si="25">U72-AA72-W72-Z72</f>
        <v>75000</v>
      </c>
      <c r="W72" s="4"/>
      <c r="X72" s="4"/>
      <c r="Y72" s="4"/>
      <c r="Z72" s="4"/>
      <c r="AA72" s="4">
        <v>175000</v>
      </c>
      <c r="AB72" s="373" t="s">
        <v>734</v>
      </c>
      <c r="AC72" s="373">
        <v>742000</v>
      </c>
      <c r="AD72" s="374"/>
      <c r="AE72" s="374"/>
      <c r="AF72" s="4">
        <v>30000</v>
      </c>
      <c r="AG72" s="374"/>
      <c r="AH72" s="374"/>
      <c r="AI72" s="374"/>
      <c r="AJ72" s="374"/>
      <c r="AK72" s="374"/>
      <c r="AL72" s="374"/>
      <c r="AM72" s="4">
        <f t="shared" si="16"/>
        <v>30000</v>
      </c>
      <c r="AN72" s="4">
        <f t="shared" si="17"/>
        <v>220000</v>
      </c>
      <c r="AO72" s="4">
        <f t="shared" si="18"/>
        <v>30000</v>
      </c>
      <c r="AP72" s="3"/>
      <c r="AQ72" s="3"/>
      <c r="AR72" s="3"/>
      <c r="AS72" s="3"/>
      <c r="AT72" s="3"/>
    </row>
    <row r="73" spans="1:46" s="5" customFormat="1" ht="30" customHeight="1">
      <c r="A73" s="3">
        <f>1+A72</f>
        <v>68</v>
      </c>
      <c r="B73" s="30">
        <v>2190</v>
      </c>
      <c r="C73" s="3" t="s">
        <v>735</v>
      </c>
      <c r="D73" s="4">
        <v>250000</v>
      </c>
      <c r="E73" s="4"/>
      <c r="F73" s="4">
        <f t="shared" si="19"/>
        <v>250000</v>
      </c>
      <c r="G73" s="4">
        <v>0</v>
      </c>
      <c r="H73" s="4">
        <v>0</v>
      </c>
      <c r="I73" s="4">
        <v>0</v>
      </c>
      <c r="J73" s="4">
        <v>0</v>
      </c>
      <c r="K73" s="4">
        <f t="shared" si="14"/>
        <v>0</v>
      </c>
      <c r="L73" s="4">
        <f t="shared" si="20"/>
        <v>0</v>
      </c>
      <c r="M73" s="4">
        <f t="shared" ref="M73:M83" si="26">P73+S73</f>
        <v>0</v>
      </c>
      <c r="N73" s="4">
        <v>250000</v>
      </c>
      <c r="O73" s="4">
        <f t="shared" si="21"/>
        <v>0</v>
      </c>
      <c r="P73" s="4">
        <f t="shared" si="15"/>
        <v>0</v>
      </c>
      <c r="Q73" s="4"/>
      <c r="R73" s="4"/>
      <c r="S73" s="4">
        <f t="shared" si="22"/>
        <v>0</v>
      </c>
      <c r="T73" s="4">
        <f t="shared" si="23"/>
        <v>0</v>
      </c>
      <c r="U73" s="4">
        <f t="shared" si="24"/>
        <v>250000</v>
      </c>
      <c r="V73" s="4">
        <f t="shared" si="25"/>
        <v>75000</v>
      </c>
      <c r="W73" s="4"/>
      <c r="X73" s="4"/>
      <c r="Y73" s="4"/>
      <c r="Z73" s="4"/>
      <c r="AA73" s="4">
        <v>175000</v>
      </c>
      <c r="AB73" s="373" t="s">
        <v>736</v>
      </c>
      <c r="AC73" s="373">
        <v>742000</v>
      </c>
      <c r="AD73" s="374"/>
      <c r="AE73" s="374"/>
      <c r="AF73" s="374"/>
      <c r="AG73" s="374"/>
      <c r="AH73" s="374"/>
      <c r="AI73" s="374"/>
      <c r="AJ73" s="374"/>
      <c r="AK73" s="374"/>
      <c r="AL73" s="374">
        <v>250000</v>
      </c>
      <c r="AM73" s="4">
        <f t="shared" si="16"/>
        <v>250000</v>
      </c>
      <c r="AN73" s="4">
        <f t="shared" si="17"/>
        <v>0</v>
      </c>
      <c r="AO73" s="4">
        <f t="shared" si="18"/>
        <v>75000</v>
      </c>
      <c r="AP73" s="3"/>
      <c r="AQ73" s="3"/>
      <c r="AR73" s="3"/>
      <c r="AS73" s="3"/>
      <c r="AT73" s="4">
        <v>175000</v>
      </c>
    </row>
    <row r="74" spans="1:46" s="5" customFormat="1" ht="30" customHeight="1">
      <c r="A74" s="3">
        <f t="shared" ref="A74:A83" si="27">1+A73</f>
        <v>69</v>
      </c>
      <c r="B74" s="30">
        <v>2191</v>
      </c>
      <c r="C74" s="3" t="s">
        <v>2247</v>
      </c>
      <c r="D74" s="4">
        <v>500000</v>
      </c>
      <c r="E74" s="3"/>
      <c r="F74" s="4">
        <f t="shared" si="19"/>
        <v>500000</v>
      </c>
      <c r="G74" s="4">
        <v>0</v>
      </c>
      <c r="H74" s="4">
        <v>0</v>
      </c>
      <c r="I74" s="4">
        <v>0</v>
      </c>
      <c r="J74" s="4">
        <v>0</v>
      </c>
      <c r="K74" s="4">
        <f t="shared" si="14"/>
        <v>0</v>
      </c>
      <c r="L74" s="4">
        <f t="shared" si="20"/>
        <v>0</v>
      </c>
      <c r="M74" s="4">
        <f t="shared" si="26"/>
        <v>0</v>
      </c>
      <c r="N74" s="4">
        <v>500000</v>
      </c>
      <c r="O74" s="4">
        <f t="shared" si="21"/>
        <v>0</v>
      </c>
      <c r="P74" s="4">
        <f t="shared" si="15"/>
        <v>0</v>
      </c>
      <c r="Q74" s="4"/>
      <c r="R74" s="4"/>
      <c r="S74" s="4">
        <f t="shared" si="22"/>
        <v>0</v>
      </c>
      <c r="T74" s="4">
        <f t="shared" si="23"/>
        <v>0</v>
      </c>
      <c r="U74" s="4">
        <f t="shared" si="24"/>
        <v>500000</v>
      </c>
      <c r="V74" s="4">
        <f t="shared" si="25"/>
        <v>500000</v>
      </c>
      <c r="W74" s="4"/>
      <c r="X74" s="4"/>
      <c r="Y74" s="4"/>
      <c r="Z74" s="4"/>
      <c r="AA74" s="4"/>
      <c r="AB74" s="3" t="s">
        <v>1931</v>
      </c>
      <c r="AC74" s="3">
        <v>742000</v>
      </c>
      <c r="AD74" s="374"/>
      <c r="AE74" s="374"/>
      <c r="AF74" s="374"/>
      <c r="AG74" s="374"/>
      <c r="AH74" s="374"/>
      <c r="AI74" s="374"/>
      <c r="AJ74" s="374"/>
      <c r="AK74" s="4">
        <v>500000</v>
      </c>
      <c r="AL74" s="4"/>
      <c r="AM74" s="4">
        <f t="shared" si="16"/>
        <v>500000</v>
      </c>
      <c r="AN74" s="4">
        <f t="shared" si="17"/>
        <v>0</v>
      </c>
      <c r="AO74" s="4">
        <f t="shared" si="18"/>
        <v>500000</v>
      </c>
      <c r="AP74" s="3"/>
      <c r="AQ74" s="3"/>
      <c r="AR74" s="3"/>
      <c r="AS74" s="3"/>
      <c r="AT74" s="3"/>
    </row>
    <row r="75" spans="1:46" s="5" customFormat="1" ht="30" customHeight="1">
      <c r="A75" s="3">
        <f t="shared" si="27"/>
        <v>70</v>
      </c>
      <c r="B75" s="30">
        <v>2192</v>
      </c>
      <c r="C75" s="3" t="s">
        <v>738</v>
      </c>
      <c r="D75" s="4">
        <v>20400000</v>
      </c>
      <c r="E75" s="4"/>
      <c r="F75" s="4">
        <f t="shared" si="19"/>
        <v>20400000</v>
      </c>
      <c r="G75" s="4">
        <v>0</v>
      </c>
      <c r="H75" s="4">
        <v>0</v>
      </c>
      <c r="I75" s="4">
        <v>0</v>
      </c>
      <c r="J75" s="4">
        <v>0</v>
      </c>
      <c r="K75" s="4">
        <f t="shared" si="14"/>
        <v>0</v>
      </c>
      <c r="L75" s="4">
        <f t="shared" si="20"/>
        <v>0</v>
      </c>
      <c r="M75" s="4">
        <f t="shared" si="26"/>
        <v>0</v>
      </c>
      <c r="N75" s="4">
        <v>600000</v>
      </c>
      <c r="O75" s="4">
        <f t="shared" si="21"/>
        <v>19800000</v>
      </c>
      <c r="P75" s="4">
        <f t="shared" si="15"/>
        <v>0</v>
      </c>
      <c r="Q75" s="4"/>
      <c r="R75" s="4"/>
      <c r="S75" s="4">
        <f t="shared" si="22"/>
        <v>0</v>
      </c>
      <c r="T75" s="4">
        <f t="shared" si="23"/>
        <v>0</v>
      </c>
      <c r="U75" s="4">
        <f t="shared" si="24"/>
        <v>600000</v>
      </c>
      <c r="V75" s="4">
        <f t="shared" si="25"/>
        <v>600000</v>
      </c>
      <c r="W75" s="4"/>
      <c r="X75" s="4"/>
      <c r="Y75" s="4"/>
      <c r="Z75" s="4"/>
      <c r="AA75" s="4"/>
      <c r="AB75" s="3" t="s">
        <v>754</v>
      </c>
      <c r="AC75" s="3">
        <v>742000</v>
      </c>
      <c r="AD75" s="374"/>
      <c r="AE75" s="374"/>
      <c r="AF75" s="374"/>
      <c r="AG75" s="374"/>
      <c r="AH75" s="374"/>
      <c r="AI75" s="374"/>
      <c r="AJ75" s="374"/>
      <c r="AK75" s="4"/>
      <c r="AL75" s="4">
        <v>100000</v>
      </c>
      <c r="AM75" s="4">
        <f t="shared" si="16"/>
        <v>100000</v>
      </c>
      <c r="AN75" s="4">
        <f t="shared" si="17"/>
        <v>500000</v>
      </c>
      <c r="AO75" s="4">
        <f t="shared" si="18"/>
        <v>100000</v>
      </c>
      <c r="AP75" s="3"/>
      <c r="AQ75" s="3"/>
      <c r="AR75" s="3"/>
      <c r="AS75" s="3"/>
      <c r="AT75" s="3"/>
    </row>
    <row r="76" spans="1:46" s="5" customFormat="1" ht="30" customHeight="1">
      <c r="A76" s="3">
        <f t="shared" si="27"/>
        <v>71</v>
      </c>
      <c r="B76" s="30">
        <v>2193</v>
      </c>
      <c r="C76" s="3" t="s">
        <v>739</v>
      </c>
      <c r="D76" s="4">
        <v>500000</v>
      </c>
      <c r="E76" s="4"/>
      <c r="F76" s="4">
        <f t="shared" si="19"/>
        <v>500000</v>
      </c>
      <c r="G76" s="4"/>
      <c r="H76" s="4"/>
      <c r="I76" s="4"/>
      <c r="J76" s="4"/>
      <c r="K76" s="4"/>
      <c r="L76" s="4">
        <f t="shared" si="20"/>
        <v>0</v>
      </c>
      <c r="M76" s="4">
        <f t="shared" si="26"/>
        <v>0</v>
      </c>
      <c r="N76" s="4">
        <v>500000</v>
      </c>
      <c r="O76" s="4">
        <f t="shared" si="21"/>
        <v>0</v>
      </c>
      <c r="P76" s="4">
        <f t="shared" si="15"/>
        <v>0</v>
      </c>
      <c r="Q76" s="4"/>
      <c r="R76" s="4"/>
      <c r="S76" s="4">
        <f t="shared" si="22"/>
        <v>0</v>
      </c>
      <c r="T76" s="4">
        <f t="shared" si="23"/>
        <v>0</v>
      </c>
      <c r="U76" s="4">
        <f t="shared" si="24"/>
        <v>500000</v>
      </c>
      <c r="V76" s="4">
        <f t="shared" si="25"/>
        <v>500000</v>
      </c>
      <c r="W76" s="4"/>
      <c r="X76" s="4"/>
      <c r="Y76" s="4"/>
      <c r="Z76" s="4"/>
      <c r="AA76" s="4"/>
      <c r="AB76" s="3" t="s">
        <v>823</v>
      </c>
      <c r="AC76" s="3">
        <v>742000</v>
      </c>
      <c r="AD76" s="374"/>
      <c r="AE76" s="374"/>
      <c r="AF76" s="374"/>
      <c r="AG76" s="374"/>
      <c r="AH76" s="374"/>
      <c r="AI76" s="374"/>
      <c r="AJ76" s="374"/>
      <c r="AK76" s="4"/>
      <c r="AL76" s="4"/>
      <c r="AM76" s="4">
        <f t="shared" si="16"/>
        <v>0</v>
      </c>
      <c r="AN76" s="4">
        <f t="shared" si="17"/>
        <v>500000</v>
      </c>
      <c r="AO76" s="4">
        <f t="shared" si="18"/>
        <v>0</v>
      </c>
      <c r="AP76" s="3"/>
      <c r="AQ76" s="3"/>
      <c r="AR76" s="3"/>
      <c r="AS76" s="3"/>
      <c r="AT76" s="3"/>
    </row>
    <row r="77" spans="1:46" s="5" customFormat="1" ht="30" customHeight="1">
      <c r="A77" s="3">
        <f t="shared" si="27"/>
        <v>72</v>
      </c>
      <c r="B77" s="30">
        <v>2194</v>
      </c>
      <c r="C77" s="3" t="s">
        <v>2248</v>
      </c>
      <c r="D77" s="4">
        <v>700000</v>
      </c>
      <c r="E77" s="3"/>
      <c r="F77" s="4">
        <f t="shared" si="19"/>
        <v>700000</v>
      </c>
      <c r="G77" s="4"/>
      <c r="H77" s="4"/>
      <c r="I77" s="4"/>
      <c r="J77" s="4"/>
      <c r="K77" s="4"/>
      <c r="L77" s="4">
        <f t="shared" si="20"/>
        <v>0</v>
      </c>
      <c r="M77" s="4">
        <f t="shared" si="26"/>
        <v>0</v>
      </c>
      <c r="N77" s="4">
        <v>700000</v>
      </c>
      <c r="O77" s="4">
        <f t="shared" si="21"/>
        <v>0</v>
      </c>
      <c r="P77" s="4">
        <f t="shared" si="15"/>
        <v>0</v>
      </c>
      <c r="Q77" s="4"/>
      <c r="R77" s="4"/>
      <c r="S77" s="4">
        <f t="shared" si="22"/>
        <v>0</v>
      </c>
      <c r="T77" s="4">
        <f t="shared" si="23"/>
        <v>0</v>
      </c>
      <c r="U77" s="4">
        <f t="shared" si="24"/>
        <v>700000</v>
      </c>
      <c r="V77" s="4">
        <f t="shared" si="25"/>
        <v>700000</v>
      </c>
      <c r="W77" s="4"/>
      <c r="X77" s="4"/>
      <c r="Y77" s="4"/>
      <c r="Z77" s="4"/>
      <c r="AA77" s="4"/>
      <c r="AB77" s="3" t="s">
        <v>1932</v>
      </c>
      <c r="AC77" s="3">
        <v>742000</v>
      </c>
      <c r="AD77" s="374"/>
      <c r="AE77" s="374"/>
      <c r="AF77" s="374"/>
      <c r="AG77" s="374"/>
      <c r="AH77" s="374"/>
      <c r="AI77" s="374"/>
      <c r="AJ77" s="374"/>
      <c r="AK77" s="4">
        <v>500000</v>
      </c>
      <c r="AL77" s="4"/>
      <c r="AM77" s="4">
        <f t="shared" si="16"/>
        <v>500000</v>
      </c>
      <c r="AN77" s="4">
        <f t="shared" si="17"/>
        <v>200000</v>
      </c>
      <c r="AO77" s="4">
        <f t="shared" si="18"/>
        <v>500000</v>
      </c>
      <c r="AP77" s="3"/>
      <c r="AQ77" s="3"/>
      <c r="AR77" s="3"/>
      <c r="AS77" s="3"/>
      <c r="AT77" s="3"/>
    </row>
    <row r="78" spans="1:46" s="5" customFormat="1" ht="30" customHeight="1">
      <c r="A78" s="3">
        <f t="shared" si="27"/>
        <v>73</v>
      </c>
      <c r="B78" s="30">
        <v>2195</v>
      </c>
      <c r="C78" s="3" t="s">
        <v>741</v>
      </c>
      <c r="D78" s="4">
        <v>2300000</v>
      </c>
      <c r="E78" s="3"/>
      <c r="F78" s="4">
        <f t="shared" si="19"/>
        <v>2300000</v>
      </c>
      <c r="G78" s="4">
        <v>0</v>
      </c>
      <c r="H78" s="4">
        <v>0</v>
      </c>
      <c r="I78" s="4">
        <v>0</v>
      </c>
      <c r="J78" s="4">
        <v>0</v>
      </c>
      <c r="K78" s="4">
        <f>SUM(I78:J78)</f>
        <v>0</v>
      </c>
      <c r="L78" s="4">
        <f t="shared" si="20"/>
        <v>0</v>
      </c>
      <c r="M78" s="4">
        <f t="shared" si="26"/>
        <v>0</v>
      </c>
      <c r="N78" s="4">
        <f>1100000-750000</f>
        <v>350000</v>
      </c>
      <c r="O78" s="4">
        <f t="shared" si="21"/>
        <v>1950000</v>
      </c>
      <c r="P78" s="4">
        <f t="shared" si="15"/>
        <v>0</v>
      </c>
      <c r="Q78" s="4"/>
      <c r="R78" s="4"/>
      <c r="S78" s="4">
        <f t="shared" si="22"/>
        <v>0</v>
      </c>
      <c r="T78" s="4">
        <f t="shared" si="23"/>
        <v>0</v>
      </c>
      <c r="U78" s="4">
        <f t="shared" si="24"/>
        <v>350000</v>
      </c>
      <c r="V78" s="4">
        <f t="shared" si="25"/>
        <v>350000</v>
      </c>
      <c r="W78" s="4"/>
      <c r="X78" s="4"/>
      <c r="Y78" s="4"/>
      <c r="Z78" s="4"/>
      <c r="AA78" s="4"/>
      <c r="AB78" s="3" t="s">
        <v>824</v>
      </c>
      <c r="AC78" s="3">
        <v>742000</v>
      </c>
      <c r="AD78" s="374"/>
      <c r="AE78" s="374"/>
      <c r="AF78" s="374"/>
      <c r="AG78" s="374"/>
      <c r="AH78" s="374"/>
      <c r="AI78" s="374"/>
      <c r="AJ78" s="374"/>
      <c r="AK78" s="4"/>
      <c r="AL78" s="4"/>
      <c r="AM78" s="4">
        <f t="shared" si="16"/>
        <v>0</v>
      </c>
      <c r="AN78" s="4">
        <f t="shared" si="17"/>
        <v>350000</v>
      </c>
      <c r="AO78" s="4">
        <f t="shared" si="18"/>
        <v>0</v>
      </c>
      <c r="AP78" s="3"/>
      <c r="AQ78" s="3"/>
      <c r="AR78" s="3"/>
      <c r="AS78" s="3"/>
      <c r="AT78" s="3"/>
    </row>
    <row r="79" spans="1:46" s="5" customFormat="1" ht="30" customHeight="1">
      <c r="A79" s="3">
        <f t="shared" si="27"/>
        <v>74</v>
      </c>
      <c r="B79" s="30">
        <v>2196</v>
      </c>
      <c r="C79" s="3" t="s">
        <v>2249</v>
      </c>
      <c r="D79" s="4">
        <v>2000000</v>
      </c>
      <c r="E79" s="3"/>
      <c r="F79" s="4">
        <f t="shared" si="19"/>
        <v>2000000</v>
      </c>
      <c r="G79" s="4"/>
      <c r="H79" s="4"/>
      <c r="I79" s="4"/>
      <c r="J79" s="4"/>
      <c r="K79" s="4"/>
      <c r="L79" s="4">
        <f t="shared" si="20"/>
        <v>0</v>
      </c>
      <c r="M79" s="4">
        <f t="shared" si="26"/>
        <v>0</v>
      </c>
      <c r="N79" s="4">
        <f>500000-100000</f>
        <v>400000</v>
      </c>
      <c r="O79" s="4">
        <f t="shared" si="21"/>
        <v>1600000</v>
      </c>
      <c r="P79" s="4">
        <f t="shared" si="15"/>
        <v>0</v>
      </c>
      <c r="Q79" s="4"/>
      <c r="R79" s="4"/>
      <c r="S79" s="4">
        <f t="shared" si="22"/>
        <v>0</v>
      </c>
      <c r="T79" s="4">
        <f t="shared" si="23"/>
        <v>0</v>
      </c>
      <c r="U79" s="4">
        <f t="shared" si="24"/>
        <v>400000</v>
      </c>
      <c r="V79" s="4">
        <f t="shared" si="25"/>
        <v>400000</v>
      </c>
      <c r="W79" s="4"/>
      <c r="X79" s="4"/>
      <c r="Y79" s="4"/>
      <c r="Z79" s="4"/>
      <c r="AA79" s="4"/>
      <c r="AB79" s="3" t="s">
        <v>1933</v>
      </c>
      <c r="AC79" s="3">
        <v>742000</v>
      </c>
      <c r="AD79" s="374"/>
      <c r="AE79" s="374"/>
      <c r="AF79" s="374"/>
      <c r="AG79" s="374"/>
      <c r="AH79" s="374"/>
      <c r="AI79" s="374"/>
      <c r="AJ79" s="374"/>
      <c r="AK79" s="4">
        <v>400000</v>
      </c>
      <c r="AL79" s="4"/>
      <c r="AM79" s="4">
        <f t="shared" si="16"/>
        <v>400000</v>
      </c>
      <c r="AN79" s="4">
        <f t="shared" si="17"/>
        <v>0</v>
      </c>
      <c r="AO79" s="4">
        <f t="shared" si="18"/>
        <v>400000</v>
      </c>
      <c r="AP79" s="3"/>
      <c r="AQ79" s="3"/>
      <c r="AR79" s="3"/>
      <c r="AS79" s="3"/>
      <c r="AT79" s="3"/>
    </row>
    <row r="80" spans="1:46" s="5" customFormat="1" ht="45">
      <c r="A80" s="3">
        <f t="shared" si="27"/>
        <v>75</v>
      </c>
      <c r="B80" s="30">
        <v>2197</v>
      </c>
      <c r="C80" s="3" t="s">
        <v>2250</v>
      </c>
      <c r="D80" s="4">
        <v>4000000</v>
      </c>
      <c r="E80" s="4"/>
      <c r="F80" s="4">
        <f t="shared" si="19"/>
        <v>4000000</v>
      </c>
      <c r="G80" s="4">
        <v>0</v>
      </c>
      <c r="H80" s="4">
        <v>0</v>
      </c>
      <c r="I80" s="4">
        <v>0</v>
      </c>
      <c r="J80" s="4">
        <v>0</v>
      </c>
      <c r="K80" s="4">
        <f>SUM(I80:J80)</f>
        <v>0</v>
      </c>
      <c r="L80" s="4">
        <f t="shared" si="20"/>
        <v>0</v>
      </c>
      <c r="M80" s="4">
        <f t="shared" si="26"/>
        <v>0</v>
      </c>
      <c r="N80" s="4">
        <f>1000000-500000-200000</f>
        <v>300000</v>
      </c>
      <c r="O80" s="4">
        <f t="shared" si="21"/>
        <v>3700000</v>
      </c>
      <c r="P80" s="4">
        <f t="shared" si="15"/>
        <v>0</v>
      </c>
      <c r="Q80" s="4"/>
      <c r="R80" s="4"/>
      <c r="S80" s="4">
        <f t="shared" si="22"/>
        <v>0</v>
      </c>
      <c r="T80" s="4">
        <f t="shared" si="23"/>
        <v>0</v>
      </c>
      <c r="U80" s="4">
        <f t="shared" si="24"/>
        <v>300000</v>
      </c>
      <c r="V80" s="4">
        <f t="shared" si="25"/>
        <v>300000</v>
      </c>
      <c r="W80" s="4"/>
      <c r="X80" s="4"/>
      <c r="Y80" s="4"/>
      <c r="Z80" s="4"/>
      <c r="AA80" s="4"/>
      <c r="AB80" s="3" t="s">
        <v>1934</v>
      </c>
      <c r="AC80" s="3">
        <v>742000</v>
      </c>
      <c r="AD80" s="374"/>
      <c r="AE80" s="374"/>
      <c r="AF80" s="374"/>
      <c r="AG80" s="374"/>
      <c r="AH80" s="374"/>
      <c r="AI80" s="374"/>
      <c r="AJ80" s="374"/>
      <c r="AK80" s="4">
        <v>300000</v>
      </c>
      <c r="AL80" s="4"/>
      <c r="AM80" s="4">
        <f t="shared" si="16"/>
        <v>300000</v>
      </c>
      <c r="AN80" s="4">
        <f t="shared" si="17"/>
        <v>0</v>
      </c>
      <c r="AO80" s="4">
        <f t="shared" si="18"/>
        <v>300000</v>
      </c>
      <c r="AP80" s="3"/>
      <c r="AQ80" s="3"/>
      <c r="AR80" s="3"/>
      <c r="AS80" s="3"/>
      <c r="AT80" s="3"/>
    </row>
    <row r="81" spans="1:48" s="5" customFormat="1" ht="45">
      <c r="A81" s="3">
        <f t="shared" si="27"/>
        <v>76</v>
      </c>
      <c r="B81" s="30">
        <v>2198</v>
      </c>
      <c r="C81" s="3" t="s">
        <v>2251</v>
      </c>
      <c r="D81" s="4">
        <v>9500000</v>
      </c>
      <c r="E81" s="4"/>
      <c r="F81" s="4">
        <f t="shared" si="19"/>
        <v>9500000</v>
      </c>
      <c r="G81" s="4"/>
      <c r="H81" s="4"/>
      <c r="I81" s="4"/>
      <c r="J81" s="4"/>
      <c r="K81" s="4"/>
      <c r="L81" s="4">
        <f t="shared" si="20"/>
        <v>0</v>
      </c>
      <c r="M81" s="4">
        <f t="shared" si="26"/>
        <v>0</v>
      </c>
      <c r="N81" s="4">
        <f>1700000-500000-200000-500000</f>
        <v>500000</v>
      </c>
      <c r="O81" s="4">
        <f t="shared" si="21"/>
        <v>9000000</v>
      </c>
      <c r="P81" s="4">
        <f t="shared" si="15"/>
        <v>0</v>
      </c>
      <c r="Q81" s="4"/>
      <c r="R81" s="4"/>
      <c r="S81" s="4">
        <f t="shared" si="22"/>
        <v>0</v>
      </c>
      <c r="T81" s="4">
        <f t="shared" si="23"/>
        <v>0</v>
      </c>
      <c r="U81" s="4">
        <f t="shared" si="24"/>
        <v>500000</v>
      </c>
      <c r="V81" s="4">
        <f t="shared" si="25"/>
        <v>500000</v>
      </c>
      <c r="W81" s="4"/>
      <c r="X81" s="4"/>
      <c r="Y81" s="4"/>
      <c r="Z81" s="4"/>
      <c r="AA81" s="4"/>
      <c r="AB81" s="3" t="s">
        <v>1935</v>
      </c>
      <c r="AC81" s="3">
        <v>742000</v>
      </c>
      <c r="AD81" s="374"/>
      <c r="AE81" s="374"/>
      <c r="AF81" s="374"/>
      <c r="AG81" s="374"/>
      <c r="AH81" s="374"/>
      <c r="AI81" s="374"/>
      <c r="AJ81" s="374"/>
      <c r="AK81" s="4">
        <v>500000</v>
      </c>
      <c r="AL81" s="4"/>
      <c r="AM81" s="4">
        <f t="shared" si="16"/>
        <v>500000</v>
      </c>
      <c r="AN81" s="4">
        <f t="shared" si="17"/>
        <v>0</v>
      </c>
      <c r="AO81" s="4">
        <f t="shared" si="18"/>
        <v>500000</v>
      </c>
      <c r="AP81" s="3"/>
      <c r="AQ81" s="3"/>
      <c r="AR81" s="3"/>
      <c r="AS81" s="3"/>
      <c r="AT81" s="3"/>
      <c r="AU81" s="31"/>
    </row>
    <row r="82" spans="1:48" s="5" customFormat="1" ht="30" customHeight="1">
      <c r="A82" s="3">
        <f t="shared" si="27"/>
        <v>77</v>
      </c>
      <c r="B82" s="30">
        <v>2199</v>
      </c>
      <c r="C82" s="3" t="s">
        <v>745</v>
      </c>
      <c r="D82" s="4">
        <v>1000000</v>
      </c>
      <c r="E82" s="3"/>
      <c r="F82" s="4">
        <f t="shared" si="19"/>
        <v>1000000</v>
      </c>
      <c r="G82" s="4">
        <v>0</v>
      </c>
      <c r="H82" s="4">
        <v>0</v>
      </c>
      <c r="I82" s="4">
        <v>0</v>
      </c>
      <c r="J82" s="4">
        <v>0</v>
      </c>
      <c r="K82" s="4">
        <f>SUM(I82:J82)</f>
        <v>0</v>
      </c>
      <c r="L82" s="4">
        <f t="shared" si="20"/>
        <v>0</v>
      </c>
      <c r="M82" s="4">
        <f t="shared" si="26"/>
        <v>0</v>
      </c>
      <c r="N82" s="4">
        <f>600000-200000-200000</f>
        <v>200000</v>
      </c>
      <c r="O82" s="4">
        <f t="shared" si="21"/>
        <v>800000</v>
      </c>
      <c r="P82" s="4">
        <f t="shared" si="15"/>
        <v>0</v>
      </c>
      <c r="Q82" s="4"/>
      <c r="R82" s="4"/>
      <c r="S82" s="4">
        <f t="shared" si="22"/>
        <v>0</v>
      </c>
      <c r="T82" s="4">
        <f t="shared" si="23"/>
        <v>0</v>
      </c>
      <c r="U82" s="4">
        <f t="shared" si="24"/>
        <v>200000</v>
      </c>
      <c r="V82" s="4">
        <f t="shared" si="25"/>
        <v>200000</v>
      </c>
      <c r="W82" s="4"/>
      <c r="X82" s="4"/>
      <c r="Y82" s="4"/>
      <c r="Z82" s="4"/>
      <c r="AA82" s="4"/>
      <c r="AB82" s="3" t="s">
        <v>825</v>
      </c>
      <c r="AC82" s="3">
        <v>732000</v>
      </c>
      <c r="AD82" s="4">
        <v>50000</v>
      </c>
      <c r="AE82" s="374"/>
      <c r="AF82" s="374"/>
      <c r="AG82" s="374"/>
      <c r="AH82" s="374"/>
      <c r="AI82" s="374"/>
      <c r="AJ82" s="374"/>
      <c r="AK82" s="374"/>
      <c r="AL82" s="374">
        <f>150000-50000</f>
        <v>100000</v>
      </c>
      <c r="AM82" s="4">
        <f t="shared" si="16"/>
        <v>150000</v>
      </c>
      <c r="AN82" s="4">
        <f t="shared" si="17"/>
        <v>50000</v>
      </c>
      <c r="AO82" s="4">
        <f t="shared" si="18"/>
        <v>150000</v>
      </c>
      <c r="AP82" s="3"/>
      <c r="AQ82" s="3"/>
      <c r="AR82" s="3"/>
      <c r="AS82" s="3"/>
      <c r="AT82" s="3"/>
    </row>
    <row r="83" spans="1:48" s="5" customFormat="1" ht="30" customHeight="1">
      <c r="A83" s="3">
        <f t="shared" si="27"/>
        <v>78</v>
      </c>
      <c r="B83" s="30">
        <v>2200</v>
      </c>
      <c r="C83" s="3" t="s">
        <v>746</v>
      </c>
      <c r="D83" s="4">
        <f>1800000-100000</f>
        <v>1700000</v>
      </c>
      <c r="E83" s="3"/>
      <c r="F83" s="4">
        <f t="shared" si="19"/>
        <v>1700000</v>
      </c>
      <c r="G83" s="4">
        <v>0</v>
      </c>
      <c r="H83" s="4">
        <v>0</v>
      </c>
      <c r="I83" s="4">
        <v>0</v>
      </c>
      <c r="J83" s="4">
        <v>0</v>
      </c>
      <c r="K83" s="4">
        <f>SUM(I83:J83)</f>
        <v>0</v>
      </c>
      <c r="L83" s="4">
        <f t="shared" si="20"/>
        <v>0</v>
      </c>
      <c r="M83" s="4">
        <f t="shared" si="26"/>
        <v>0</v>
      </c>
      <c r="N83" s="4">
        <f>150000+200000</f>
        <v>350000</v>
      </c>
      <c r="O83" s="4">
        <f t="shared" si="21"/>
        <v>1350000</v>
      </c>
      <c r="P83" s="4">
        <f t="shared" si="15"/>
        <v>0</v>
      </c>
      <c r="Q83" s="4"/>
      <c r="R83" s="4"/>
      <c r="S83" s="4">
        <f t="shared" si="22"/>
        <v>0</v>
      </c>
      <c r="T83" s="4">
        <f t="shared" si="23"/>
        <v>0</v>
      </c>
      <c r="U83" s="4">
        <f t="shared" si="24"/>
        <v>350000</v>
      </c>
      <c r="V83" s="4">
        <f t="shared" si="25"/>
        <v>350000</v>
      </c>
      <c r="W83" s="4"/>
      <c r="X83" s="4"/>
      <c r="Y83" s="4"/>
      <c r="Z83" s="4"/>
      <c r="AA83" s="4"/>
      <c r="AB83" s="3" t="s">
        <v>826</v>
      </c>
      <c r="AC83" s="3">
        <v>732000</v>
      </c>
      <c r="AD83" s="374"/>
      <c r="AE83" s="374"/>
      <c r="AF83" s="374"/>
      <c r="AG83" s="374"/>
      <c r="AH83" s="374"/>
      <c r="AI83" s="374"/>
      <c r="AJ83" s="374"/>
      <c r="AK83" s="374"/>
      <c r="AL83" s="374">
        <v>150000</v>
      </c>
      <c r="AM83" s="4">
        <f t="shared" si="16"/>
        <v>150000</v>
      </c>
      <c r="AN83" s="4">
        <f t="shared" si="17"/>
        <v>200000</v>
      </c>
      <c r="AO83" s="4">
        <f t="shared" si="18"/>
        <v>150000</v>
      </c>
      <c r="AP83" s="3"/>
      <c r="AQ83" s="3"/>
      <c r="AR83" s="3"/>
      <c r="AS83" s="3"/>
      <c r="AT83" s="3"/>
    </row>
    <row r="84" spans="1:48" s="370" customFormat="1" ht="30" customHeight="1">
      <c r="A84" s="302">
        <f>A83</f>
        <v>78</v>
      </c>
      <c r="B84" s="302"/>
      <c r="C84" s="32" t="s">
        <v>412</v>
      </c>
      <c r="D84" s="369">
        <f t="shared" ref="D84:AT84" si="28">SUM(D6:D83)</f>
        <v>600898791</v>
      </c>
      <c r="E84" s="369">
        <f t="shared" si="28"/>
        <v>548923791</v>
      </c>
      <c r="F84" s="369">
        <f t="shared" si="28"/>
        <v>51975000</v>
      </c>
      <c r="G84" s="369">
        <f t="shared" si="28"/>
        <v>299011552</v>
      </c>
      <c r="H84" s="369">
        <f t="shared" si="28"/>
        <v>243957723</v>
      </c>
      <c r="I84" s="369">
        <f t="shared" si="28"/>
        <v>10062920</v>
      </c>
      <c r="J84" s="369">
        <f t="shared" si="28"/>
        <v>8699859</v>
      </c>
      <c r="K84" s="369">
        <f t="shared" si="28"/>
        <v>18762779</v>
      </c>
      <c r="L84" s="369">
        <f t="shared" si="28"/>
        <v>262720502</v>
      </c>
      <c r="M84" s="369">
        <f t="shared" si="28"/>
        <v>6991050</v>
      </c>
      <c r="N84" s="369">
        <f t="shared" si="28"/>
        <v>48230000</v>
      </c>
      <c r="O84" s="369">
        <f t="shared" si="28"/>
        <v>282957239</v>
      </c>
      <c r="P84" s="369">
        <f t="shared" si="28"/>
        <v>36291050</v>
      </c>
      <c r="Q84" s="369">
        <f t="shared" si="28"/>
        <v>0</v>
      </c>
      <c r="R84" s="369">
        <f t="shared" si="28"/>
        <v>0</v>
      </c>
      <c r="S84" s="369">
        <f t="shared" si="28"/>
        <v>0</v>
      </c>
      <c r="T84" s="369">
        <f t="shared" si="28"/>
        <v>29300000</v>
      </c>
      <c r="U84" s="369">
        <f t="shared" si="28"/>
        <v>18930000</v>
      </c>
      <c r="V84" s="369">
        <f t="shared" si="28"/>
        <v>14768750</v>
      </c>
      <c r="W84" s="369">
        <f t="shared" si="28"/>
        <v>0</v>
      </c>
      <c r="X84" s="369">
        <f t="shared" si="28"/>
        <v>0</v>
      </c>
      <c r="Y84" s="369">
        <f t="shared" si="28"/>
        <v>0</v>
      </c>
      <c r="Z84" s="369">
        <f t="shared" si="28"/>
        <v>0</v>
      </c>
      <c r="AA84" s="369">
        <f t="shared" si="28"/>
        <v>4161250</v>
      </c>
      <c r="AB84" s="369">
        <f t="shared" si="28"/>
        <v>0</v>
      </c>
      <c r="AC84" s="369">
        <f t="shared" si="28"/>
        <v>57541000</v>
      </c>
      <c r="AD84" s="369">
        <f t="shared" si="28"/>
        <v>-1640000</v>
      </c>
      <c r="AE84" s="369">
        <f>SUM(AE6:AE83)</f>
        <v>-1640000</v>
      </c>
      <c r="AF84" s="369">
        <f>SUM(AF6:AF83)</f>
        <v>-420000</v>
      </c>
      <c r="AG84" s="369">
        <f t="shared" si="28"/>
        <v>50000</v>
      </c>
      <c r="AH84" s="369">
        <f>SUM(AH6:AH83)</f>
        <v>0</v>
      </c>
      <c r="AI84" s="369">
        <f>SUM(AI6:AI83)</f>
        <v>-400000</v>
      </c>
      <c r="AJ84" s="369">
        <f>SUM(AJ6:AJ83)</f>
        <v>380000</v>
      </c>
      <c r="AK84" s="369">
        <f>SUM(AK6:AK83)</f>
        <v>3100000</v>
      </c>
      <c r="AL84" s="369">
        <f>SUM(AL6:AL83)</f>
        <v>1450000</v>
      </c>
      <c r="AM84" s="369">
        <f t="shared" si="28"/>
        <v>880000</v>
      </c>
      <c r="AN84" s="369">
        <f t="shared" si="28"/>
        <v>18050000</v>
      </c>
      <c r="AO84" s="369">
        <f t="shared" si="28"/>
        <v>705000</v>
      </c>
      <c r="AP84" s="369">
        <f t="shared" si="28"/>
        <v>0</v>
      </c>
      <c r="AQ84" s="369">
        <f t="shared" si="28"/>
        <v>0</v>
      </c>
      <c r="AR84" s="369">
        <f t="shared" si="28"/>
        <v>0</v>
      </c>
      <c r="AS84" s="369">
        <f t="shared" si="28"/>
        <v>0</v>
      </c>
      <c r="AT84" s="369">
        <f t="shared" si="28"/>
        <v>175000</v>
      </c>
      <c r="AV84" s="5"/>
    </row>
    <row r="85" spans="1:48">
      <c r="L85" s="14">
        <f>K84+H84</f>
        <v>262720502</v>
      </c>
      <c r="M85" s="14">
        <f>P84+S84-T84</f>
        <v>6991050</v>
      </c>
    </row>
  </sheetData>
  <mergeCells count="4">
    <mergeCell ref="AD4:AM4"/>
    <mergeCell ref="AO4:AT4"/>
    <mergeCell ref="T4:U4"/>
    <mergeCell ref="V4:AA4"/>
  </mergeCells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AW137"/>
  <sheetViews>
    <sheetView showZeros="0" rightToLeft="1" zoomScaleNormal="100" workbookViewId="0">
      <pane xSplit="3" ySplit="5" topLeftCell="D78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9.140625" defaultRowHeight="18.75"/>
  <cols>
    <col min="1" max="1" width="3.28515625" style="261" customWidth="1"/>
    <col min="2" max="2" width="4.7109375" style="262" customWidth="1"/>
    <col min="3" max="3" width="24.5703125" style="170" customWidth="1"/>
    <col min="4" max="5" width="11.7109375" style="155" hidden="1" customWidth="1"/>
    <col min="6" max="6" width="10.7109375" style="155" hidden="1" customWidth="1"/>
    <col min="7" max="7" width="11.7109375" style="155" hidden="1" customWidth="1"/>
    <col min="8" max="11" width="10.7109375" style="155" hidden="1" customWidth="1"/>
    <col min="12" max="12" width="11.7109375" style="155" hidden="1" customWidth="1"/>
    <col min="13" max="14" width="10.7109375" style="155" hidden="1" customWidth="1"/>
    <col min="15" max="15" width="11.7109375" style="155" hidden="1" customWidth="1"/>
    <col min="16" max="20" width="10.7109375" style="155" hidden="1" customWidth="1"/>
    <col min="21" max="22" width="12.140625" style="154" customWidth="1"/>
    <col min="23" max="24" width="10.7109375" style="154" hidden="1" customWidth="1"/>
    <col min="25" max="25" width="12.140625" style="154" customWidth="1"/>
    <col min="26" max="26" width="10.7109375" style="154" hidden="1" customWidth="1"/>
    <col min="27" max="27" width="12.140625" style="154" customWidth="1"/>
    <col min="28" max="28" width="23.7109375" style="288" hidden="1" customWidth="1"/>
    <col min="29" max="29" width="10.7109375" style="154" hidden="1" customWidth="1"/>
    <col min="30" max="37" width="11.7109375" style="259" hidden="1" customWidth="1"/>
    <col min="38" max="38" width="12.28515625" style="259" hidden="1" customWidth="1"/>
    <col min="39" max="41" width="12.140625" style="154" customWidth="1"/>
    <col min="42" max="43" width="11.7109375" style="154" hidden="1" customWidth="1"/>
    <col min="44" max="44" width="12.140625" style="154" customWidth="1"/>
    <col min="45" max="45" width="11.7109375" style="154" hidden="1" customWidth="1"/>
    <col min="46" max="46" width="12.140625" style="154" customWidth="1"/>
    <col min="47" max="47" width="10.5703125" style="154" hidden="1" customWidth="1"/>
    <col min="48" max="48" width="14.7109375" style="154" hidden="1" customWidth="1"/>
    <col min="49" max="49" width="13.7109375" style="154" hidden="1" customWidth="1"/>
    <col min="50" max="16384" width="9.140625" style="154"/>
  </cols>
  <sheetData>
    <row r="1" spans="1:49" s="259" customFormat="1">
      <c r="A1" s="257"/>
      <c r="B1" s="257"/>
      <c r="C1" s="290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60"/>
      <c r="AM1" s="154"/>
      <c r="AN1" s="154"/>
      <c r="AO1" s="154"/>
      <c r="AP1" s="154"/>
      <c r="AQ1" s="154"/>
    </row>
    <row r="2" spans="1:49">
      <c r="A2" s="257" t="s">
        <v>2255</v>
      </c>
      <c r="B2" s="257"/>
      <c r="C2" s="290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170"/>
    </row>
    <row r="3" spans="1:49">
      <c r="A3" s="689"/>
      <c r="B3" s="689"/>
      <c r="C3" s="690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170"/>
    </row>
    <row r="4" spans="1:49" ht="25.15" customHeight="1">
      <c r="A4" s="688"/>
      <c r="B4" s="267"/>
      <c r="C4" s="277"/>
      <c r="T4" s="876" t="s">
        <v>256</v>
      </c>
      <c r="U4" s="877"/>
      <c r="V4" s="876" t="s">
        <v>88</v>
      </c>
      <c r="W4" s="877"/>
      <c r="X4" s="877"/>
      <c r="Y4" s="877"/>
      <c r="Z4" s="877"/>
      <c r="AA4" s="878"/>
      <c r="AB4" s="18"/>
      <c r="AC4" s="12"/>
      <c r="AD4" s="876" t="s">
        <v>246</v>
      </c>
      <c r="AE4" s="877"/>
      <c r="AF4" s="877"/>
      <c r="AG4" s="877"/>
      <c r="AH4" s="877"/>
      <c r="AI4" s="877"/>
      <c r="AJ4" s="877"/>
      <c r="AK4" s="877"/>
      <c r="AL4" s="877"/>
      <c r="AM4" s="877"/>
      <c r="AN4" s="566"/>
      <c r="AO4" s="876" t="s">
        <v>2269</v>
      </c>
      <c r="AP4" s="877"/>
      <c r="AQ4" s="877"/>
      <c r="AR4" s="877"/>
      <c r="AS4" s="877"/>
      <c r="AT4" s="878"/>
    </row>
    <row r="5" spans="1:49" s="263" customFormat="1" ht="75">
      <c r="A5" s="687" t="s">
        <v>0</v>
      </c>
      <c r="B5" s="687" t="s">
        <v>1</v>
      </c>
      <c r="C5" s="687" t="s">
        <v>2</v>
      </c>
      <c r="D5" s="157" t="s">
        <v>3</v>
      </c>
      <c r="E5" s="157" t="s">
        <v>4</v>
      </c>
      <c r="F5" s="157" t="s">
        <v>5</v>
      </c>
      <c r="G5" s="157" t="s">
        <v>6</v>
      </c>
      <c r="H5" s="157" t="s">
        <v>7</v>
      </c>
      <c r="I5" s="157" t="s">
        <v>9</v>
      </c>
      <c r="J5" s="157" t="s">
        <v>153</v>
      </c>
      <c r="K5" s="157" t="s">
        <v>10</v>
      </c>
      <c r="L5" s="403" t="s">
        <v>11</v>
      </c>
      <c r="M5" s="9" t="s">
        <v>618</v>
      </c>
      <c r="N5" s="157" t="s">
        <v>619</v>
      </c>
      <c r="O5" s="157" t="s">
        <v>620</v>
      </c>
      <c r="P5" s="157" t="s">
        <v>12</v>
      </c>
      <c r="Q5" s="157" t="s">
        <v>621</v>
      </c>
      <c r="R5" s="157" t="s">
        <v>622</v>
      </c>
      <c r="S5" s="157" t="s">
        <v>623</v>
      </c>
      <c r="T5" s="157" t="s">
        <v>624</v>
      </c>
      <c r="U5" s="157" t="s">
        <v>625</v>
      </c>
      <c r="V5" s="16" t="s">
        <v>13</v>
      </c>
      <c r="W5" s="16" t="s">
        <v>14</v>
      </c>
      <c r="X5" s="157" t="s">
        <v>15</v>
      </c>
      <c r="Y5" s="157" t="s">
        <v>265</v>
      </c>
      <c r="Z5" s="157" t="s">
        <v>749</v>
      </c>
      <c r="AA5" s="157" t="s">
        <v>84</v>
      </c>
      <c r="AB5" s="568" t="s">
        <v>304</v>
      </c>
      <c r="AC5" s="377" t="s">
        <v>16</v>
      </c>
      <c r="AD5" s="9" t="s">
        <v>1911</v>
      </c>
      <c r="AE5" s="9" t="s">
        <v>1912</v>
      </c>
      <c r="AF5" s="9" t="s">
        <v>247</v>
      </c>
      <c r="AG5" s="9" t="s">
        <v>248</v>
      </c>
      <c r="AH5" s="9" t="s">
        <v>1913</v>
      </c>
      <c r="AI5" s="9" t="s">
        <v>1914</v>
      </c>
      <c r="AJ5" s="9" t="s">
        <v>1915</v>
      </c>
      <c r="AK5" s="9" t="s">
        <v>1916</v>
      </c>
      <c r="AL5" s="9" t="s">
        <v>1917</v>
      </c>
      <c r="AM5" s="20" t="s">
        <v>2037</v>
      </c>
      <c r="AN5" s="20" t="s">
        <v>852</v>
      </c>
      <c r="AO5" s="9" t="s">
        <v>13</v>
      </c>
      <c r="AP5" s="9" t="s">
        <v>14</v>
      </c>
      <c r="AQ5" s="9" t="s">
        <v>15</v>
      </c>
      <c r="AR5" s="9" t="s">
        <v>265</v>
      </c>
      <c r="AS5" s="9" t="s">
        <v>749</v>
      </c>
      <c r="AT5" s="9" t="s">
        <v>84</v>
      </c>
      <c r="AU5" s="160" t="s">
        <v>1936</v>
      </c>
      <c r="AV5" s="157"/>
      <c r="AW5" s="166" t="s">
        <v>1937</v>
      </c>
    </row>
    <row r="6" spans="1:49" s="164" customFormat="1" ht="30" customHeight="1">
      <c r="A6" s="160">
        <v>1</v>
      </c>
      <c r="B6" s="160">
        <v>382</v>
      </c>
      <c r="C6" s="160" t="s">
        <v>482</v>
      </c>
      <c r="D6" s="161">
        <v>72881330</v>
      </c>
      <c r="E6" s="161">
        <v>72881330</v>
      </c>
      <c r="F6" s="161">
        <f t="shared" ref="F6:F69" si="0">D6-E6</f>
        <v>0</v>
      </c>
      <c r="G6" s="161">
        <v>61381330</v>
      </c>
      <c r="H6" s="161">
        <v>49864430</v>
      </c>
      <c r="I6" s="161">
        <v>0</v>
      </c>
      <c r="J6" s="161">
        <v>1365202</v>
      </c>
      <c r="K6" s="161">
        <f>SUM(I6:J6)</f>
        <v>1365202</v>
      </c>
      <c r="L6" s="161">
        <f t="shared" ref="L6:L69" si="1">K6+H6</f>
        <v>51229632</v>
      </c>
      <c r="M6" s="161">
        <f>P6+S6</f>
        <v>10151698</v>
      </c>
      <c r="N6" s="161">
        <v>11500000</v>
      </c>
      <c r="O6" s="161">
        <f>D6-L6-M6-N6</f>
        <v>0</v>
      </c>
      <c r="P6" s="161">
        <f>G6-L6</f>
        <v>10151698</v>
      </c>
      <c r="Q6" s="161"/>
      <c r="R6" s="161"/>
      <c r="S6" s="161">
        <f>SUM(Q6:R6)</f>
        <v>0</v>
      </c>
      <c r="T6" s="161">
        <f>P6-M6+S6</f>
        <v>0</v>
      </c>
      <c r="U6" s="161">
        <f>N6-T6</f>
        <v>11500000</v>
      </c>
      <c r="V6" s="161">
        <f>U6-Z6-X6-AA6-W6</f>
        <v>11500000</v>
      </c>
      <c r="W6" s="161"/>
      <c r="X6" s="161"/>
      <c r="Y6" s="161"/>
      <c r="Z6" s="161"/>
      <c r="AA6" s="160"/>
      <c r="AB6" s="265" t="s">
        <v>1938</v>
      </c>
      <c r="AC6" s="394">
        <v>742000</v>
      </c>
      <c r="AD6" s="331"/>
      <c r="AE6" s="331"/>
      <c r="AF6" s="331"/>
      <c r="AG6" s="331"/>
      <c r="AH6" s="161"/>
      <c r="AI6" s="161"/>
      <c r="AJ6" s="161"/>
      <c r="AK6" s="161"/>
      <c r="AL6" s="161"/>
      <c r="AM6" s="161">
        <f>SUM(AD6:AL6)</f>
        <v>0</v>
      </c>
      <c r="AN6" s="161">
        <f>U6-AM6</f>
        <v>11500000</v>
      </c>
      <c r="AO6" s="161">
        <f>AM6-AP6-AQ6-AR6-AS6-AT6</f>
        <v>0</v>
      </c>
      <c r="AP6" s="171"/>
      <c r="AQ6" s="171"/>
      <c r="AR6" s="160"/>
      <c r="AS6" s="160"/>
      <c r="AT6" s="160"/>
      <c r="AU6" s="161">
        <f>AN6</f>
        <v>11500000</v>
      </c>
      <c r="AV6" s="160"/>
      <c r="AW6" s="160"/>
    </row>
    <row r="7" spans="1:49" s="165" customFormat="1" ht="30" customHeight="1">
      <c r="A7" s="160">
        <f>A6+1</f>
        <v>2</v>
      </c>
      <c r="B7" s="160">
        <v>532</v>
      </c>
      <c r="C7" s="160" t="s">
        <v>75</v>
      </c>
      <c r="D7" s="161">
        <v>80090000</v>
      </c>
      <c r="E7" s="161">
        <v>80090000</v>
      </c>
      <c r="F7" s="161">
        <f t="shared" si="0"/>
        <v>0</v>
      </c>
      <c r="G7" s="161">
        <v>76140000</v>
      </c>
      <c r="H7" s="161">
        <v>74931076</v>
      </c>
      <c r="I7" s="161">
        <v>0</v>
      </c>
      <c r="J7" s="161">
        <v>692303</v>
      </c>
      <c r="K7" s="161">
        <f t="shared" ref="K7:K70" si="2">SUM(I7:J7)</f>
        <v>692303</v>
      </c>
      <c r="L7" s="161">
        <f t="shared" si="1"/>
        <v>75623379</v>
      </c>
      <c r="M7" s="161">
        <f>P7+S7</f>
        <v>516621</v>
      </c>
      <c r="N7" s="161">
        <v>3950000</v>
      </c>
      <c r="O7" s="161">
        <f t="shared" ref="O7:O70" si="3">D7-L7-M7-N7</f>
        <v>0</v>
      </c>
      <c r="P7" s="161">
        <f t="shared" ref="P7:P70" si="4">G7-L7</f>
        <v>516621</v>
      </c>
      <c r="Q7" s="161"/>
      <c r="R7" s="161"/>
      <c r="S7" s="161">
        <f t="shared" ref="S7:S12" si="5">SUM(Q7:R7)</f>
        <v>0</v>
      </c>
      <c r="T7" s="161">
        <f t="shared" ref="T7:T12" si="6">P7-M7+S7</f>
        <v>0</v>
      </c>
      <c r="U7" s="161">
        <f t="shared" ref="U7:U70" si="7">N7-T7</f>
        <v>3950000</v>
      </c>
      <c r="V7" s="161">
        <f t="shared" ref="V7:V70" si="8">U7-Z7-X7-AA7-W7</f>
        <v>3950000</v>
      </c>
      <c r="W7" s="161"/>
      <c r="X7" s="161"/>
      <c r="Y7" s="161"/>
      <c r="Z7" s="161"/>
      <c r="AA7" s="160"/>
      <c r="AB7" s="268" t="s">
        <v>694</v>
      </c>
      <c r="AC7" s="394">
        <v>742000</v>
      </c>
      <c r="AD7" s="331"/>
      <c r="AE7" s="331"/>
      <c r="AF7" s="161">
        <v>950000</v>
      </c>
      <c r="AG7" s="161"/>
      <c r="AH7" s="161"/>
      <c r="AI7" s="161"/>
      <c r="AJ7" s="161"/>
      <c r="AK7" s="161"/>
      <c r="AL7" s="161">
        <v>3000000</v>
      </c>
      <c r="AM7" s="161">
        <f t="shared" ref="AM7:AM70" si="9">SUM(AD7:AL7)</f>
        <v>3950000</v>
      </c>
      <c r="AN7" s="161">
        <f t="shared" ref="AN7:AN70" si="10">U7-AM7</f>
        <v>0</v>
      </c>
      <c r="AO7" s="161">
        <f t="shared" ref="AO7:AO70" si="11">AM7-AP7-AQ7-AR7-AS7-AT7</f>
        <v>3950000</v>
      </c>
      <c r="AP7" s="171"/>
      <c r="AQ7" s="171"/>
      <c r="AR7" s="166"/>
      <c r="AS7" s="166"/>
      <c r="AT7" s="166"/>
      <c r="AU7" s="166"/>
      <c r="AV7" s="166" t="s">
        <v>1937</v>
      </c>
      <c r="AW7" s="168">
        <f>AL7</f>
        <v>3000000</v>
      </c>
    </row>
    <row r="8" spans="1:49" s="165" customFormat="1" ht="30" customHeight="1">
      <c r="A8" s="160">
        <f t="shared" ref="A8:A71" si="12">A7+1</f>
        <v>3</v>
      </c>
      <c r="B8" s="160">
        <v>576</v>
      </c>
      <c r="C8" s="160" t="s">
        <v>76</v>
      </c>
      <c r="D8" s="161">
        <f>58113000+18800000</f>
        <v>76913000</v>
      </c>
      <c r="E8" s="161">
        <v>58113000</v>
      </c>
      <c r="F8" s="161">
        <f t="shared" si="0"/>
        <v>18800000</v>
      </c>
      <c r="G8" s="161">
        <v>58113000</v>
      </c>
      <c r="H8" s="161">
        <v>53684633</v>
      </c>
      <c r="I8" s="161">
        <v>0</v>
      </c>
      <c r="J8" s="161">
        <v>645799</v>
      </c>
      <c r="K8" s="161">
        <f t="shared" si="2"/>
        <v>645799</v>
      </c>
      <c r="L8" s="161">
        <f t="shared" si="1"/>
        <v>54330432</v>
      </c>
      <c r="M8" s="161">
        <f>P8+S8</f>
        <v>3782568</v>
      </c>
      <c r="N8" s="161">
        <v>12000000</v>
      </c>
      <c r="O8" s="161">
        <f t="shared" si="3"/>
        <v>6800000</v>
      </c>
      <c r="P8" s="161">
        <f t="shared" si="4"/>
        <v>3782568</v>
      </c>
      <c r="Q8" s="161"/>
      <c r="R8" s="161"/>
      <c r="S8" s="161">
        <f t="shared" si="5"/>
        <v>0</v>
      </c>
      <c r="T8" s="161">
        <f t="shared" si="6"/>
        <v>0</v>
      </c>
      <c r="U8" s="161">
        <f t="shared" si="7"/>
        <v>12000000</v>
      </c>
      <c r="V8" s="161">
        <f t="shared" si="8"/>
        <v>0</v>
      </c>
      <c r="W8" s="161"/>
      <c r="X8" s="161"/>
      <c r="Y8" s="161"/>
      <c r="Z8" s="161"/>
      <c r="AA8" s="161">
        <v>12000000</v>
      </c>
      <c r="AB8" s="160" t="s">
        <v>784</v>
      </c>
      <c r="AC8" s="394">
        <v>760000</v>
      </c>
      <c r="AD8" s="331"/>
      <c r="AE8" s="331"/>
      <c r="AF8" s="161"/>
      <c r="AG8" s="161"/>
      <c r="AH8" s="161"/>
      <c r="AI8" s="161"/>
      <c r="AJ8" s="161"/>
      <c r="AK8" s="161"/>
      <c r="AL8" s="161"/>
      <c r="AM8" s="161">
        <f t="shared" si="9"/>
        <v>0</v>
      </c>
      <c r="AN8" s="161">
        <f t="shared" si="10"/>
        <v>12000000</v>
      </c>
      <c r="AO8" s="161">
        <f t="shared" si="11"/>
        <v>0</v>
      </c>
      <c r="AP8" s="171"/>
      <c r="AQ8" s="171"/>
      <c r="AR8" s="166"/>
      <c r="AS8" s="166"/>
      <c r="AT8" s="161"/>
      <c r="AU8" s="161">
        <f>AN8</f>
        <v>12000000</v>
      </c>
      <c r="AV8" s="166" t="s">
        <v>1939</v>
      </c>
      <c r="AW8" s="166"/>
    </row>
    <row r="9" spans="1:49" s="165" customFormat="1" ht="30" customHeight="1">
      <c r="A9" s="160">
        <f t="shared" si="12"/>
        <v>4</v>
      </c>
      <c r="B9" s="160">
        <v>634</v>
      </c>
      <c r="C9" s="160" t="s">
        <v>430</v>
      </c>
      <c r="D9" s="161">
        <v>56350000</v>
      </c>
      <c r="E9" s="161">
        <v>56350000</v>
      </c>
      <c r="F9" s="161">
        <f t="shared" si="0"/>
        <v>0</v>
      </c>
      <c r="G9" s="161">
        <v>56350000</v>
      </c>
      <c r="H9" s="161">
        <v>55506718</v>
      </c>
      <c r="I9" s="161">
        <v>0</v>
      </c>
      <c r="J9" s="161">
        <v>95241</v>
      </c>
      <c r="K9" s="161">
        <f t="shared" si="2"/>
        <v>95241</v>
      </c>
      <c r="L9" s="161">
        <f t="shared" si="1"/>
        <v>55601959</v>
      </c>
      <c r="M9" s="161">
        <f>P9+S9-400000</f>
        <v>348041</v>
      </c>
      <c r="N9" s="161"/>
      <c r="O9" s="161">
        <f t="shared" si="3"/>
        <v>400000</v>
      </c>
      <c r="P9" s="161">
        <f t="shared" si="4"/>
        <v>748041</v>
      </c>
      <c r="Q9" s="161"/>
      <c r="R9" s="161"/>
      <c r="S9" s="161">
        <f t="shared" si="5"/>
        <v>0</v>
      </c>
      <c r="T9" s="161">
        <f t="shared" si="6"/>
        <v>400000</v>
      </c>
      <c r="U9" s="161">
        <f t="shared" si="7"/>
        <v>-400000</v>
      </c>
      <c r="V9" s="161">
        <f t="shared" si="8"/>
        <v>-400000</v>
      </c>
      <c r="W9" s="161"/>
      <c r="X9" s="161"/>
      <c r="Y9" s="161"/>
      <c r="Z9" s="161"/>
      <c r="AA9" s="160"/>
      <c r="AB9" s="160" t="s">
        <v>521</v>
      </c>
      <c r="AC9" s="394">
        <v>732000</v>
      </c>
      <c r="AD9" s="331"/>
      <c r="AE9" s="331"/>
      <c r="AF9" s="161">
        <v>-400000</v>
      </c>
      <c r="AG9" s="161"/>
      <c r="AH9" s="161"/>
      <c r="AI9" s="161"/>
      <c r="AJ9" s="161"/>
      <c r="AK9" s="161"/>
      <c r="AL9" s="161"/>
      <c r="AM9" s="161">
        <f t="shared" si="9"/>
        <v>-400000</v>
      </c>
      <c r="AN9" s="161">
        <f t="shared" si="10"/>
        <v>0</v>
      </c>
      <c r="AO9" s="161">
        <f t="shared" si="11"/>
        <v>-400000</v>
      </c>
      <c r="AP9" s="171"/>
      <c r="AQ9" s="171"/>
      <c r="AR9" s="166"/>
      <c r="AS9" s="166"/>
      <c r="AT9" s="166"/>
      <c r="AU9" s="161">
        <f t="shared" ref="AU9:AU72" si="13">AN9</f>
        <v>0</v>
      </c>
      <c r="AV9" s="166"/>
      <c r="AW9" s="166"/>
    </row>
    <row r="10" spans="1:49" s="164" customFormat="1" ht="30" customHeight="1">
      <c r="A10" s="160">
        <f t="shared" si="12"/>
        <v>5</v>
      </c>
      <c r="B10" s="160">
        <v>1067</v>
      </c>
      <c r="C10" s="160" t="s">
        <v>77</v>
      </c>
      <c r="D10" s="161">
        <f>3975000+500000</f>
        <v>4475000</v>
      </c>
      <c r="E10" s="161">
        <v>3975000</v>
      </c>
      <c r="F10" s="161">
        <f t="shared" si="0"/>
        <v>500000</v>
      </c>
      <c r="G10" s="161">
        <v>3975000</v>
      </c>
      <c r="H10" s="161">
        <v>3321663</v>
      </c>
      <c r="I10" s="161">
        <v>0</v>
      </c>
      <c r="J10" s="161">
        <v>395696</v>
      </c>
      <c r="K10" s="161">
        <f t="shared" si="2"/>
        <v>395696</v>
      </c>
      <c r="L10" s="161">
        <f t="shared" si="1"/>
        <v>3717359</v>
      </c>
      <c r="M10" s="161">
        <f>P10+S10</f>
        <v>257641</v>
      </c>
      <c r="N10" s="161">
        <v>500000</v>
      </c>
      <c r="O10" s="161">
        <f t="shared" si="3"/>
        <v>0</v>
      </c>
      <c r="P10" s="161">
        <f t="shared" si="4"/>
        <v>257641</v>
      </c>
      <c r="Q10" s="161"/>
      <c r="R10" s="161"/>
      <c r="S10" s="161">
        <f t="shared" si="5"/>
        <v>0</v>
      </c>
      <c r="T10" s="161">
        <f t="shared" si="6"/>
        <v>0</v>
      </c>
      <c r="U10" s="161">
        <f t="shared" si="7"/>
        <v>500000</v>
      </c>
      <c r="V10" s="161">
        <f t="shared" si="8"/>
        <v>500000</v>
      </c>
      <c r="W10" s="161"/>
      <c r="X10" s="161"/>
      <c r="Y10" s="161"/>
      <c r="Z10" s="161"/>
      <c r="AA10" s="160"/>
      <c r="AB10" s="268" t="s">
        <v>321</v>
      </c>
      <c r="AC10" s="394">
        <v>742000</v>
      </c>
      <c r="AD10" s="331"/>
      <c r="AE10" s="331"/>
      <c r="AF10" s="161"/>
      <c r="AG10" s="161"/>
      <c r="AH10" s="161"/>
      <c r="AI10" s="161"/>
      <c r="AJ10" s="161"/>
      <c r="AK10" s="161"/>
      <c r="AL10" s="161">
        <v>500000</v>
      </c>
      <c r="AM10" s="161">
        <f t="shared" si="9"/>
        <v>500000</v>
      </c>
      <c r="AN10" s="161">
        <f t="shared" si="10"/>
        <v>0</v>
      </c>
      <c r="AO10" s="161">
        <f t="shared" si="11"/>
        <v>500000</v>
      </c>
      <c r="AP10" s="171"/>
      <c r="AQ10" s="171"/>
      <c r="AR10" s="160"/>
      <c r="AS10" s="160"/>
      <c r="AT10" s="160"/>
      <c r="AU10" s="161">
        <f t="shared" si="13"/>
        <v>0</v>
      </c>
      <c r="AV10" s="160"/>
      <c r="AW10" s="168">
        <f>AL10</f>
        <v>500000</v>
      </c>
    </row>
    <row r="11" spans="1:49" s="165" customFormat="1" ht="30" customHeight="1">
      <c r="A11" s="160">
        <f t="shared" si="12"/>
        <v>6</v>
      </c>
      <c r="B11" s="160">
        <v>1207</v>
      </c>
      <c r="C11" s="160" t="s">
        <v>78</v>
      </c>
      <c r="D11" s="161">
        <v>50650000</v>
      </c>
      <c r="E11" s="161">
        <v>50650000</v>
      </c>
      <c r="F11" s="161">
        <f t="shared" si="0"/>
        <v>0</v>
      </c>
      <c r="G11" s="161">
        <v>45650000</v>
      </c>
      <c r="H11" s="161">
        <v>29952314</v>
      </c>
      <c r="I11" s="161">
        <v>0</v>
      </c>
      <c r="J11" s="161">
        <v>215819</v>
      </c>
      <c r="K11" s="161">
        <f t="shared" si="2"/>
        <v>215819</v>
      </c>
      <c r="L11" s="161">
        <f t="shared" si="1"/>
        <v>30168133</v>
      </c>
      <c r="M11" s="161">
        <f>P11+S11</f>
        <v>15481867</v>
      </c>
      <c r="N11" s="161">
        <v>5000000</v>
      </c>
      <c r="O11" s="161">
        <f t="shared" si="3"/>
        <v>0</v>
      </c>
      <c r="P11" s="161">
        <f t="shared" si="4"/>
        <v>15481867</v>
      </c>
      <c r="Q11" s="161"/>
      <c r="R11" s="161"/>
      <c r="S11" s="161">
        <f t="shared" si="5"/>
        <v>0</v>
      </c>
      <c r="T11" s="161">
        <f t="shared" si="6"/>
        <v>0</v>
      </c>
      <c r="U11" s="161">
        <f t="shared" si="7"/>
        <v>5000000</v>
      </c>
      <c r="V11" s="161">
        <f t="shared" si="8"/>
        <v>5000000</v>
      </c>
      <c r="W11" s="161"/>
      <c r="X11" s="161"/>
      <c r="Y11" s="161"/>
      <c r="Z11" s="161"/>
      <c r="AA11" s="160"/>
      <c r="AB11" s="268" t="s">
        <v>576</v>
      </c>
      <c r="AC11" s="394">
        <v>742000</v>
      </c>
      <c r="AD11" s="331"/>
      <c r="AE11" s="331"/>
      <c r="AF11" s="161"/>
      <c r="AG11" s="161"/>
      <c r="AH11" s="161"/>
      <c r="AI11" s="161"/>
      <c r="AJ11" s="161"/>
      <c r="AK11" s="161"/>
      <c r="AL11" s="161"/>
      <c r="AM11" s="161">
        <f t="shared" si="9"/>
        <v>0</v>
      </c>
      <c r="AN11" s="161">
        <f t="shared" si="10"/>
        <v>5000000</v>
      </c>
      <c r="AO11" s="161">
        <f t="shared" si="11"/>
        <v>0</v>
      </c>
      <c r="AP11" s="171"/>
      <c r="AQ11" s="171"/>
      <c r="AR11" s="166"/>
      <c r="AS11" s="166"/>
      <c r="AT11" s="166"/>
      <c r="AU11" s="161">
        <f t="shared" si="13"/>
        <v>5000000</v>
      </c>
      <c r="AV11" s="166" t="s">
        <v>1940</v>
      </c>
      <c r="AW11" s="166"/>
    </row>
    <row r="12" spans="1:49" s="165" customFormat="1" ht="30" customHeight="1">
      <c r="A12" s="160">
        <f t="shared" si="12"/>
        <v>7</v>
      </c>
      <c r="B12" s="160">
        <v>1238</v>
      </c>
      <c r="C12" s="160" t="s">
        <v>79</v>
      </c>
      <c r="D12" s="161">
        <v>32940000</v>
      </c>
      <c r="E12" s="161">
        <v>32940000</v>
      </c>
      <c r="F12" s="161">
        <f t="shared" si="0"/>
        <v>0</v>
      </c>
      <c r="G12" s="161">
        <v>25500000</v>
      </c>
      <c r="H12" s="161">
        <v>25492352</v>
      </c>
      <c r="I12" s="161">
        <v>0</v>
      </c>
      <c r="J12" s="161">
        <v>0</v>
      </c>
      <c r="K12" s="161">
        <f t="shared" si="2"/>
        <v>0</v>
      </c>
      <c r="L12" s="161">
        <f t="shared" si="1"/>
        <v>25492352</v>
      </c>
      <c r="M12" s="161">
        <f>P12+S12</f>
        <v>7648</v>
      </c>
      <c r="N12" s="161">
        <f>7440000-7440000</f>
        <v>0</v>
      </c>
      <c r="O12" s="161">
        <f t="shared" si="3"/>
        <v>7440000</v>
      </c>
      <c r="P12" s="161">
        <f t="shared" si="4"/>
        <v>7648</v>
      </c>
      <c r="Q12" s="161"/>
      <c r="R12" s="161"/>
      <c r="S12" s="161">
        <f t="shared" si="5"/>
        <v>0</v>
      </c>
      <c r="T12" s="161">
        <f t="shared" si="6"/>
        <v>0</v>
      </c>
      <c r="U12" s="161">
        <f t="shared" si="7"/>
        <v>0</v>
      </c>
      <c r="V12" s="161">
        <f t="shared" si="8"/>
        <v>0</v>
      </c>
      <c r="W12" s="161"/>
      <c r="X12" s="161"/>
      <c r="Y12" s="161"/>
      <c r="Z12" s="161"/>
      <c r="AA12" s="160"/>
      <c r="AB12" s="321" t="s">
        <v>1941</v>
      </c>
      <c r="AC12" s="394">
        <v>742000</v>
      </c>
      <c r="AD12" s="331"/>
      <c r="AE12" s="331"/>
      <c r="AF12" s="161"/>
      <c r="AG12" s="161"/>
      <c r="AH12" s="161"/>
      <c r="AI12" s="161"/>
      <c r="AJ12" s="161"/>
      <c r="AK12" s="161"/>
      <c r="AL12" s="161"/>
      <c r="AM12" s="161">
        <f t="shared" si="9"/>
        <v>0</v>
      </c>
      <c r="AN12" s="161">
        <f t="shared" si="10"/>
        <v>0</v>
      </c>
      <c r="AO12" s="161">
        <f t="shared" si="11"/>
        <v>0</v>
      </c>
      <c r="AP12" s="171"/>
      <c r="AQ12" s="171"/>
      <c r="AR12" s="166"/>
      <c r="AS12" s="166"/>
      <c r="AT12" s="166"/>
      <c r="AU12" s="161">
        <f t="shared" si="13"/>
        <v>0</v>
      </c>
      <c r="AV12" s="166"/>
      <c r="AW12" s="166"/>
    </row>
    <row r="13" spans="1:49" s="165" customFormat="1" ht="30" customHeight="1">
      <c r="A13" s="160">
        <f t="shared" si="12"/>
        <v>8</v>
      </c>
      <c r="B13" s="160">
        <v>1298</v>
      </c>
      <c r="C13" s="160" t="s">
        <v>33</v>
      </c>
      <c r="D13" s="161">
        <f>4600000+500000</f>
        <v>5100000</v>
      </c>
      <c r="E13" s="161">
        <v>4600000</v>
      </c>
      <c r="F13" s="161">
        <f t="shared" si="0"/>
        <v>500000</v>
      </c>
      <c r="G13" s="161">
        <v>4600000</v>
      </c>
      <c r="H13" s="161">
        <v>4357584</v>
      </c>
      <c r="I13" s="161">
        <v>0</v>
      </c>
      <c r="J13" s="161">
        <v>241538</v>
      </c>
      <c r="K13" s="161">
        <f t="shared" si="2"/>
        <v>241538</v>
      </c>
      <c r="L13" s="161">
        <f t="shared" si="1"/>
        <v>4599122</v>
      </c>
      <c r="M13" s="161">
        <f>P13+S13</f>
        <v>878</v>
      </c>
      <c r="N13" s="161">
        <v>500000</v>
      </c>
      <c r="O13" s="161">
        <f t="shared" si="3"/>
        <v>0</v>
      </c>
      <c r="P13" s="161">
        <f t="shared" si="4"/>
        <v>878</v>
      </c>
      <c r="Q13" s="161"/>
      <c r="R13" s="161"/>
      <c r="S13" s="161">
        <f>SUM(Q13:R13)</f>
        <v>0</v>
      </c>
      <c r="T13" s="161">
        <f>P13-M13+S13</f>
        <v>0</v>
      </c>
      <c r="U13" s="161">
        <f t="shared" si="7"/>
        <v>500000</v>
      </c>
      <c r="V13" s="161">
        <f t="shared" si="8"/>
        <v>500000</v>
      </c>
      <c r="W13" s="161"/>
      <c r="X13" s="161"/>
      <c r="Y13" s="161"/>
      <c r="Z13" s="161"/>
      <c r="AA13" s="160"/>
      <c r="AB13" s="268" t="s">
        <v>322</v>
      </c>
      <c r="AC13" s="394">
        <v>742000</v>
      </c>
      <c r="AD13" s="331"/>
      <c r="AE13" s="331"/>
      <c r="AF13" s="161"/>
      <c r="AG13" s="161"/>
      <c r="AH13" s="161">
        <v>100000</v>
      </c>
      <c r="AI13" s="161"/>
      <c r="AJ13" s="161">
        <v>100000</v>
      </c>
      <c r="AK13" s="161"/>
      <c r="AL13" s="161">
        <v>300000</v>
      </c>
      <c r="AM13" s="161">
        <f t="shared" si="9"/>
        <v>500000</v>
      </c>
      <c r="AN13" s="161">
        <f t="shared" si="10"/>
        <v>0</v>
      </c>
      <c r="AO13" s="161">
        <f t="shared" si="11"/>
        <v>500000</v>
      </c>
      <c r="AP13" s="171"/>
      <c r="AQ13" s="171"/>
      <c r="AR13" s="166"/>
      <c r="AS13" s="166"/>
      <c r="AT13" s="166"/>
      <c r="AU13" s="161">
        <f t="shared" si="13"/>
        <v>0</v>
      </c>
      <c r="AV13" s="166" t="s">
        <v>1942</v>
      </c>
      <c r="AW13" s="168">
        <f>AL13</f>
        <v>300000</v>
      </c>
    </row>
    <row r="14" spans="1:49" s="164" customFormat="1" ht="30" customHeight="1">
      <c r="A14" s="160">
        <f t="shared" si="12"/>
        <v>9</v>
      </c>
      <c r="B14" s="160">
        <v>1312</v>
      </c>
      <c r="C14" s="160" t="s">
        <v>34</v>
      </c>
      <c r="D14" s="161">
        <f>109500000-2720000-2549000+3000000</f>
        <v>107231000</v>
      </c>
      <c r="E14" s="161">
        <v>109500000</v>
      </c>
      <c r="F14" s="161">
        <f t="shared" si="0"/>
        <v>-2269000</v>
      </c>
      <c r="G14" s="161">
        <v>107980000</v>
      </c>
      <c r="H14" s="161">
        <v>104133024</v>
      </c>
      <c r="I14" s="161">
        <v>0</v>
      </c>
      <c r="J14" s="161">
        <v>97843</v>
      </c>
      <c r="K14" s="161">
        <f t="shared" si="2"/>
        <v>97843</v>
      </c>
      <c r="L14" s="161">
        <f t="shared" si="1"/>
        <v>104230867</v>
      </c>
      <c r="M14" s="161">
        <f>P14+S14-3749000</f>
        <v>133</v>
      </c>
      <c r="N14" s="161">
        <v>3000000</v>
      </c>
      <c r="O14" s="161">
        <f t="shared" si="3"/>
        <v>0</v>
      </c>
      <c r="P14" s="161">
        <f t="shared" si="4"/>
        <v>3749133</v>
      </c>
      <c r="Q14" s="161"/>
      <c r="R14" s="161"/>
      <c r="S14" s="161">
        <f t="shared" ref="S14:S25" si="14">SUM(Q14:R14)</f>
        <v>0</v>
      </c>
      <c r="T14" s="161">
        <f t="shared" ref="T14:T77" si="15">P14-M14+S14</f>
        <v>3749000</v>
      </c>
      <c r="U14" s="161">
        <f t="shared" si="7"/>
        <v>-749000</v>
      </c>
      <c r="V14" s="161">
        <f t="shared" si="8"/>
        <v>-749000</v>
      </c>
      <c r="W14" s="161"/>
      <c r="X14" s="161"/>
      <c r="Y14" s="161"/>
      <c r="Z14" s="161"/>
      <c r="AA14" s="160"/>
      <c r="AB14" s="160" t="s">
        <v>1943</v>
      </c>
      <c r="AC14" s="394">
        <v>930000</v>
      </c>
      <c r="AD14" s="331"/>
      <c r="AE14" s="331"/>
      <c r="AF14" s="161">
        <v>-749000</v>
      </c>
      <c r="AG14" s="161"/>
      <c r="AH14" s="161"/>
      <c r="AI14" s="161"/>
      <c r="AJ14" s="161"/>
      <c r="AK14" s="161"/>
      <c r="AL14" s="161"/>
      <c r="AM14" s="161">
        <f t="shared" si="9"/>
        <v>-749000</v>
      </c>
      <c r="AN14" s="161">
        <f t="shared" si="10"/>
        <v>0</v>
      </c>
      <c r="AO14" s="161">
        <f t="shared" si="11"/>
        <v>-749000</v>
      </c>
      <c r="AP14" s="171"/>
      <c r="AQ14" s="171"/>
      <c r="AR14" s="160"/>
      <c r="AS14" s="160"/>
      <c r="AT14" s="160"/>
      <c r="AU14" s="161">
        <f t="shared" si="13"/>
        <v>0</v>
      </c>
      <c r="AV14" s="166"/>
      <c r="AW14" s="160"/>
    </row>
    <row r="15" spans="1:49" s="5" customFormat="1" ht="30" customHeight="1">
      <c r="A15" s="160">
        <f t="shared" si="12"/>
        <v>10</v>
      </c>
      <c r="B15" s="3">
        <v>1314</v>
      </c>
      <c r="C15" s="3" t="s">
        <v>45</v>
      </c>
      <c r="D15" s="4">
        <v>3200000</v>
      </c>
      <c r="E15" s="4">
        <v>3200000</v>
      </c>
      <c r="F15" s="161">
        <f t="shared" si="0"/>
        <v>0</v>
      </c>
      <c r="G15" s="4">
        <v>660000</v>
      </c>
      <c r="H15" s="4">
        <v>400766</v>
      </c>
      <c r="I15" s="4">
        <v>0</v>
      </c>
      <c r="J15" s="4"/>
      <c r="K15" s="161">
        <f t="shared" si="2"/>
        <v>0</v>
      </c>
      <c r="L15" s="161">
        <f t="shared" si="1"/>
        <v>400766</v>
      </c>
      <c r="M15" s="161">
        <f t="shared" ref="M15:M78" si="16">P15+S15</f>
        <v>259234</v>
      </c>
      <c r="N15" s="161">
        <f>2540000-2540000</f>
        <v>0</v>
      </c>
      <c r="O15" s="161">
        <f t="shared" si="3"/>
        <v>2540000</v>
      </c>
      <c r="P15" s="161">
        <f t="shared" si="4"/>
        <v>259234</v>
      </c>
      <c r="Q15" s="161"/>
      <c r="R15" s="161"/>
      <c r="S15" s="161">
        <f t="shared" si="14"/>
        <v>0</v>
      </c>
      <c r="T15" s="161">
        <f t="shared" si="15"/>
        <v>0</v>
      </c>
      <c r="U15" s="161">
        <f t="shared" si="7"/>
        <v>0</v>
      </c>
      <c r="V15" s="161">
        <f t="shared" si="8"/>
        <v>0</v>
      </c>
      <c r="W15" s="161"/>
      <c r="X15" s="161"/>
      <c r="Y15" s="161"/>
      <c r="Z15" s="161"/>
      <c r="AA15" s="160"/>
      <c r="AB15" s="3" t="s">
        <v>582</v>
      </c>
      <c r="AC15" s="386">
        <v>742000</v>
      </c>
      <c r="AD15" s="331"/>
      <c r="AE15" s="331"/>
      <c r="AF15" s="161"/>
      <c r="AG15" s="161"/>
      <c r="AH15" s="161"/>
      <c r="AI15" s="161"/>
      <c r="AJ15" s="161"/>
      <c r="AK15" s="161"/>
      <c r="AL15" s="161"/>
      <c r="AM15" s="161">
        <f t="shared" si="9"/>
        <v>0</v>
      </c>
      <c r="AN15" s="161">
        <f t="shared" si="10"/>
        <v>0</v>
      </c>
      <c r="AO15" s="161">
        <f t="shared" si="11"/>
        <v>0</v>
      </c>
      <c r="AP15" s="171"/>
      <c r="AQ15" s="171"/>
      <c r="AR15" s="3"/>
      <c r="AS15" s="3"/>
      <c r="AT15" s="3"/>
      <c r="AU15" s="161">
        <f t="shared" si="13"/>
        <v>0</v>
      </c>
      <c r="AV15" s="166"/>
      <c r="AW15" s="3"/>
    </row>
    <row r="16" spans="1:49" s="5" customFormat="1" ht="30" customHeight="1">
      <c r="A16" s="160">
        <f t="shared" si="12"/>
        <v>11</v>
      </c>
      <c r="B16" s="3">
        <v>1322</v>
      </c>
      <c r="C16" s="3" t="s">
        <v>35</v>
      </c>
      <c r="D16" s="4">
        <v>18500000</v>
      </c>
      <c r="E16" s="4">
        <v>18500000</v>
      </c>
      <c r="F16" s="161">
        <f t="shared" si="0"/>
        <v>0</v>
      </c>
      <c r="G16" s="4">
        <v>10850000</v>
      </c>
      <c r="H16" s="4">
        <v>9625169</v>
      </c>
      <c r="I16" s="4">
        <v>82865</v>
      </c>
      <c r="J16" s="4">
        <v>0</v>
      </c>
      <c r="K16" s="161">
        <f t="shared" si="2"/>
        <v>82865</v>
      </c>
      <c r="L16" s="161">
        <f t="shared" si="1"/>
        <v>9708034</v>
      </c>
      <c r="M16" s="161">
        <f t="shared" si="16"/>
        <v>1141966</v>
      </c>
      <c r="N16" s="161">
        <f>2000000-2000000</f>
        <v>0</v>
      </c>
      <c r="O16" s="161">
        <f t="shared" si="3"/>
        <v>7650000</v>
      </c>
      <c r="P16" s="161">
        <f t="shared" si="4"/>
        <v>1141966</v>
      </c>
      <c r="Q16" s="161"/>
      <c r="R16" s="161"/>
      <c r="S16" s="161">
        <f t="shared" si="14"/>
        <v>0</v>
      </c>
      <c r="T16" s="161">
        <f t="shared" si="15"/>
        <v>0</v>
      </c>
      <c r="U16" s="161">
        <f t="shared" si="7"/>
        <v>0</v>
      </c>
      <c r="V16" s="161">
        <f t="shared" si="8"/>
        <v>0</v>
      </c>
      <c r="W16" s="161"/>
      <c r="X16" s="161"/>
      <c r="Y16" s="161"/>
      <c r="Z16" s="161"/>
      <c r="AA16" s="160"/>
      <c r="AB16" s="3" t="s">
        <v>767</v>
      </c>
      <c r="AC16" s="386">
        <v>742000</v>
      </c>
      <c r="AD16" s="331"/>
      <c r="AE16" s="331"/>
      <c r="AF16" s="161"/>
      <c r="AG16" s="161"/>
      <c r="AH16" s="161"/>
      <c r="AI16" s="161"/>
      <c r="AJ16" s="161"/>
      <c r="AK16" s="161"/>
      <c r="AL16" s="161"/>
      <c r="AM16" s="161">
        <f t="shared" si="9"/>
        <v>0</v>
      </c>
      <c r="AN16" s="161">
        <f t="shared" si="10"/>
        <v>0</v>
      </c>
      <c r="AO16" s="161">
        <f t="shared" si="11"/>
        <v>0</v>
      </c>
      <c r="AP16" s="171"/>
      <c r="AQ16" s="171"/>
      <c r="AR16" s="3"/>
      <c r="AS16" s="3"/>
      <c r="AT16" s="3"/>
      <c r="AU16" s="161">
        <f t="shared" si="13"/>
        <v>0</v>
      </c>
      <c r="AV16" s="166"/>
      <c r="AW16" s="3"/>
    </row>
    <row r="17" spans="1:49" s="5" customFormat="1" ht="30" customHeight="1">
      <c r="A17" s="160">
        <f t="shared" si="12"/>
        <v>12</v>
      </c>
      <c r="B17" s="3">
        <v>1357</v>
      </c>
      <c r="C17" s="3" t="s">
        <v>46</v>
      </c>
      <c r="D17" s="4">
        <v>25000000</v>
      </c>
      <c r="E17" s="4">
        <v>25000000</v>
      </c>
      <c r="F17" s="161">
        <f t="shared" si="0"/>
        <v>0</v>
      </c>
      <c r="G17" s="4">
        <f>12612000+2000000</f>
        <v>14612000</v>
      </c>
      <c r="H17" s="4">
        <v>12621360</v>
      </c>
      <c r="I17" s="4">
        <v>0</v>
      </c>
      <c r="J17" s="4">
        <v>190113</v>
      </c>
      <c r="K17" s="161">
        <f t="shared" si="2"/>
        <v>190113</v>
      </c>
      <c r="L17" s="161">
        <f t="shared" si="1"/>
        <v>12811473</v>
      </c>
      <c r="M17" s="161">
        <f t="shared" si="16"/>
        <v>1800527</v>
      </c>
      <c r="N17" s="161">
        <v>3500000</v>
      </c>
      <c r="O17" s="161">
        <f t="shared" si="3"/>
        <v>6888000</v>
      </c>
      <c r="P17" s="161">
        <f t="shared" si="4"/>
        <v>1800527</v>
      </c>
      <c r="Q17" s="161"/>
      <c r="R17" s="161"/>
      <c r="S17" s="161">
        <f t="shared" si="14"/>
        <v>0</v>
      </c>
      <c r="T17" s="161">
        <f t="shared" si="15"/>
        <v>0</v>
      </c>
      <c r="U17" s="161">
        <f t="shared" si="7"/>
        <v>3500000</v>
      </c>
      <c r="V17" s="161">
        <f t="shared" si="8"/>
        <v>3500000</v>
      </c>
      <c r="W17" s="161"/>
      <c r="X17" s="161"/>
      <c r="Y17" s="161"/>
      <c r="Z17" s="161"/>
      <c r="AA17" s="160"/>
      <c r="AB17" s="3" t="s">
        <v>595</v>
      </c>
      <c r="AC17" s="386">
        <v>829000</v>
      </c>
      <c r="AD17" s="331"/>
      <c r="AE17" s="331"/>
      <c r="AF17" s="161">
        <v>200000</v>
      </c>
      <c r="AG17" s="161">
        <v>3250000</v>
      </c>
      <c r="AH17" s="161"/>
      <c r="AI17" s="161"/>
      <c r="AJ17" s="161"/>
      <c r="AK17" s="161"/>
      <c r="AL17" s="161">
        <v>50000</v>
      </c>
      <c r="AM17" s="161">
        <f t="shared" si="9"/>
        <v>3500000</v>
      </c>
      <c r="AN17" s="161">
        <f t="shared" si="10"/>
        <v>0</v>
      </c>
      <c r="AO17" s="161">
        <f t="shared" si="11"/>
        <v>3500000</v>
      </c>
      <c r="AP17" s="171"/>
      <c r="AQ17" s="171"/>
      <c r="AR17" s="3"/>
      <c r="AS17" s="3"/>
      <c r="AT17" s="3"/>
      <c r="AU17" s="161">
        <f t="shared" si="13"/>
        <v>0</v>
      </c>
      <c r="AV17" s="166"/>
      <c r="AW17" s="168">
        <f>AL17</f>
        <v>50000</v>
      </c>
    </row>
    <row r="18" spans="1:49" s="164" customFormat="1" ht="30" customHeight="1">
      <c r="A18" s="160">
        <f t="shared" si="12"/>
        <v>13</v>
      </c>
      <c r="B18" s="160">
        <v>1375</v>
      </c>
      <c r="C18" s="160" t="s">
        <v>431</v>
      </c>
      <c r="D18" s="161">
        <v>40150000</v>
      </c>
      <c r="E18" s="161">
        <v>40150000</v>
      </c>
      <c r="F18" s="161">
        <f t="shared" si="0"/>
        <v>0</v>
      </c>
      <c r="G18" s="161">
        <v>30150000</v>
      </c>
      <c r="H18" s="161">
        <v>29163485</v>
      </c>
      <c r="I18" s="161">
        <v>0</v>
      </c>
      <c r="J18" s="161">
        <v>735246</v>
      </c>
      <c r="K18" s="161">
        <f t="shared" si="2"/>
        <v>735246</v>
      </c>
      <c r="L18" s="161">
        <f t="shared" si="1"/>
        <v>29898731</v>
      </c>
      <c r="M18" s="161">
        <f t="shared" si="16"/>
        <v>251269</v>
      </c>
      <c r="N18" s="161">
        <f>10000000-10000000</f>
        <v>0</v>
      </c>
      <c r="O18" s="161">
        <f t="shared" si="3"/>
        <v>10000000</v>
      </c>
      <c r="P18" s="161">
        <f t="shared" si="4"/>
        <v>251269</v>
      </c>
      <c r="Q18" s="161"/>
      <c r="R18" s="161"/>
      <c r="S18" s="161">
        <f t="shared" si="14"/>
        <v>0</v>
      </c>
      <c r="T18" s="161">
        <f t="shared" si="15"/>
        <v>0</v>
      </c>
      <c r="U18" s="161">
        <f t="shared" si="7"/>
        <v>0</v>
      </c>
      <c r="V18" s="161">
        <f t="shared" si="8"/>
        <v>0</v>
      </c>
      <c r="W18" s="161"/>
      <c r="X18" s="161"/>
      <c r="Y18" s="161"/>
      <c r="Z18" s="161"/>
      <c r="AA18" s="160"/>
      <c r="AB18" s="160" t="s">
        <v>695</v>
      </c>
      <c r="AC18" s="394">
        <v>747000</v>
      </c>
      <c r="AD18" s="331"/>
      <c r="AE18" s="331"/>
      <c r="AF18" s="161"/>
      <c r="AG18" s="161"/>
      <c r="AH18" s="161"/>
      <c r="AI18" s="161"/>
      <c r="AJ18" s="161"/>
      <c r="AK18" s="161"/>
      <c r="AL18" s="161"/>
      <c r="AM18" s="161">
        <f t="shared" si="9"/>
        <v>0</v>
      </c>
      <c r="AN18" s="161">
        <f t="shared" si="10"/>
        <v>0</v>
      </c>
      <c r="AO18" s="161">
        <f t="shared" si="11"/>
        <v>0</v>
      </c>
      <c r="AP18" s="171"/>
      <c r="AQ18" s="171"/>
      <c r="AR18" s="160"/>
      <c r="AS18" s="160"/>
      <c r="AT18" s="160"/>
      <c r="AU18" s="161">
        <f t="shared" si="13"/>
        <v>0</v>
      </c>
      <c r="AV18" s="166"/>
      <c r="AW18" s="168">
        <f t="shared" ref="AW18:AW85" si="17">AL18</f>
        <v>0</v>
      </c>
    </row>
    <row r="19" spans="1:49" s="164" customFormat="1" ht="60">
      <c r="A19" s="160">
        <f t="shared" si="12"/>
        <v>14</v>
      </c>
      <c r="B19" s="160">
        <v>1403</v>
      </c>
      <c r="C19" s="160" t="s">
        <v>1944</v>
      </c>
      <c r="D19" s="161">
        <v>37550000</v>
      </c>
      <c r="E19" s="161">
        <v>37550000</v>
      </c>
      <c r="F19" s="161">
        <f t="shared" si="0"/>
        <v>0</v>
      </c>
      <c r="G19" s="161">
        <v>37513260</v>
      </c>
      <c r="H19" s="161">
        <v>37268741</v>
      </c>
      <c r="I19" s="161">
        <v>0</v>
      </c>
      <c r="J19" s="161">
        <v>21167</v>
      </c>
      <c r="K19" s="161">
        <f t="shared" si="2"/>
        <v>21167</v>
      </c>
      <c r="L19" s="161">
        <f t="shared" si="1"/>
        <v>37289908</v>
      </c>
      <c r="M19" s="161">
        <f t="shared" si="16"/>
        <v>223352</v>
      </c>
      <c r="N19" s="161"/>
      <c r="O19" s="161">
        <f t="shared" si="3"/>
        <v>36740</v>
      </c>
      <c r="P19" s="161">
        <f t="shared" si="4"/>
        <v>223352</v>
      </c>
      <c r="Q19" s="161"/>
      <c r="R19" s="161"/>
      <c r="S19" s="161">
        <f t="shared" si="14"/>
        <v>0</v>
      </c>
      <c r="T19" s="161">
        <f t="shared" si="15"/>
        <v>0</v>
      </c>
      <c r="U19" s="161">
        <f t="shared" si="7"/>
        <v>0</v>
      </c>
      <c r="V19" s="161">
        <f t="shared" si="8"/>
        <v>0</v>
      </c>
      <c r="W19" s="161"/>
      <c r="X19" s="161"/>
      <c r="Y19" s="161"/>
      <c r="Z19" s="161"/>
      <c r="AA19" s="160"/>
      <c r="AB19" s="160" t="s">
        <v>1945</v>
      </c>
      <c r="AC19" s="394">
        <v>826000</v>
      </c>
      <c r="AD19" s="331"/>
      <c r="AE19" s="331"/>
      <c r="AF19" s="161"/>
      <c r="AG19" s="161"/>
      <c r="AH19" s="161"/>
      <c r="AI19" s="161"/>
      <c r="AJ19" s="161"/>
      <c r="AK19" s="161"/>
      <c r="AL19" s="161"/>
      <c r="AM19" s="161">
        <f t="shared" si="9"/>
        <v>0</v>
      </c>
      <c r="AN19" s="161">
        <f t="shared" si="10"/>
        <v>0</v>
      </c>
      <c r="AO19" s="161">
        <f t="shared" si="11"/>
        <v>0</v>
      </c>
      <c r="AP19" s="171"/>
      <c r="AQ19" s="171"/>
      <c r="AR19" s="160"/>
      <c r="AS19" s="160"/>
      <c r="AT19" s="160"/>
      <c r="AU19" s="161">
        <f t="shared" si="13"/>
        <v>0</v>
      </c>
      <c r="AV19" s="166"/>
      <c r="AW19" s="168">
        <f t="shared" si="17"/>
        <v>0</v>
      </c>
    </row>
    <row r="20" spans="1:49" s="164" customFormat="1" ht="30" customHeight="1">
      <c r="A20" s="160">
        <f t="shared" si="12"/>
        <v>15</v>
      </c>
      <c r="B20" s="160">
        <v>1443</v>
      </c>
      <c r="C20" s="160" t="s">
        <v>80</v>
      </c>
      <c r="D20" s="161">
        <v>78500000</v>
      </c>
      <c r="E20" s="161">
        <v>78500000</v>
      </c>
      <c r="F20" s="161">
        <f t="shared" si="0"/>
        <v>0</v>
      </c>
      <c r="G20" s="161">
        <f>50840000+3000000</f>
        <v>53840000</v>
      </c>
      <c r="H20" s="161">
        <v>50824299</v>
      </c>
      <c r="I20" s="161">
        <v>0</v>
      </c>
      <c r="J20" s="161">
        <v>0</v>
      </c>
      <c r="K20" s="161">
        <f t="shared" si="2"/>
        <v>0</v>
      </c>
      <c r="L20" s="161">
        <f t="shared" si="1"/>
        <v>50824299</v>
      </c>
      <c r="M20" s="161">
        <f t="shared" si="16"/>
        <v>3015701</v>
      </c>
      <c r="N20" s="161"/>
      <c r="O20" s="161">
        <f t="shared" si="3"/>
        <v>24660000</v>
      </c>
      <c r="P20" s="161">
        <f t="shared" si="4"/>
        <v>3015701</v>
      </c>
      <c r="Q20" s="161"/>
      <c r="R20" s="161"/>
      <c r="S20" s="161">
        <f t="shared" si="14"/>
        <v>0</v>
      </c>
      <c r="T20" s="161">
        <f t="shared" si="15"/>
        <v>0</v>
      </c>
      <c r="U20" s="161">
        <f t="shared" si="7"/>
        <v>0</v>
      </c>
      <c r="V20" s="161">
        <f t="shared" si="8"/>
        <v>0</v>
      </c>
      <c r="W20" s="161"/>
      <c r="X20" s="161"/>
      <c r="Y20" s="161"/>
      <c r="Z20" s="161"/>
      <c r="AA20" s="160"/>
      <c r="AB20" s="160"/>
      <c r="AC20" s="394">
        <v>749000</v>
      </c>
      <c r="AD20" s="331"/>
      <c r="AE20" s="331"/>
      <c r="AF20" s="161"/>
      <c r="AG20" s="161"/>
      <c r="AH20" s="161"/>
      <c r="AI20" s="161"/>
      <c r="AJ20" s="161"/>
      <c r="AK20" s="161"/>
      <c r="AL20" s="161"/>
      <c r="AM20" s="161">
        <f t="shared" si="9"/>
        <v>0</v>
      </c>
      <c r="AN20" s="161">
        <f t="shared" si="10"/>
        <v>0</v>
      </c>
      <c r="AO20" s="161">
        <f t="shared" si="11"/>
        <v>0</v>
      </c>
      <c r="AP20" s="171"/>
      <c r="AQ20" s="171"/>
      <c r="AR20" s="160"/>
      <c r="AS20" s="160"/>
      <c r="AT20" s="160"/>
      <c r="AU20" s="161">
        <f t="shared" si="13"/>
        <v>0</v>
      </c>
      <c r="AV20" s="166"/>
      <c r="AW20" s="168">
        <f t="shared" si="17"/>
        <v>0</v>
      </c>
    </row>
    <row r="21" spans="1:49" s="164" customFormat="1" ht="30" customHeight="1">
      <c r="A21" s="160">
        <f t="shared" si="12"/>
        <v>16</v>
      </c>
      <c r="B21" s="160">
        <v>1446</v>
      </c>
      <c r="C21" s="160" t="s">
        <v>154</v>
      </c>
      <c r="D21" s="161">
        <v>14250000</v>
      </c>
      <c r="E21" s="161">
        <v>14250000</v>
      </c>
      <c r="F21" s="161">
        <f t="shared" si="0"/>
        <v>0</v>
      </c>
      <c r="G21" s="161">
        <v>14250000</v>
      </c>
      <c r="H21" s="161">
        <v>7360717</v>
      </c>
      <c r="I21" s="161">
        <v>0</v>
      </c>
      <c r="J21" s="161">
        <v>2593903</v>
      </c>
      <c r="K21" s="161">
        <f t="shared" si="2"/>
        <v>2593903</v>
      </c>
      <c r="L21" s="161">
        <f t="shared" si="1"/>
        <v>9954620</v>
      </c>
      <c r="M21" s="161">
        <f t="shared" si="16"/>
        <v>4295380</v>
      </c>
      <c r="N21" s="161"/>
      <c r="O21" s="161">
        <f t="shared" si="3"/>
        <v>0</v>
      </c>
      <c r="P21" s="161">
        <f t="shared" si="4"/>
        <v>4295380</v>
      </c>
      <c r="Q21" s="161"/>
      <c r="R21" s="161"/>
      <c r="S21" s="161">
        <f t="shared" si="14"/>
        <v>0</v>
      </c>
      <c r="T21" s="161">
        <f t="shared" si="15"/>
        <v>0</v>
      </c>
      <c r="U21" s="161">
        <f t="shared" si="7"/>
        <v>0</v>
      </c>
      <c r="V21" s="161">
        <f t="shared" si="8"/>
        <v>0</v>
      </c>
      <c r="W21" s="161"/>
      <c r="X21" s="161"/>
      <c r="Y21" s="161"/>
      <c r="Z21" s="161"/>
      <c r="AA21" s="160"/>
      <c r="AB21" s="268" t="s">
        <v>383</v>
      </c>
      <c r="AC21" s="394">
        <v>742000</v>
      </c>
      <c r="AD21" s="331"/>
      <c r="AE21" s="331"/>
      <c r="AF21" s="161"/>
      <c r="AG21" s="161"/>
      <c r="AH21" s="161"/>
      <c r="AI21" s="161"/>
      <c r="AJ21" s="161"/>
      <c r="AK21" s="161"/>
      <c r="AL21" s="161"/>
      <c r="AM21" s="161">
        <f t="shared" si="9"/>
        <v>0</v>
      </c>
      <c r="AN21" s="161">
        <f t="shared" si="10"/>
        <v>0</v>
      </c>
      <c r="AO21" s="161">
        <f t="shared" si="11"/>
        <v>0</v>
      </c>
      <c r="AP21" s="171"/>
      <c r="AQ21" s="171"/>
      <c r="AR21" s="160"/>
      <c r="AS21" s="160"/>
      <c r="AT21" s="160"/>
      <c r="AU21" s="161">
        <f t="shared" si="13"/>
        <v>0</v>
      </c>
      <c r="AV21" s="166"/>
      <c r="AW21" s="168">
        <f t="shared" si="17"/>
        <v>0</v>
      </c>
    </row>
    <row r="22" spans="1:49" s="164" customFormat="1" ht="30" customHeight="1">
      <c r="A22" s="160">
        <f t="shared" si="12"/>
        <v>17</v>
      </c>
      <c r="B22" s="160">
        <v>1539</v>
      </c>
      <c r="C22" s="160" t="s">
        <v>39</v>
      </c>
      <c r="D22" s="161">
        <v>16300000</v>
      </c>
      <c r="E22" s="161">
        <v>16300000</v>
      </c>
      <c r="F22" s="161">
        <f t="shared" si="0"/>
        <v>0</v>
      </c>
      <c r="G22" s="161">
        <v>15180000</v>
      </c>
      <c r="H22" s="161">
        <v>14337038</v>
      </c>
      <c r="I22" s="161">
        <v>54264</v>
      </c>
      <c r="J22" s="161">
        <v>147547</v>
      </c>
      <c r="K22" s="161">
        <f t="shared" si="2"/>
        <v>201811</v>
      </c>
      <c r="L22" s="161">
        <f t="shared" si="1"/>
        <v>14538849</v>
      </c>
      <c r="M22" s="161">
        <f t="shared" si="16"/>
        <v>641151</v>
      </c>
      <c r="N22" s="161">
        <v>120000</v>
      </c>
      <c r="O22" s="161">
        <f t="shared" si="3"/>
        <v>1000000</v>
      </c>
      <c r="P22" s="161">
        <f t="shared" si="4"/>
        <v>641151</v>
      </c>
      <c r="Q22" s="161"/>
      <c r="R22" s="161"/>
      <c r="S22" s="161">
        <f t="shared" si="14"/>
        <v>0</v>
      </c>
      <c r="T22" s="161">
        <f t="shared" si="15"/>
        <v>0</v>
      </c>
      <c r="U22" s="161">
        <f t="shared" si="7"/>
        <v>120000</v>
      </c>
      <c r="V22" s="161">
        <f t="shared" si="8"/>
        <v>120000</v>
      </c>
      <c r="W22" s="161"/>
      <c r="X22" s="161"/>
      <c r="Y22" s="161"/>
      <c r="Z22" s="161"/>
      <c r="AA22" s="160"/>
      <c r="AB22" s="160" t="s">
        <v>522</v>
      </c>
      <c r="AC22" s="394">
        <v>742000</v>
      </c>
      <c r="AD22" s="331"/>
      <c r="AE22" s="331"/>
      <c r="AF22" s="161">
        <v>120000</v>
      </c>
      <c r="AG22" s="161"/>
      <c r="AH22" s="161"/>
      <c r="AI22" s="161"/>
      <c r="AJ22" s="161"/>
      <c r="AK22" s="161"/>
      <c r="AL22" s="161"/>
      <c r="AM22" s="161">
        <f t="shared" si="9"/>
        <v>120000</v>
      </c>
      <c r="AN22" s="161">
        <f t="shared" si="10"/>
        <v>0</v>
      </c>
      <c r="AO22" s="161">
        <f t="shared" si="11"/>
        <v>120000</v>
      </c>
      <c r="AP22" s="171"/>
      <c r="AQ22" s="171"/>
      <c r="AR22" s="160"/>
      <c r="AS22" s="160"/>
      <c r="AT22" s="160"/>
      <c r="AU22" s="161">
        <f t="shared" si="13"/>
        <v>0</v>
      </c>
      <c r="AV22" s="166"/>
      <c r="AW22" s="168">
        <f t="shared" si="17"/>
        <v>0</v>
      </c>
    </row>
    <row r="23" spans="1:49" s="164" customFormat="1" ht="30" customHeight="1">
      <c r="A23" s="160">
        <f t="shared" si="12"/>
        <v>18</v>
      </c>
      <c r="B23" s="160">
        <v>1588</v>
      </c>
      <c r="C23" s="160" t="s">
        <v>25</v>
      </c>
      <c r="D23" s="161">
        <v>50500000</v>
      </c>
      <c r="E23" s="161">
        <v>50500000</v>
      </c>
      <c r="F23" s="161">
        <f t="shared" si="0"/>
        <v>0</v>
      </c>
      <c r="G23" s="161">
        <v>45500000</v>
      </c>
      <c r="H23" s="161">
        <v>34848963</v>
      </c>
      <c r="I23" s="161">
        <v>682147</v>
      </c>
      <c r="J23" s="161">
        <v>291006</v>
      </c>
      <c r="K23" s="161">
        <f t="shared" si="2"/>
        <v>973153</v>
      </c>
      <c r="L23" s="161">
        <f t="shared" si="1"/>
        <v>35822116</v>
      </c>
      <c r="M23" s="161">
        <f t="shared" si="16"/>
        <v>9677884</v>
      </c>
      <c r="N23" s="161"/>
      <c r="O23" s="161">
        <f t="shared" si="3"/>
        <v>5000000</v>
      </c>
      <c r="P23" s="161">
        <f t="shared" si="4"/>
        <v>9677884</v>
      </c>
      <c r="Q23" s="161"/>
      <c r="R23" s="161"/>
      <c r="S23" s="161">
        <f t="shared" si="14"/>
        <v>0</v>
      </c>
      <c r="T23" s="161">
        <f t="shared" si="15"/>
        <v>0</v>
      </c>
      <c r="U23" s="161">
        <f t="shared" si="7"/>
        <v>0</v>
      </c>
      <c r="V23" s="161">
        <f t="shared" si="8"/>
        <v>0</v>
      </c>
      <c r="W23" s="161"/>
      <c r="X23" s="161"/>
      <c r="Y23" s="161"/>
      <c r="Z23" s="161"/>
      <c r="AA23" s="160"/>
      <c r="AB23" s="160" t="s">
        <v>384</v>
      </c>
      <c r="AC23" s="394">
        <v>742000</v>
      </c>
      <c r="AD23" s="331"/>
      <c r="AE23" s="331"/>
      <c r="AF23" s="331"/>
      <c r="AG23" s="331"/>
      <c r="AH23" s="331"/>
      <c r="AI23" s="331"/>
      <c r="AJ23" s="331"/>
      <c r="AK23" s="331"/>
      <c r="AL23" s="331"/>
      <c r="AM23" s="161">
        <f t="shared" si="9"/>
        <v>0</v>
      </c>
      <c r="AN23" s="161">
        <f t="shared" si="10"/>
        <v>0</v>
      </c>
      <c r="AO23" s="161">
        <f t="shared" si="11"/>
        <v>0</v>
      </c>
      <c r="AP23" s="171"/>
      <c r="AQ23" s="171"/>
      <c r="AR23" s="160"/>
      <c r="AS23" s="160"/>
      <c r="AT23" s="160"/>
      <c r="AU23" s="161">
        <f t="shared" si="13"/>
        <v>0</v>
      </c>
      <c r="AV23" s="166"/>
      <c r="AW23" s="168">
        <f t="shared" si="17"/>
        <v>0</v>
      </c>
    </row>
    <row r="24" spans="1:49" s="164" customFormat="1" ht="30" customHeight="1">
      <c r="A24" s="160">
        <f t="shared" si="12"/>
        <v>19</v>
      </c>
      <c r="B24" s="160">
        <v>1614</v>
      </c>
      <c r="C24" s="160" t="s">
        <v>323</v>
      </c>
      <c r="D24" s="161">
        <v>7200000</v>
      </c>
      <c r="E24" s="161">
        <v>7200000</v>
      </c>
      <c r="F24" s="161">
        <f t="shared" si="0"/>
        <v>0</v>
      </c>
      <c r="G24" s="161">
        <v>5680000</v>
      </c>
      <c r="H24" s="161">
        <v>4991030</v>
      </c>
      <c r="I24" s="161">
        <v>0</v>
      </c>
      <c r="J24" s="161">
        <v>104013</v>
      </c>
      <c r="K24" s="161">
        <f t="shared" si="2"/>
        <v>104013</v>
      </c>
      <c r="L24" s="161">
        <f t="shared" si="1"/>
        <v>5095043</v>
      </c>
      <c r="M24" s="161">
        <f t="shared" si="16"/>
        <v>584957</v>
      </c>
      <c r="N24" s="161">
        <f>1520000-520000-1000000</f>
        <v>0</v>
      </c>
      <c r="O24" s="161">
        <f t="shared" si="3"/>
        <v>1520000</v>
      </c>
      <c r="P24" s="161">
        <f t="shared" si="4"/>
        <v>584957</v>
      </c>
      <c r="Q24" s="161"/>
      <c r="R24" s="161"/>
      <c r="S24" s="161">
        <f t="shared" si="14"/>
        <v>0</v>
      </c>
      <c r="T24" s="161">
        <f t="shared" si="15"/>
        <v>0</v>
      </c>
      <c r="U24" s="161">
        <f t="shared" si="7"/>
        <v>0</v>
      </c>
      <c r="V24" s="161">
        <f t="shared" si="8"/>
        <v>0</v>
      </c>
      <c r="W24" s="161"/>
      <c r="X24" s="161"/>
      <c r="Y24" s="161"/>
      <c r="Z24" s="161"/>
      <c r="AA24" s="160"/>
      <c r="AB24" s="160" t="s">
        <v>696</v>
      </c>
      <c r="AC24" s="394">
        <v>742000</v>
      </c>
      <c r="AD24" s="331"/>
      <c r="AE24" s="331"/>
      <c r="AF24" s="331"/>
      <c r="AG24" s="331"/>
      <c r="AH24" s="331"/>
      <c r="AI24" s="331"/>
      <c r="AJ24" s="331"/>
      <c r="AK24" s="331"/>
      <c r="AL24" s="331"/>
      <c r="AM24" s="161">
        <f t="shared" si="9"/>
        <v>0</v>
      </c>
      <c r="AN24" s="161">
        <f t="shared" si="10"/>
        <v>0</v>
      </c>
      <c r="AO24" s="161">
        <f t="shared" si="11"/>
        <v>0</v>
      </c>
      <c r="AP24" s="171"/>
      <c r="AQ24" s="171"/>
      <c r="AR24" s="160"/>
      <c r="AS24" s="160"/>
      <c r="AT24" s="160"/>
      <c r="AU24" s="161">
        <f t="shared" si="13"/>
        <v>0</v>
      </c>
      <c r="AV24" s="166"/>
      <c r="AW24" s="168">
        <f t="shared" si="17"/>
        <v>0</v>
      </c>
    </row>
    <row r="25" spans="1:49" s="164" customFormat="1" ht="30" customHeight="1">
      <c r="A25" s="160">
        <f t="shared" si="12"/>
        <v>20</v>
      </c>
      <c r="B25" s="160">
        <v>1615</v>
      </c>
      <c r="C25" s="160" t="s">
        <v>114</v>
      </c>
      <c r="D25" s="161">
        <v>27700000</v>
      </c>
      <c r="E25" s="161">
        <v>27700000</v>
      </c>
      <c r="F25" s="161">
        <f t="shared" si="0"/>
        <v>0</v>
      </c>
      <c r="G25" s="161">
        <v>21700000</v>
      </c>
      <c r="H25" s="161">
        <v>16804922</v>
      </c>
      <c r="I25" s="161">
        <v>0</v>
      </c>
      <c r="J25" s="161">
        <v>1207126</v>
      </c>
      <c r="K25" s="161">
        <f t="shared" si="2"/>
        <v>1207126</v>
      </c>
      <c r="L25" s="161">
        <f t="shared" si="1"/>
        <v>18012048</v>
      </c>
      <c r="M25" s="161">
        <f t="shared" si="16"/>
        <v>3687952</v>
      </c>
      <c r="N25" s="161">
        <v>2000000</v>
      </c>
      <c r="O25" s="161">
        <f t="shared" si="3"/>
        <v>4000000</v>
      </c>
      <c r="P25" s="161">
        <f t="shared" si="4"/>
        <v>3687952</v>
      </c>
      <c r="Q25" s="161"/>
      <c r="R25" s="161"/>
      <c r="S25" s="161">
        <f t="shared" si="14"/>
        <v>0</v>
      </c>
      <c r="T25" s="161">
        <f t="shared" si="15"/>
        <v>0</v>
      </c>
      <c r="U25" s="161">
        <f t="shared" si="7"/>
        <v>2000000</v>
      </c>
      <c r="V25" s="161">
        <f t="shared" si="8"/>
        <v>2000000</v>
      </c>
      <c r="W25" s="161"/>
      <c r="X25" s="161"/>
      <c r="Y25" s="161"/>
      <c r="Z25" s="161"/>
      <c r="AA25" s="160"/>
      <c r="AB25" s="160" t="s">
        <v>577</v>
      </c>
      <c r="AC25" s="394">
        <v>742000</v>
      </c>
      <c r="AD25" s="331"/>
      <c r="AE25" s="331"/>
      <c r="AF25" s="331"/>
      <c r="AG25" s="331"/>
      <c r="AH25" s="331"/>
      <c r="AI25" s="331"/>
      <c r="AJ25" s="331"/>
      <c r="AK25" s="331"/>
      <c r="AL25" s="161">
        <v>2000000</v>
      </c>
      <c r="AM25" s="161">
        <f t="shared" si="9"/>
        <v>2000000</v>
      </c>
      <c r="AN25" s="161">
        <f t="shared" si="10"/>
        <v>0</v>
      </c>
      <c r="AO25" s="161">
        <f t="shared" si="11"/>
        <v>2000000</v>
      </c>
      <c r="AP25" s="171"/>
      <c r="AQ25" s="171"/>
      <c r="AR25" s="160"/>
      <c r="AS25" s="160"/>
      <c r="AT25" s="160"/>
      <c r="AU25" s="161">
        <f t="shared" si="13"/>
        <v>0</v>
      </c>
      <c r="AV25" s="166"/>
      <c r="AW25" s="168">
        <f t="shared" si="17"/>
        <v>2000000</v>
      </c>
    </row>
    <row r="26" spans="1:49" s="164" customFormat="1" ht="30" customHeight="1">
      <c r="A26" s="160">
        <f t="shared" si="12"/>
        <v>21</v>
      </c>
      <c r="B26" s="160">
        <v>1657</v>
      </c>
      <c r="C26" s="160" t="s">
        <v>27</v>
      </c>
      <c r="D26" s="161">
        <v>60000000</v>
      </c>
      <c r="E26" s="161">
        <v>60000000</v>
      </c>
      <c r="F26" s="161">
        <f t="shared" si="0"/>
        <v>0</v>
      </c>
      <c r="G26" s="161">
        <v>21200000</v>
      </c>
      <c r="H26" s="161">
        <v>16505191</v>
      </c>
      <c r="I26" s="161">
        <v>0</v>
      </c>
      <c r="J26" s="161">
        <v>1238291</v>
      </c>
      <c r="K26" s="161">
        <f t="shared" si="2"/>
        <v>1238291</v>
      </c>
      <c r="L26" s="161">
        <f t="shared" si="1"/>
        <v>17743482</v>
      </c>
      <c r="M26" s="161">
        <f t="shared" si="16"/>
        <v>3456518</v>
      </c>
      <c r="N26" s="161">
        <f>25000000-10000000</f>
        <v>15000000</v>
      </c>
      <c r="O26" s="161">
        <f t="shared" si="3"/>
        <v>23800000</v>
      </c>
      <c r="P26" s="161">
        <f t="shared" si="4"/>
        <v>3456518</v>
      </c>
      <c r="Q26" s="161"/>
      <c r="R26" s="161"/>
      <c r="S26" s="161">
        <f t="shared" ref="S26:S56" si="18">SUM(Q26:R26)</f>
        <v>0</v>
      </c>
      <c r="T26" s="161">
        <f t="shared" si="15"/>
        <v>0</v>
      </c>
      <c r="U26" s="161">
        <f t="shared" si="7"/>
        <v>15000000</v>
      </c>
      <c r="V26" s="161">
        <f t="shared" si="8"/>
        <v>15000000</v>
      </c>
      <c r="W26" s="161"/>
      <c r="X26" s="161"/>
      <c r="Y26" s="161"/>
      <c r="Z26" s="161"/>
      <c r="AA26" s="160"/>
      <c r="AB26" s="3" t="s">
        <v>1946</v>
      </c>
      <c r="AC26" s="394">
        <v>742000</v>
      </c>
      <c r="AD26" s="331"/>
      <c r="AE26" s="331"/>
      <c r="AF26" s="331"/>
      <c r="AG26" s="331"/>
      <c r="AH26" s="331"/>
      <c r="AI26" s="331"/>
      <c r="AJ26" s="331"/>
      <c r="AK26" s="331"/>
      <c r="AL26" s="161">
        <v>15000000</v>
      </c>
      <c r="AM26" s="161">
        <f t="shared" si="9"/>
        <v>15000000</v>
      </c>
      <c r="AN26" s="161">
        <f t="shared" si="10"/>
        <v>0</v>
      </c>
      <c r="AO26" s="161">
        <f t="shared" si="11"/>
        <v>15000000</v>
      </c>
      <c r="AP26" s="171"/>
      <c r="AQ26" s="171"/>
      <c r="AR26" s="160"/>
      <c r="AS26" s="160"/>
      <c r="AT26" s="160"/>
      <c r="AU26" s="161">
        <f t="shared" si="13"/>
        <v>0</v>
      </c>
      <c r="AV26" s="166"/>
      <c r="AW26" s="168">
        <f t="shared" si="17"/>
        <v>15000000</v>
      </c>
    </row>
    <row r="27" spans="1:49" s="164" customFormat="1" ht="30" customHeight="1">
      <c r="A27" s="160">
        <f t="shared" si="12"/>
        <v>22</v>
      </c>
      <c r="B27" s="160">
        <v>1723</v>
      </c>
      <c r="C27" s="160" t="s">
        <v>28</v>
      </c>
      <c r="D27" s="161">
        <f>17500000-15000000-57143</f>
        <v>2442857</v>
      </c>
      <c r="E27" s="161">
        <v>17500000</v>
      </c>
      <c r="F27" s="161">
        <f t="shared" si="0"/>
        <v>-15057143</v>
      </c>
      <c r="G27" s="161">
        <v>2442857</v>
      </c>
      <c r="H27" s="161">
        <v>1535456</v>
      </c>
      <c r="I27" s="161">
        <v>0</v>
      </c>
      <c r="J27" s="161">
        <v>136858</v>
      </c>
      <c r="K27" s="161">
        <f t="shared" si="2"/>
        <v>136858</v>
      </c>
      <c r="L27" s="161">
        <f t="shared" si="1"/>
        <v>1672314</v>
      </c>
      <c r="M27" s="161">
        <f t="shared" si="16"/>
        <v>770543</v>
      </c>
      <c r="N27" s="161"/>
      <c r="O27" s="161">
        <f t="shared" si="3"/>
        <v>0</v>
      </c>
      <c r="P27" s="161">
        <f t="shared" si="4"/>
        <v>770543</v>
      </c>
      <c r="Q27" s="161"/>
      <c r="R27" s="161"/>
      <c r="S27" s="161">
        <f t="shared" si="18"/>
        <v>0</v>
      </c>
      <c r="T27" s="161">
        <f t="shared" si="15"/>
        <v>0</v>
      </c>
      <c r="U27" s="161">
        <f t="shared" si="7"/>
        <v>0</v>
      </c>
      <c r="V27" s="161">
        <f t="shared" si="8"/>
        <v>0</v>
      </c>
      <c r="W27" s="161"/>
      <c r="X27" s="161"/>
      <c r="Y27" s="161"/>
      <c r="Z27" s="161"/>
      <c r="AA27" s="160"/>
      <c r="AB27" s="160" t="s">
        <v>1947</v>
      </c>
      <c r="AC27" s="394">
        <v>732000</v>
      </c>
      <c r="AD27" s="331"/>
      <c r="AE27" s="331"/>
      <c r="AF27" s="161"/>
      <c r="AG27" s="161"/>
      <c r="AH27" s="161"/>
      <c r="AI27" s="161"/>
      <c r="AJ27" s="161"/>
      <c r="AK27" s="161"/>
      <c r="AL27" s="161"/>
      <c r="AM27" s="161">
        <f t="shared" si="9"/>
        <v>0</v>
      </c>
      <c r="AN27" s="161">
        <f t="shared" si="10"/>
        <v>0</v>
      </c>
      <c r="AO27" s="161">
        <f t="shared" si="11"/>
        <v>0</v>
      </c>
      <c r="AP27" s="171"/>
      <c r="AQ27" s="171"/>
      <c r="AR27" s="160"/>
      <c r="AS27" s="160"/>
      <c r="AT27" s="160"/>
      <c r="AU27" s="161">
        <f t="shared" si="13"/>
        <v>0</v>
      </c>
      <c r="AV27" s="166"/>
      <c r="AW27" s="168">
        <f>AL27</f>
        <v>0</v>
      </c>
    </row>
    <row r="28" spans="1:49" s="164" customFormat="1" ht="40.15" customHeight="1">
      <c r="A28" s="160">
        <f t="shared" si="12"/>
        <v>23</v>
      </c>
      <c r="B28" s="160">
        <v>1751</v>
      </c>
      <c r="C28" s="160" t="s">
        <v>2264</v>
      </c>
      <c r="D28" s="161">
        <v>4800000</v>
      </c>
      <c r="E28" s="161">
        <v>4800000</v>
      </c>
      <c r="F28" s="161">
        <f t="shared" si="0"/>
        <v>0</v>
      </c>
      <c r="G28" s="161">
        <v>2720000</v>
      </c>
      <c r="H28" s="161">
        <v>2602335</v>
      </c>
      <c r="I28" s="161">
        <v>0</v>
      </c>
      <c r="J28" s="161">
        <v>59452</v>
      </c>
      <c r="K28" s="161">
        <f t="shared" si="2"/>
        <v>59452</v>
      </c>
      <c r="L28" s="161">
        <f t="shared" si="1"/>
        <v>2661787</v>
      </c>
      <c r="M28" s="161">
        <f t="shared" si="16"/>
        <v>58213</v>
      </c>
      <c r="N28" s="161"/>
      <c r="O28" s="161">
        <f t="shared" si="3"/>
        <v>2080000</v>
      </c>
      <c r="P28" s="161">
        <f t="shared" si="4"/>
        <v>58213</v>
      </c>
      <c r="Q28" s="161"/>
      <c r="R28" s="161"/>
      <c r="S28" s="161">
        <f t="shared" si="18"/>
        <v>0</v>
      </c>
      <c r="T28" s="161">
        <f t="shared" si="15"/>
        <v>0</v>
      </c>
      <c r="U28" s="161">
        <f t="shared" si="7"/>
        <v>0</v>
      </c>
      <c r="V28" s="161">
        <f t="shared" si="8"/>
        <v>0</v>
      </c>
      <c r="W28" s="161"/>
      <c r="X28" s="161"/>
      <c r="Y28" s="161"/>
      <c r="Z28" s="161"/>
      <c r="AA28" s="160"/>
      <c r="AB28" s="160" t="s">
        <v>828</v>
      </c>
      <c r="AC28" s="394">
        <v>810000</v>
      </c>
      <c r="AD28" s="331"/>
      <c r="AE28" s="331"/>
      <c r="AF28" s="161"/>
      <c r="AG28" s="161"/>
      <c r="AH28" s="161"/>
      <c r="AI28" s="161"/>
      <c r="AJ28" s="161"/>
      <c r="AK28" s="161"/>
      <c r="AL28" s="161"/>
      <c r="AM28" s="161">
        <f t="shared" si="9"/>
        <v>0</v>
      </c>
      <c r="AN28" s="161">
        <f t="shared" si="10"/>
        <v>0</v>
      </c>
      <c r="AO28" s="161">
        <f t="shared" si="11"/>
        <v>0</v>
      </c>
      <c r="AP28" s="171"/>
      <c r="AQ28" s="171"/>
      <c r="AR28" s="160"/>
      <c r="AS28" s="160"/>
      <c r="AT28" s="160"/>
      <c r="AU28" s="161">
        <f t="shared" si="13"/>
        <v>0</v>
      </c>
      <c r="AV28" s="166"/>
      <c r="AW28" s="168">
        <f t="shared" si="17"/>
        <v>0</v>
      </c>
    </row>
    <row r="29" spans="1:49" ht="30" customHeight="1">
      <c r="A29" s="160">
        <f t="shared" si="12"/>
        <v>24</v>
      </c>
      <c r="B29" s="160">
        <v>1806</v>
      </c>
      <c r="C29" s="160" t="s">
        <v>2259</v>
      </c>
      <c r="D29" s="161">
        <v>500000</v>
      </c>
      <c r="E29" s="161">
        <v>500000</v>
      </c>
      <c r="F29" s="161">
        <f t="shared" si="0"/>
        <v>0</v>
      </c>
      <c r="G29" s="161">
        <v>350000</v>
      </c>
      <c r="H29" s="161">
        <v>209714</v>
      </c>
      <c r="I29" s="161">
        <v>0</v>
      </c>
      <c r="J29" s="161">
        <v>140284</v>
      </c>
      <c r="K29" s="161">
        <f t="shared" si="2"/>
        <v>140284</v>
      </c>
      <c r="L29" s="161">
        <f t="shared" si="1"/>
        <v>349998</v>
      </c>
      <c r="M29" s="161">
        <f t="shared" si="16"/>
        <v>2</v>
      </c>
      <c r="N29" s="161">
        <f>50000-50000</f>
        <v>0</v>
      </c>
      <c r="O29" s="161">
        <f t="shared" si="3"/>
        <v>150000</v>
      </c>
      <c r="P29" s="161">
        <f t="shared" si="4"/>
        <v>2</v>
      </c>
      <c r="Q29" s="161"/>
      <c r="R29" s="161"/>
      <c r="S29" s="161">
        <f t="shared" si="18"/>
        <v>0</v>
      </c>
      <c r="T29" s="161">
        <f t="shared" si="15"/>
        <v>0</v>
      </c>
      <c r="U29" s="161">
        <f t="shared" si="7"/>
        <v>0</v>
      </c>
      <c r="V29" s="161">
        <f t="shared" si="8"/>
        <v>0</v>
      </c>
      <c r="W29" s="161"/>
      <c r="X29" s="161"/>
      <c r="Y29" s="161"/>
      <c r="Z29" s="161"/>
      <c r="AA29" s="160"/>
      <c r="AB29" s="268" t="s">
        <v>324</v>
      </c>
      <c r="AC29" s="394">
        <v>732000</v>
      </c>
      <c r="AD29" s="331"/>
      <c r="AE29" s="331"/>
      <c r="AF29" s="161"/>
      <c r="AG29" s="161"/>
      <c r="AH29" s="161"/>
      <c r="AI29" s="161"/>
      <c r="AJ29" s="161"/>
      <c r="AK29" s="161"/>
      <c r="AL29" s="161"/>
      <c r="AM29" s="161">
        <f t="shared" si="9"/>
        <v>0</v>
      </c>
      <c r="AN29" s="161">
        <f t="shared" si="10"/>
        <v>0</v>
      </c>
      <c r="AO29" s="161">
        <f t="shared" si="11"/>
        <v>0</v>
      </c>
      <c r="AP29" s="171"/>
      <c r="AQ29" s="171"/>
      <c r="AR29" s="171"/>
      <c r="AS29" s="171"/>
      <c r="AT29" s="171"/>
      <c r="AU29" s="161">
        <f t="shared" si="13"/>
        <v>0</v>
      </c>
      <c r="AV29" s="166"/>
      <c r="AW29" s="168">
        <f t="shared" si="17"/>
        <v>0</v>
      </c>
    </row>
    <row r="30" spans="1:49" ht="30" customHeight="1">
      <c r="A30" s="160">
        <f t="shared" si="12"/>
        <v>25</v>
      </c>
      <c r="B30" s="267">
        <v>1819</v>
      </c>
      <c r="C30" s="160" t="s">
        <v>481</v>
      </c>
      <c r="D30" s="161">
        <v>18000000</v>
      </c>
      <c r="E30" s="161">
        <v>18000000</v>
      </c>
      <c r="F30" s="161">
        <f t="shared" si="0"/>
        <v>0</v>
      </c>
      <c r="G30" s="161">
        <v>16000000</v>
      </c>
      <c r="H30" s="161">
        <v>2505332</v>
      </c>
      <c r="I30" s="161">
        <v>0</v>
      </c>
      <c r="J30" s="161">
        <v>622623</v>
      </c>
      <c r="K30" s="161">
        <f t="shared" si="2"/>
        <v>622623</v>
      </c>
      <c r="L30" s="161">
        <f t="shared" si="1"/>
        <v>3127955</v>
      </c>
      <c r="M30" s="161">
        <f t="shared" si="16"/>
        <v>12872045</v>
      </c>
      <c r="N30" s="161">
        <v>2000000</v>
      </c>
      <c r="O30" s="161">
        <f t="shared" si="3"/>
        <v>0</v>
      </c>
      <c r="P30" s="161">
        <f t="shared" si="4"/>
        <v>12872045</v>
      </c>
      <c r="Q30" s="161"/>
      <c r="R30" s="161"/>
      <c r="S30" s="161">
        <f t="shared" si="18"/>
        <v>0</v>
      </c>
      <c r="T30" s="161">
        <f t="shared" si="15"/>
        <v>0</v>
      </c>
      <c r="U30" s="161">
        <f t="shared" si="7"/>
        <v>2000000</v>
      </c>
      <c r="V30" s="161">
        <f t="shared" si="8"/>
        <v>2000000</v>
      </c>
      <c r="W30" s="161"/>
      <c r="X30" s="161"/>
      <c r="Y30" s="161"/>
      <c r="Z30" s="161"/>
      <c r="AA30" s="160"/>
      <c r="AB30" s="160" t="s">
        <v>697</v>
      </c>
      <c r="AC30" s="394">
        <v>742000</v>
      </c>
      <c r="AD30" s="331"/>
      <c r="AE30" s="331"/>
      <c r="AF30" s="161"/>
      <c r="AG30" s="161"/>
      <c r="AH30" s="161"/>
      <c r="AI30" s="161"/>
      <c r="AJ30" s="161"/>
      <c r="AK30" s="161"/>
      <c r="AL30" s="161">
        <v>2000000</v>
      </c>
      <c r="AM30" s="161">
        <f t="shared" si="9"/>
        <v>2000000</v>
      </c>
      <c r="AN30" s="161">
        <f t="shared" si="10"/>
        <v>0</v>
      </c>
      <c r="AO30" s="161">
        <f t="shared" si="11"/>
        <v>2000000</v>
      </c>
      <c r="AP30" s="171"/>
      <c r="AQ30" s="171"/>
      <c r="AR30" s="171"/>
      <c r="AS30" s="171"/>
      <c r="AT30" s="171"/>
      <c r="AU30" s="161">
        <f t="shared" si="13"/>
        <v>0</v>
      </c>
      <c r="AV30" s="166"/>
      <c r="AW30" s="168">
        <f t="shared" si="17"/>
        <v>2000000</v>
      </c>
    </row>
    <row r="31" spans="1:49" ht="30">
      <c r="A31" s="160">
        <f t="shared" si="12"/>
        <v>26</v>
      </c>
      <c r="B31" s="267">
        <v>1833</v>
      </c>
      <c r="C31" s="160" t="s">
        <v>118</v>
      </c>
      <c r="D31" s="161">
        <v>29000000</v>
      </c>
      <c r="E31" s="161">
        <v>29000000</v>
      </c>
      <c r="F31" s="161">
        <f t="shared" si="0"/>
        <v>0</v>
      </c>
      <c r="G31" s="161">
        <v>18768840</v>
      </c>
      <c r="H31" s="161">
        <v>7351535</v>
      </c>
      <c r="I31" s="161">
        <v>0</v>
      </c>
      <c r="J31" s="161">
        <v>1053050</v>
      </c>
      <c r="K31" s="161">
        <f t="shared" si="2"/>
        <v>1053050</v>
      </c>
      <c r="L31" s="161">
        <f t="shared" si="1"/>
        <v>8404585</v>
      </c>
      <c r="M31" s="161">
        <f t="shared" si="16"/>
        <v>10364255</v>
      </c>
      <c r="N31" s="161">
        <v>10231160</v>
      </c>
      <c r="O31" s="161">
        <f t="shared" si="3"/>
        <v>0</v>
      </c>
      <c r="P31" s="161">
        <f t="shared" si="4"/>
        <v>10364255</v>
      </c>
      <c r="Q31" s="161"/>
      <c r="R31" s="161"/>
      <c r="S31" s="161">
        <f t="shared" si="18"/>
        <v>0</v>
      </c>
      <c r="T31" s="161">
        <f t="shared" si="15"/>
        <v>0</v>
      </c>
      <c r="U31" s="161">
        <f t="shared" si="7"/>
        <v>10231160</v>
      </c>
      <c r="V31" s="161">
        <f t="shared" si="8"/>
        <v>10231160</v>
      </c>
      <c r="W31" s="161"/>
      <c r="X31" s="161"/>
      <c r="Y31" s="161"/>
      <c r="Z31" s="161"/>
      <c r="AA31" s="161">
        <f>3231160-3231160</f>
        <v>0</v>
      </c>
      <c r="AB31" s="160" t="s">
        <v>829</v>
      </c>
      <c r="AC31" s="394">
        <v>829000</v>
      </c>
      <c r="AD31" s="331"/>
      <c r="AE31" s="331"/>
      <c r="AF31" s="161">
        <v>2231160</v>
      </c>
      <c r="AG31" s="161"/>
      <c r="AH31" s="161">
        <v>2500000</v>
      </c>
      <c r="AI31" s="161"/>
      <c r="AJ31" s="161">
        <v>1500000</v>
      </c>
      <c r="AK31" s="161">
        <v>1500000</v>
      </c>
      <c r="AL31" s="161">
        <v>2500000</v>
      </c>
      <c r="AM31" s="161">
        <f t="shared" si="9"/>
        <v>10231160</v>
      </c>
      <c r="AN31" s="161">
        <f t="shared" si="10"/>
        <v>0</v>
      </c>
      <c r="AO31" s="161">
        <f t="shared" si="11"/>
        <v>10231160</v>
      </c>
      <c r="AP31" s="171"/>
      <c r="AQ31" s="171"/>
      <c r="AR31" s="171"/>
      <c r="AS31" s="171"/>
      <c r="AT31" s="171"/>
      <c r="AU31" s="161">
        <f t="shared" si="13"/>
        <v>0</v>
      </c>
      <c r="AV31" s="166" t="s">
        <v>1948</v>
      </c>
      <c r="AW31" s="168">
        <f t="shared" si="17"/>
        <v>2500000</v>
      </c>
    </row>
    <row r="32" spans="1:49" s="164" customFormat="1" ht="30" customHeight="1">
      <c r="A32" s="160">
        <f t="shared" si="12"/>
        <v>27</v>
      </c>
      <c r="B32" s="160">
        <v>1834</v>
      </c>
      <c r="C32" s="160" t="s">
        <v>110</v>
      </c>
      <c r="D32" s="161">
        <v>60000000</v>
      </c>
      <c r="E32" s="161">
        <v>60000000</v>
      </c>
      <c r="F32" s="161">
        <f t="shared" si="0"/>
        <v>0</v>
      </c>
      <c r="G32" s="161">
        <v>18900000</v>
      </c>
      <c r="H32" s="161">
        <v>3218215</v>
      </c>
      <c r="I32" s="161">
        <v>0</v>
      </c>
      <c r="J32" s="161">
        <v>601707</v>
      </c>
      <c r="K32" s="161">
        <f t="shared" si="2"/>
        <v>601707</v>
      </c>
      <c r="L32" s="161">
        <f t="shared" si="1"/>
        <v>3819922</v>
      </c>
      <c r="M32" s="161">
        <f t="shared" si="16"/>
        <v>15080078</v>
      </c>
      <c r="N32" s="161">
        <v>25000000</v>
      </c>
      <c r="O32" s="161">
        <f t="shared" si="3"/>
        <v>16100000</v>
      </c>
      <c r="P32" s="161">
        <f t="shared" si="4"/>
        <v>15080078</v>
      </c>
      <c r="Q32" s="161"/>
      <c r="R32" s="161"/>
      <c r="S32" s="161">
        <f t="shared" si="18"/>
        <v>0</v>
      </c>
      <c r="T32" s="161">
        <f t="shared" si="15"/>
        <v>0</v>
      </c>
      <c r="U32" s="161">
        <f t="shared" si="7"/>
        <v>25000000</v>
      </c>
      <c r="V32" s="161">
        <f t="shared" si="8"/>
        <v>25000000</v>
      </c>
      <c r="W32" s="161"/>
      <c r="X32" s="161"/>
      <c r="Y32" s="161"/>
      <c r="Z32" s="161"/>
      <c r="AA32" s="160"/>
      <c r="AB32" s="30" t="s">
        <v>698</v>
      </c>
      <c r="AC32" s="394">
        <v>824000</v>
      </c>
      <c r="AD32" s="331"/>
      <c r="AE32" s="331"/>
      <c r="AF32" s="161"/>
      <c r="AG32" s="161"/>
      <c r="AH32" s="161"/>
      <c r="AI32" s="161"/>
      <c r="AJ32" s="161"/>
      <c r="AK32" s="161"/>
      <c r="AL32" s="161">
        <v>25000000</v>
      </c>
      <c r="AM32" s="161">
        <f t="shared" si="9"/>
        <v>25000000</v>
      </c>
      <c r="AN32" s="161">
        <f t="shared" si="10"/>
        <v>0</v>
      </c>
      <c r="AO32" s="161">
        <f t="shared" si="11"/>
        <v>25000000</v>
      </c>
      <c r="AP32" s="171"/>
      <c r="AQ32" s="171"/>
      <c r="AR32" s="160"/>
      <c r="AS32" s="160"/>
      <c r="AT32" s="160"/>
      <c r="AU32" s="161">
        <f t="shared" si="13"/>
        <v>0</v>
      </c>
      <c r="AV32" s="166"/>
      <c r="AW32" s="168">
        <f t="shared" si="17"/>
        <v>25000000</v>
      </c>
    </row>
    <row r="33" spans="1:49" s="164" customFormat="1" ht="30" customHeight="1">
      <c r="A33" s="160">
        <f t="shared" si="12"/>
        <v>28</v>
      </c>
      <c r="B33" s="160">
        <v>1835</v>
      </c>
      <c r="C33" s="160" t="s">
        <v>432</v>
      </c>
      <c r="D33" s="161">
        <v>70000000</v>
      </c>
      <c r="E33" s="161">
        <v>70000000</v>
      </c>
      <c r="F33" s="161">
        <f t="shared" si="0"/>
        <v>0</v>
      </c>
      <c r="G33" s="161">
        <v>20900000</v>
      </c>
      <c r="H33" s="161">
        <v>11366140</v>
      </c>
      <c r="I33" s="161">
        <v>0</v>
      </c>
      <c r="J33" s="161">
        <v>1144610</v>
      </c>
      <c r="K33" s="161">
        <f t="shared" si="2"/>
        <v>1144610</v>
      </c>
      <c r="L33" s="161">
        <f t="shared" si="1"/>
        <v>12510750</v>
      </c>
      <c r="M33" s="161">
        <f t="shared" si="16"/>
        <v>8389250</v>
      </c>
      <c r="N33" s="161">
        <f>29000000-19000000-9000000</f>
        <v>1000000</v>
      </c>
      <c r="O33" s="161">
        <f t="shared" si="3"/>
        <v>48100000</v>
      </c>
      <c r="P33" s="161">
        <f t="shared" si="4"/>
        <v>8389250</v>
      </c>
      <c r="Q33" s="161"/>
      <c r="R33" s="161"/>
      <c r="S33" s="161">
        <f t="shared" si="18"/>
        <v>0</v>
      </c>
      <c r="T33" s="161">
        <f t="shared" si="15"/>
        <v>0</v>
      </c>
      <c r="U33" s="161">
        <f t="shared" si="7"/>
        <v>1000000</v>
      </c>
      <c r="V33" s="161">
        <f t="shared" si="8"/>
        <v>1000000</v>
      </c>
      <c r="W33" s="161"/>
      <c r="X33" s="161"/>
      <c r="Y33" s="161"/>
      <c r="Z33" s="161"/>
      <c r="AA33" s="160"/>
      <c r="AB33" s="3" t="s">
        <v>1949</v>
      </c>
      <c r="AC33" s="394">
        <v>824000</v>
      </c>
      <c r="AD33" s="331"/>
      <c r="AE33" s="331"/>
      <c r="AF33" s="161"/>
      <c r="AG33" s="161"/>
      <c r="AH33" s="161"/>
      <c r="AI33" s="161"/>
      <c r="AJ33" s="161"/>
      <c r="AK33" s="161"/>
      <c r="AL33" s="161">
        <v>1000000</v>
      </c>
      <c r="AM33" s="161">
        <f t="shared" si="9"/>
        <v>1000000</v>
      </c>
      <c r="AN33" s="161">
        <f t="shared" si="10"/>
        <v>0</v>
      </c>
      <c r="AO33" s="161">
        <f t="shared" si="11"/>
        <v>1000000</v>
      </c>
      <c r="AP33" s="171"/>
      <c r="AQ33" s="171"/>
      <c r="AR33" s="160"/>
      <c r="AS33" s="160"/>
      <c r="AT33" s="160"/>
      <c r="AU33" s="161">
        <f t="shared" si="13"/>
        <v>0</v>
      </c>
      <c r="AV33" s="166"/>
      <c r="AW33" s="168">
        <f t="shared" si="17"/>
        <v>1000000</v>
      </c>
    </row>
    <row r="34" spans="1:49" ht="30" customHeight="1">
      <c r="A34" s="160">
        <f t="shared" si="12"/>
        <v>29</v>
      </c>
      <c r="B34" s="267">
        <v>1845</v>
      </c>
      <c r="C34" s="160" t="s">
        <v>119</v>
      </c>
      <c r="D34" s="161">
        <v>6000000</v>
      </c>
      <c r="E34" s="161">
        <v>6000000</v>
      </c>
      <c r="F34" s="161">
        <f t="shared" si="0"/>
        <v>0</v>
      </c>
      <c r="G34" s="161">
        <v>740000</v>
      </c>
      <c r="H34" s="161">
        <v>736454</v>
      </c>
      <c r="I34" s="161">
        <v>0</v>
      </c>
      <c r="J34" s="161">
        <v>3544</v>
      </c>
      <c r="K34" s="161">
        <f t="shared" si="2"/>
        <v>3544</v>
      </c>
      <c r="L34" s="161">
        <f t="shared" si="1"/>
        <v>739998</v>
      </c>
      <c r="M34" s="161">
        <f t="shared" si="16"/>
        <v>2</v>
      </c>
      <c r="N34" s="161">
        <v>1000000</v>
      </c>
      <c r="O34" s="161">
        <f t="shared" si="3"/>
        <v>4260000</v>
      </c>
      <c r="P34" s="161">
        <f t="shared" si="4"/>
        <v>2</v>
      </c>
      <c r="Q34" s="161"/>
      <c r="R34" s="161"/>
      <c r="S34" s="161">
        <f t="shared" si="18"/>
        <v>0</v>
      </c>
      <c r="T34" s="161">
        <f t="shared" si="15"/>
        <v>0</v>
      </c>
      <c r="U34" s="161">
        <f t="shared" si="7"/>
        <v>1000000</v>
      </c>
      <c r="V34" s="161">
        <f t="shared" si="8"/>
        <v>1000000</v>
      </c>
      <c r="W34" s="161"/>
      <c r="X34" s="161"/>
      <c r="Y34" s="161"/>
      <c r="Z34" s="161"/>
      <c r="AA34" s="160"/>
      <c r="AB34" s="160" t="s">
        <v>830</v>
      </c>
      <c r="AC34" s="394">
        <v>742000</v>
      </c>
      <c r="AD34" s="331"/>
      <c r="AE34" s="331"/>
      <c r="AF34" s="161">
        <v>500000</v>
      </c>
      <c r="AG34" s="161"/>
      <c r="AH34" s="161"/>
      <c r="AI34" s="161"/>
      <c r="AJ34" s="161"/>
      <c r="AK34" s="161"/>
      <c r="AL34" s="161">
        <v>500000</v>
      </c>
      <c r="AM34" s="161">
        <f t="shared" si="9"/>
        <v>1000000</v>
      </c>
      <c r="AN34" s="161">
        <f t="shared" si="10"/>
        <v>0</v>
      </c>
      <c r="AO34" s="161">
        <f t="shared" si="11"/>
        <v>1000000</v>
      </c>
      <c r="AP34" s="171"/>
      <c r="AQ34" s="171"/>
      <c r="AR34" s="171"/>
      <c r="AS34" s="171"/>
      <c r="AT34" s="171"/>
      <c r="AU34" s="161">
        <f t="shared" si="13"/>
        <v>0</v>
      </c>
      <c r="AV34" s="166"/>
      <c r="AW34" s="168">
        <f t="shared" si="17"/>
        <v>500000</v>
      </c>
    </row>
    <row r="35" spans="1:49" s="5" customFormat="1" ht="30" customHeight="1">
      <c r="A35" s="160">
        <f t="shared" si="12"/>
        <v>30</v>
      </c>
      <c r="B35" s="3">
        <v>1872</v>
      </c>
      <c r="C35" s="3" t="s">
        <v>2466</v>
      </c>
      <c r="D35" s="4">
        <v>1160000</v>
      </c>
      <c r="E35" s="4">
        <v>1160000</v>
      </c>
      <c r="F35" s="161">
        <f t="shared" si="0"/>
        <v>0</v>
      </c>
      <c r="G35" s="4">
        <v>1160000</v>
      </c>
      <c r="H35" s="4">
        <v>711356</v>
      </c>
      <c r="I35" s="4">
        <v>0</v>
      </c>
      <c r="J35" s="4">
        <v>448330</v>
      </c>
      <c r="K35" s="161">
        <f t="shared" si="2"/>
        <v>448330</v>
      </c>
      <c r="L35" s="161">
        <f t="shared" si="1"/>
        <v>1159686</v>
      </c>
      <c r="M35" s="161">
        <f t="shared" si="16"/>
        <v>314</v>
      </c>
      <c r="N35" s="161"/>
      <c r="O35" s="161">
        <f t="shared" si="3"/>
        <v>0</v>
      </c>
      <c r="P35" s="161">
        <f t="shared" si="4"/>
        <v>314</v>
      </c>
      <c r="Q35" s="161"/>
      <c r="R35" s="161"/>
      <c r="S35" s="161">
        <f t="shared" si="18"/>
        <v>0</v>
      </c>
      <c r="T35" s="161">
        <f t="shared" si="15"/>
        <v>0</v>
      </c>
      <c r="U35" s="161">
        <f t="shared" si="7"/>
        <v>0</v>
      </c>
      <c r="V35" s="161">
        <f t="shared" si="8"/>
        <v>0</v>
      </c>
      <c r="W35" s="161"/>
      <c r="X35" s="161"/>
      <c r="Y35" s="161"/>
      <c r="Z35" s="161"/>
      <c r="AA35" s="160"/>
      <c r="AB35" s="3" t="s">
        <v>1950</v>
      </c>
      <c r="AC35" s="386">
        <v>742000</v>
      </c>
      <c r="AD35" s="331"/>
      <c r="AE35" s="331"/>
      <c r="AF35" s="161"/>
      <c r="AG35" s="161"/>
      <c r="AH35" s="161"/>
      <c r="AI35" s="161"/>
      <c r="AJ35" s="161"/>
      <c r="AK35" s="161"/>
      <c r="AL35" s="161"/>
      <c r="AM35" s="161">
        <f t="shared" si="9"/>
        <v>0</v>
      </c>
      <c r="AN35" s="161">
        <f t="shared" si="10"/>
        <v>0</v>
      </c>
      <c r="AO35" s="161">
        <f t="shared" si="11"/>
        <v>0</v>
      </c>
      <c r="AP35" s="171"/>
      <c r="AQ35" s="171"/>
      <c r="AR35" s="3"/>
      <c r="AS35" s="3"/>
      <c r="AT35" s="3"/>
      <c r="AU35" s="161">
        <f t="shared" si="13"/>
        <v>0</v>
      </c>
      <c r="AV35" s="166"/>
      <c r="AW35" s="168">
        <f t="shared" si="17"/>
        <v>0</v>
      </c>
    </row>
    <row r="36" spans="1:49" ht="30" customHeight="1">
      <c r="A36" s="160">
        <f t="shared" si="12"/>
        <v>31</v>
      </c>
      <c r="B36" s="267">
        <v>1896</v>
      </c>
      <c r="C36" s="160" t="s">
        <v>433</v>
      </c>
      <c r="D36" s="161">
        <v>18560000</v>
      </c>
      <c r="E36" s="161">
        <v>18560000</v>
      </c>
      <c r="F36" s="161">
        <f t="shared" si="0"/>
        <v>0</v>
      </c>
      <c r="G36" s="161">
        <v>11600000</v>
      </c>
      <c r="H36" s="161">
        <v>1133671</v>
      </c>
      <c r="I36" s="161">
        <v>1737223</v>
      </c>
      <c r="J36" s="161">
        <v>471836</v>
      </c>
      <c r="K36" s="161">
        <f t="shared" si="2"/>
        <v>2209059</v>
      </c>
      <c r="L36" s="161">
        <f t="shared" si="1"/>
        <v>3342730</v>
      </c>
      <c r="M36" s="161">
        <f>P36+S36-4000000+200000</f>
        <v>4457270</v>
      </c>
      <c r="N36" s="161"/>
      <c r="O36" s="161">
        <f t="shared" si="3"/>
        <v>10760000</v>
      </c>
      <c r="P36" s="161">
        <f t="shared" si="4"/>
        <v>8257270</v>
      </c>
      <c r="Q36" s="161"/>
      <c r="R36" s="161"/>
      <c r="S36" s="161">
        <f t="shared" si="18"/>
        <v>0</v>
      </c>
      <c r="T36" s="161">
        <f t="shared" si="15"/>
        <v>3800000</v>
      </c>
      <c r="U36" s="161">
        <f t="shared" si="7"/>
        <v>-3800000</v>
      </c>
      <c r="V36" s="161">
        <f t="shared" si="8"/>
        <v>-3800000</v>
      </c>
      <c r="W36" s="161"/>
      <c r="X36" s="161"/>
      <c r="Y36" s="161"/>
      <c r="Z36" s="161"/>
      <c r="AA36" s="160"/>
      <c r="AB36" s="160" t="s">
        <v>699</v>
      </c>
      <c r="AC36" s="394">
        <v>829000</v>
      </c>
      <c r="AD36" s="331"/>
      <c r="AE36" s="331"/>
      <c r="AF36" s="161"/>
      <c r="AG36" s="161">
        <v>-3800000</v>
      </c>
      <c r="AH36" s="161"/>
      <c r="AI36" s="161"/>
      <c r="AJ36" s="161"/>
      <c r="AK36" s="161"/>
      <c r="AL36" s="161"/>
      <c r="AM36" s="161">
        <f t="shared" si="9"/>
        <v>-3800000</v>
      </c>
      <c r="AN36" s="161">
        <f t="shared" si="10"/>
        <v>0</v>
      </c>
      <c r="AO36" s="161">
        <f t="shared" si="11"/>
        <v>-3800000</v>
      </c>
      <c r="AP36" s="171"/>
      <c r="AQ36" s="171"/>
      <c r="AR36" s="171"/>
      <c r="AS36" s="171"/>
      <c r="AT36" s="171"/>
      <c r="AU36" s="161">
        <f t="shared" si="13"/>
        <v>0</v>
      </c>
      <c r="AV36" s="166"/>
      <c r="AW36" s="168">
        <f t="shared" si="17"/>
        <v>0</v>
      </c>
    </row>
    <row r="37" spans="1:49" s="164" customFormat="1" ht="30" customHeight="1">
      <c r="A37" s="160">
        <f t="shared" si="12"/>
        <v>32</v>
      </c>
      <c r="B37" s="160">
        <v>1904</v>
      </c>
      <c r="C37" s="160" t="s">
        <v>113</v>
      </c>
      <c r="D37" s="161">
        <v>5700000</v>
      </c>
      <c r="E37" s="161">
        <v>5700000</v>
      </c>
      <c r="F37" s="161">
        <f t="shared" si="0"/>
        <v>0</v>
      </c>
      <c r="G37" s="161">
        <v>4800000</v>
      </c>
      <c r="H37" s="161">
        <v>4143323</v>
      </c>
      <c r="I37" s="161">
        <v>0</v>
      </c>
      <c r="J37" s="161">
        <v>492020</v>
      </c>
      <c r="K37" s="161">
        <f t="shared" si="2"/>
        <v>492020</v>
      </c>
      <c r="L37" s="161">
        <f t="shared" si="1"/>
        <v>4635343</v>
      </c>
      <c r="M37" s="161">
        <f t="shared" si="16"/>
        <v>164657</v>
      </c>
      <c r="N37" s="161">
        <f>900000-900000</f>
        <v>0</v>
      </c>
      <c r="O37" s="161">
        <f t="shared" si="3"/>
        <v>900000</v>
      </c>
      <c r="P37" s="161">
        <f t="shared" si="4"/>
        <v>164657</v>
      </c>
      <c r="Q37" s="161"/>
      <c r="R37" s="161"/>
      <c r="S37" s="161">
        <f t="shared" si="18"/>
        <v>0</v>
      </c>
      <c r="T37" s="161">
        <f t="shared" si="15"/>
        <v>0</v>
      </c>
      <c r="U37" s="161">
        <f t="shared" si="7"/>
        <v>0</v>
      </c>
      <c r="V37" s="161">
        <f t="shared" si="8"/>
        <v>0</v>
      </c>
      <c r="W37" s="161"/>
      <c r="X37" s="161"/>
      <c r="Y37" s="161"/>
      <c r="Z37" s="161"/>
      <c r="AA37" s="160"/>
      <c r="AB37" s="160" t="s">
        <v>700</v>
      </c>
      <c r="AC37" s="394">
        <v>742000</v>
      </c>
      <c r="AD37" s="331"/>
      <c r="AE37" s="331"/>
      <c r="AF37" s="161"/>
      <c r="AG37" s="161"/>
      <c r="AH37" s="161"/>
      <c r="AI37" s="161"/>
      <c r="AJ37" s="161"/>
      <c r="AK37" s="161"/>
      <c r="AL37" s="161"/>
      <c r="AM37" s="161">
        <f t="shared" si="9"/>
        <v>0</v>
      </c>
      <c r="AN37" s="161">
        <f t="shared" si="10"/>
        <v>0</v>
      </c>
      <c r="AO37" s="161">
        <f t="shared" si="11"/>
        <v>0</v>
      </c>
      <c r="AP37" s="171"/>
      <c r="AQ37" s="171"/>
      <c r="AR37" s="160"/>
      <c r="AS37" s="160"/>
      <c r="AT37" s="160"/>
      <c r="AU37" s="161">
        <f t="shared" si="13"/>
        <v>0</v>
      </c>
      <c r="AV37" s="166"/>
      <c r="AW37" s="168">
        <f t="shared" si="17"/>
        <v>0</v>
      </c>
    </row>
    <row r="38" spans="1:49" ht="30" customHeight="1">
      <c r="A38" s="160">
        <f t="shared" si="12"/>
        <v>33</v>
      </c>
      <c r="B38" s="267">
        <v>1921</v>
      </c>
      <c r="C38" s="160" t="s">
        <v>121</v>
      </c>
      <c r="D38" s="161">
        <v>9716000</v>
      </c>
      <c r="E38" s="161">
        <v>9716000</v>
      </c>
      <c r="F38" s="161">
        <f t="shared" si="0"/>
        <v>0</v>
      </c>
      <c r="G38" s="161">
        <v>9716000</v>
      </c>
      <c r="H38" s="161">
        <v>4648902</v>
      </c>
      <c r="I38" s="161">
        <v>0</v>
      </c>
      <c r="J38" s="161">
        <v>692685</v>
      </c>
      <c r="K38" s="161">
        <f t="shared" si="2"/>
        <v>692685</v>
      </c>
      <c r="L38" s="161">
        <f t="shared" si="1"/>
        <v>5341587</v>
      </c>
      <c r="M38" s="161">
        <f t="shared" si="16"/>
        <v>4374413</v>
      </c>
      <c r="N38" s="161"/>
      <c r="O38" s="161">
        <f t="shared" si="3"/>
        <v>0</v>
      </c>
      <c r="P38" s="161">
        <f t="shared" si="4"/>
        <v>4374413</v>
      </c>
      <c r="Q38" s="161"/>
      <c r="R38" s="161"/>
      <c r="S38" s="161">
        <f t="shared" si="18"/>
        <v>0</v>
      </c>
      <c r="T38" s="161">
        <f t="shared" si="15"/>
        <v>0</v>
      </c>
      <c r="U38" s="161">
        <f t="shared" si="7"/>
        <v>0</v>
      </c>
      <c r="V38" s="161">
        <f t="shared" si="8"/>
        <v>0</v>
      </c>
      <c r="W38" s="161"/>
      <c r="X38" s="161"/>
      <c r="Y38" s="161"/>
      <c r="Z38" s="161"/>
      <c r="AA38" s="160"/>
      <c r="AB38" s="160" t="s">
        <v>768</v>
      </c>
      <c r="AC38" s="394">
        <v>829000</v>
      </c>
      <c r="AD38" s="331"/>
      <c r="AE38" s="331"/>
      <c r="AF38" s="331"/>
      <c r="AG38" s="331"/>
      <c r="AH38" s="331"/>
      <c r="AI38" s="331"/>
      <c r="AJ38" s="331"/>
      <c r="AK38" s="331"/>
      <c r="AL38" s="331"/>
      <c r="AM38" s="161">
        <f t="shared" si="9"/>
        <v>0</v>
      </c>
      <c r="AN38" s="161">
        <f t="shared" si="10"/>
        <v>0</v>
      </c>
      <c r="AO38" s="161">
        <f t="shared" si="11"/>
        <v>0</v>
      </c>
      <c r="AP38" s="171"/>
      <c r="AQ38" s="171"/>
      <c r="AR38" s="171"/>
      <c r="AS38" s="171"/>
      <c r="AT38" s="171"/>
      <c r="AU38" s="161">
        <f t="shared" si="13"/>
        <v>0</v>
      </c>
      <c r="AV38" s="171"/>
      <c r="AW38" s="168">
        <f t="shared" si="17"/>
        <v>0</v>
      </c>
    </row>
    <row r="39" spans="1:49" ht="30" customHeight="1">
      <c r="A39" s="160">
        <f t="shared" si="12"/>
        <v>34</v>
      </c>
      <c r="B39" s="267">
        <v>1936</v>
      </c>
      <c r="C39" s="160" t="s">
        <v>2333</v>
      </c>
      <c r="D39" s="161">
        <v>6082795</v>
      </c>
      <c r="E39" s="161">
        <v>6082795</v>
      </c>
      <c r="F39" s="161">
        <f t="shared" si="0"/>
        <v>0</v>
      </c>
      <c r="G39" s="161">
        <v>700000</v>
      </c>
      <c r="H39" s="161">
        <v>313933</v>
      </c>
      <c r="I39" s="161">
        <v>0</v>
      </c>
      <c r="J39" s="161">
        <v>0</v>
      </c>
      <c r="K39" s="161">
        <f t="shared" si="2"/>
        <v>0</v>
      </c>
      <c r="L39" s="161">
        <f t="shared" si="1"/>
        <v>313933</v>
      </c>
      <c r="M39" s="161">
        <f t="shared" si="16"/>
        <v>386067</v>
      </c>
      <c r="N39" s="161"/>
      <c r="O39" s="161">
        <f t="shared" si="3"/>
        <v>5382795</v>
      </c>
      <c r="P39" s="161">
        <f t="shared" si="4"/>
        <v>386067</v>
      </c>
      <c r="Q39" s="161"/>
      <c r="R39" s="161"/>
      <c r="S39" s="161">
        <f t="shared" si="18"/>
        <v>0</v>
      </c>
      <c r="T39" s="161">
        <f t="shared" si="15"/>
        <v>0</v>
      </c>
      <c r="U39" s="161">
        <f t="shared" si="7"/>
        <v>0</v>
      </c>
      <c r="V39" s="161">
        <f t="shared" si="8"/>
        <v>0</v>
      </c>
      <c r="W39" s="161"/>
      <c r="X39" s="161"/>
      <c r="Y39" s="161"/>
      <c r="Z39" s="161"/>
      <c r="AA39" s="160"/>
      <c r="AB39" s="268" t="s">
        <v>385</v>
      </c>
      <c r="AC39" s="394">
        <v>732000</v>
      </c>
      <c r="AD39" s="331"/>
      <c r="AE39" s="331"/>
      <c r="AF39" s="331"/>
      <c r="AG39" s="331"/>
      <c r="AH39" s="331"/>
      <c r="AI39" s="331"/>
      <c r="AJ39" s="331"/>
      <c r="AK39" s="331"/>
      <c r="AL39" s="331"/>
      <c r="AM39" s="161">
        <f t="shared" si="9"/>
        <v>0</v>
      </c>
      <c r="AN39" s="161">
        <f t="shared" si="10"/>
        <v>0</v>
      </c>
      <c r="AO39" s="161">
        <f t="shared" si="11"/>
        <v>0</v>
      </c>
      <c r="AP39" s="171"/>
      <c r="AQ39" s="171"/>
      <c r="AR39" s="171"/>
      <c r="AS39" s="171"/>
      <c r="AT39" s="171"/>
      <c r="AU39" s="161">
        <f t="shared" si="13"/>
        <v>0</v>
      </c>
      <c r="AV39" s="171"/>
      <c r="AW39" s="168">
        <f t="shared" si="17"/>
        <v>0</v>
      </c>
    </row>
    <row r="40" spans="1:49" ht="30" customHeight="1">
      <c r="A40" s="160">
        <f t="shared" si="12"/>
        <v>35</v>
      </c>
      <c r="B40" s="267">
        <v>1953</v>
      </c>
      <c r="C40" s="160" t="s">
        <v>434</v>
      </c>
      <c r="D40" s="161">
        <v>5300000</v>
      </c>
      <c r="E40" s="161">
        <v>5300000</v>
      </c>
      <c r="F40" s="161">
        <f t="shared" si="0"/>
        <v>0</v>
      </c>
      <c r="G40" s="161">
        <v>5300000</v>
      </c>
      <c r="H40" s="161">
        <v>3138324</v>
      </c>
      <c r="I40" s="161">
        <v>0</v>
      </c>
      <c r="J40" s="161">
        <v>273206</v>
      </c>
      <c r="K40" s="161">
        <f t="shared" si="2"/>
        <v>273206</v>
      </c>
      <c r="L40" s="161">
        <f t="shared" si="1"/>
        <v>3411530</v>
      </c>
      <c r="M40" s="161">
        <f t="shared" si="16"/>
        <v>1888470</v>
      </c>
      <c r="N40" s="161"/>
      <c r="O40" s="161">
        <f t="shared" si="3"/>
        <v>0</v>
      </c>
      <c r="P40" s="161">
        <f t="shared" si="4"/>
        <v>1888470</v>
      </c>
      <c r="Q40" s="161"/>
      <c r="R40" s="161"/>
      <c r="S40" s="161">
        <f t="shared" si="18"/>
        <v>0</v>
      </c>
      <c r="T40" s="161">
        <f t="shared" si="15"/>
        <v>0</v>
      </c>
      <c r="U40" s="161">
        <f t="shared" si="7"/>
        <v>0</v>
      </c>
      <c r="V40" s="161">
        <f t="shared" si="8"/>
        <v>0</v>
      </c>
      <c r="W40" s="161"/>
      <c r="X40" s="161"/>
      <c r="Y40" s="161"/>
      <c r="Z40" s="161"/>
      <c r="AA40" s="160"/>
      <c r="AB40" s="321" t="s">
        <v>471</v>
      </c>
      <c r="AC40" s="394">
        <v>742000</v>
      </c>
      <c r="AD40" s="331"/>
      <c r="AE40" s="331"/>
      <c r="AF40" s="331"/>
      <c r="AG40" s="331"/>
      <c r="AH40" s="331"/>
      <c r="AI40" s="331"/>
      <c r="AJ40" s="331"/>
      <c r="AK40" s="331"/>
      <c r="AL40" s="331"/>
      <c r="AM40" s="161">
        <f t="shared" si="9"/>
        <v>0</v>
      </c>
      <c r="AN40" s="161">
        <f t="shared" si="10"/>
        <v>0</v>
      </c>
      <c r="AO40" s="161">
        <f t="shared" si="11"/>
        <v>0</v>
      </c>
      <c r="AP40" s="171"/>
      <c r="AQ40" s="171"/>
      <c r="AR40" s="171"/>
      <c r="AS40" s="171"/>
      <c r="AT40" s="171"/>
      <c r="AU40" s="161">
        <f t="shared" si="13"/>
        <v>0</v>
      </c>
      <c r="AV40" s="171"/>
      <c r="AW40" s="168">
        <f t="shared" si="17"/>
        <v>0</v>
      </c>
    </row>
    <row r="41" spans="1:49" s="164" customFormat="1" ht="30" customHeight="1">
      <c r="A41" s="160">
        <f t="shared" si="12"/>
        <v>36</v>
      </c>
      <c r="B41" s="160">
        <v>1954</v>
      </c>
      <c r="C41" s="160" t="s">
        <v>137</v>
      </c>
      <c r="D41" s="161">
        <v>2000000</v>
      </c>
      <c r="E41" s="161">
        <v>2000000</v>
      </c>
      <c r="F41" s="161">
        <f t="shared" si="0"/>
        <v>0</v>
      </c>
      <c r="G41" s="161">
        <v>2000000</v>
      </c>
      <c r="H41" s="161">
        <v>1238534</v>
      </c>
      <c r="I41" s="161">
        <v>0</v>
      </c>
      <c r="J41" s="161">
        <v>754385</v>
      </c>
      <c r="K41" s="161">
        <f t="shared" si="2"/>
        <v>754385</v>
      </c>
      <c r="L41" s="161">
        <f t="shared" si="1"/>
        <v>1992919</v>
      </c>
      <c r="M41" s="161">
        <f t="shared" si="16"/>
        <v>7081</v>
      </c>
      <c r="N41" s="161"/>
      <c r="O41" s="161">
        <f t="shared" si="3"/>
        <v>0</v>
      </c>
      <c r="P41" s="161">
        <f t="shared" si="4"/>
        <v>7081</v>
      </c>
      <c r="Q41" s="161"/>
      <c r="R41" s="161"/>
      <c r="S41" s="161">
        <f t="shared" si="18"/>
        <v>0</v>
      </c>
      <c r="T41" s="161">
        <f t="shared" si="15"/>
        <v>0</v>
      </c>
      <c r="U41" s="161">
        <f t="shared" si="7"/>
        <v>0</v>
      </c>
      <c r="V41" s="161">
        <f t="shared" si="8"/>
        <v>0</v>
      </c>
      <c r="W41" s="161"/>
      <c r="X41" s="161"/>
      <c r="Y41" s="161"/>
      <c r="Z41" s="161"/>
      <c r="AA41" s="160"/>
      <c r="AB41" s="268" t="s">
        <v>523</v>
      </c>
      <c r="AC41" s="394">
        <v>742000</v>
      </c>
      <c r="AD41" s="331"/>
      <c r="AE41" s="331"/>
      <c r="AF41" s="331"/>
      <c r="AG41" s="331"/>
      <c r="AH41" s="331"/>
      <c r="AI41" s="331"/>
      <c r="AJ41" s="331"/>
      <c r="AK41" s="331"/>
      <c r="AL41" s="161"/>
      <c r="AM41" s="161">
        <f t="shared" si="9"/>
        <v>0</v>
      </c>
      <c r="AN41" s="161">
        <f t="shared" si="10"/>
        <v>0</v>
      </c>
      <c r="AO41" s="161">
        <f t="shared" si="11"/>
        <v>0</v>
      </c>
      <c r="AP41" s="171"/>
      <c r="AQ41" s="171"/>
      <c r="AR41" s="160"/>
      <c r="AS41" s="160"/>
      <c r="AT41" s="160"/>
      <c r="AU41" s="161">
        <f t="shared" si="13"/>
        <v>0</v>
      </c>
      <c r="AV41" s="160"/>
      <c r="AW41" s="168">
        <f t="shared" si="17"/>
        <v>0</v>
      </c>
    </row>
    <row r="42" spans="1:49" ht="30" customHeight="1">
      <c r="A42" s="160">
        <f t="shared" si="12"/>
        <v>37</v>
      </c>
      <c r="B42" s="267">
        <v>1957</v>
      </c>
      <c r="C42" s="160" t="s">
        <v>325</v>
      </c>
      <c r="D42" s="161">
        <v>60000000</v>
      </c>
      <c r="E42" s="161">
        <v>60000000</v>
      </c>
      <c r="F42" s="161">
        <f t="shared" si="0"/>
        <v>0</v>
      </c>
      <c r="G42" s="161">
        <v>4420000</v>
      </c>
      <c r="H42" s="161">
        <v>2763611</v>
      </c>
      <c r="I42" s="161">
        <v>0</v>
      </c>
      <c r="J42" s="161">
        <v>82619</v>
      </c>
      <c r="K42" s="161">
        <f t="shared" si="2"/>
        <v>82619</v>
      </c>
      <c r="L42" s="161">
        <f t="shared" si="1"/>
        <v>2846230</v>
      </c>
      <c r="M42" s="161">
        <f t="shared" si="16"/>
        <v>1573770</v>
      </c>
      <c r="N42" s="161">
        <f>30000000-29000000</f>
        <v>1000000</v>
      </c>
      <c r="O42" s="161">
        <f t="shared" si="3"/>
        <v>54580000</v>
      </c>
      <c r="P42" s="161">
        <f t="shared" si="4"/>
        <v>1573770</v>
      </c>
      <c r="Q42" s="161"/>
      <c r="R42" s="161"/>
      <c r="S42" s="161">
        <f t="shared" si="18"/>
        <v>0</v>
      </c>
      <c r="T42" s="161">
        <f t="shared" si="15"/>
        <v>0</v>
      </c>
      <c r="U42" s="161">
        <f t="shared" si="7"/>
        <v>1000000</v>
      </c>
      <c r="V42" s="161">
        <f t="shared" si="8"/>
        <v>1000000</v>
      </c>
      <c r="W42" s="161"/>
      <c r="X42" s="161"/>
      <c r="Y42" s="161"/>
      <c r="Z42" s="161"/>
      <c r="AA42" s="160"/>
      <c r="AB42" s="160" t="s">
        <v>769</v>
      </c>
      <c r="AC42" s="394">
        <v>810000</v>
      </c>
      <c r="AD42" s="331"/>
      <c r="AE42" s="331"/>
      <c r="AF42" s="331"/>
      <c r="AG42" s="331"/>
      <c r="AH42" s="331"/>
      <c r="AI42" s="331"/>
      <c r="AJ42" s="331"/>
      <c r="AK42" s="331"/>
      <c r="AL42" s="161">
        <v>1000000</v>
      </c>
      <c r="AM42" s="161">
        <f t="shared" si="9"/>
        <v>1000000</v>
      </c>
      <c r="AN42" s="161">
        <f t="shared" si="10"/>
        <v>0</v>
      </c>
      <c r="AO42" s="161">
        <f t="shared" si="11"/>
        <v>1000000</v>
      </c>
      <c r="AP42" s="171"/>
      <c r="AQ42" s="171"/>
      <c r="AR42" s="171"/>
      <c r="AS42" s="171"/>
      <c r="AT42" s="171"/>
      <c r="AU42" s="161">
        <f t="shared" si="13"/>
        <v>0</v>
      </c>
      <c r="AV42" s="171"/>
      <c r="AW42" s="168">
        <f t="shared" si="17"/>
        <v>1000000</v>
      </c>
    </row>
    <row r="43" spans="1:49" ht="30" customHeight="1">
      <c r="A43" s="160">
        <f t="shared" si="12"/>
        <v>38</v>
      </c>
      <c r="B43" s="267">
        <v>1961</v>
      </c>
      <c r="C43" s="160" t="s">
        <v>147</v>
      </c>
      <c r="D43" s="161">
        <v>128000000</v>
      </c>
      <c r="E43" s="161">
        <v>128000000</v>
      </c>
      <c r="F43" s="161">
        <f t="shared" si="0"/>
        <v>0</v>
      </c>
      <c r="G43" s="161">
        <v>1500000</v>
      </c>
      <c r="H43" s="161">
        <v>0</v>
      </c>
      <c r="I43" s="161">
        <v>0</v>
      </c>
      <c r="J43" s="161">
        <v>0</v>
      </c>
      <c r="K43" s="161">
        <f t="shared" si="2"/>
        <v>0</v>
      </c>
      <c r="L43" s="161">
        <f t="shared" si="1"/>
        <v>0</v>
      </c>
      <c r="M43" s="161">
        <f>P43+S43-1000000</f>
        <v>500000</v>
      </c>
      <c r="N43" s="161"/>
      <c r="O43" s="161">
        <f t="shared" si="3"/>
        <v>127500000</v>
      </c>
      <c r="P43" s="161">
        <f t="shared" si="4"/>
        <v>1500000</v>
      </c>
      <c r="Q43" s="161"/>
      <c r="R43" s="161"/>
      <c r="S43" s="161">
        <f t="shared" si="18"/>
        <v>0</v>
      </c>
      <c r="T43" s="161">
        <f t="shared" si="15"/>
        <v>1000000</v>
      </c>
      <c r="U43" s="161">
        <f t="shared" si="7"/>
        <v>-1000000</v>
      </c>
      <c r="V43" s="161">
        <f t="shared" si="8"/>
        <v>-1000000</v>
      </c>
      <c r="W43" s="161"/>
      <c r="X43" s="161"/>
      <c r="Y43" s="161"/>
      <c r="Z43" s="161"/>
      <c r="AA43" s="160"/>
      <c r="AB43" s="306" t="s">
        <v>1951</v>
      </c>
      <c r="AC43" s="394">
        <v>742000</v>
      </c>
      <c r="AD43" s="331"/>
      <c r="AE43" s="331"/>
      <c r="AF43" s="331"/>
      <c r="AG43" s="161">
        <v>-1000000</v>
      </c>
      <c r="AH43" s="161"/>
      <c r="AI43" s="161"/>
      <c r="AJ43" s="161"/>
      <c r="AK43" s="161"/>
      <c r="AL43" s="161"/>
      <c r="AM43" s="161">
        <f t="shared" si="9"/>
        <v>-1000000</v>
      </c>
      <c r="AN43" s="161">
        <f t="shared" si="10"/>
        <v>0</v>
      </c>
      <c r="AO43" s="161">
        <f t="shared" si="11"/>
        <v>-1000000</v>
      </c>
      <c r="AP43" s="171"/>
      <c r="AQ43" s="171"/>
      <c r="AR43" s="171"/>
      <c r="AS43" s="171"/>
      <c r="AT43" s="171"/>
      <c r="AU43" s="161">
        <f t="shared" si="13"/>
        <v>0</v>
      </c>
      <c r="AV43" s="171"/>
      <c r="AW43" s="168">
        <f t="shared" si="17"/>
        <v>0</v>
      </c>
    </row>
    <row r="44" spans="1:49" ht="30" customHeight="1">
      <c r="A44" s="160">
        <f t="shared" si="12"/>
        <v>39</v>
      </c>
      <c r="B44" s="267">
        <v>1972</v>
      </c>
      <c r="C44" s="160" t="s">
        <v>326</v>
      </c>
      <c r="D44" s="161">
        <v>4470000</v>
      </c>
      <c r="E44" s="161">
        <v>4470000</v>
      </c>
      <c r="F44" s="161">
        <f t="shared" si="0"/>
        <v>0</v>
      </c>
      <c r="G44" s="161">
        <v>4470000</v>
      </c>
      <c r="H44" s="161">
        <v>3896210</v>
      </c>
      <c r="I44" s="161">
        <v>0</v>
      </c>
      <c r="J44" s="161">
        <v>91648</v>
      </c>
      <c r="K44" s="161">
        <f t="shared" si="2"/>
        <v>91648</v>
      </c>
      <c r="L44" s="161">
        <f t="shared" si="1"/>
        <v>3987858</v>
      </c>
      <c r="M44" s="161">
        <f t="shared" si="16"/>
        <v>482142</v>
      </c>
      <c r="N44" s="161"/>
      <c r="O44" s="161">
        <f t="shared" si="3"/>
        <v>0</v>
      </c>
      <c r="P44" s="161">
        <f t="shared" si="4"/>
        <v>482142</v>
      </c>
      <c r="Q44" s="161"/>
      <c r="R44" s="161"/>
      <c r="S44" s="161">
        <f t="shared" si="18"/>
        <v>0</v>
      </c>
      <c r="T44" s="161">
        <f t="shared" si="15"/>
        <v>0</v>
      </c>
      <c r="U44" s="161">
        <f t="shared" si="7"/>
        <v>0</v>
      </c>
      <c r="V44" s="161">
        <f t="shared" si="8"/>
        <v>0</v>
      </c>
      <c r="W44" s="161"/>
      <c r="X44" s="161"/>
      <c r="Y44" s="161"/>
      <c r="Z44" s="161"/>
      <c r="AA44" s="160"/>
      <c r="AB44" s="160" t="s">
        <v>831</v>
      </c>
      <c r="AC44" s="394">
        <v>746000</v>
      </c>
      <c r="AD44" s="331"/>
      <c r="AE44" s="331"/>
      <c r="AF44" s="331"/>
      <c r="AG44" s="331"/>
      <c r="AH44" s="331"/>
      <c r="AI44" s="331"/>
      <c r="AJ44" s="331"/>
      <c r="AK44" s="331"/>
      <c r="AL44" s="161"/>
      <c r="AM44" s="161">
        <f t="shared" si="9"/>
        <v>0</v>
      </c>
      <c r="AN44" s="161">
        <f t="shared" si="10"/>
        <v>0</v>
      </c>
      <c r="AO44" s="161">
        <f t="shared" si="11"/>
        <v>0</v>
      </c>
      <c r="AP44" s="171"/>
      <c r="AQ44" s="171"/>
      <c r="AR44" s="171"/>
      <c r="AS44" s="171"/>
      <c r="AT44" s="171"/>
      <c r="AU44" s="161">
        <f t="shared" si="13"/>
        <v>0</v>
      </c>
      <c r="AV44" s="171"/>
      <c r="AW44" s="168">
        <f t="shared" si="17"/>
        <v>0</v>
      </c>
    </row>
    <row r="45" spans="1:49" s="170" customFormat="1" ht="30" customHeight="1">
      <c r="A45" s="160">
        <f t="shared" si="12"/>
        <v>40</v>
      </c>
      <c r="B45" s="160">
        <v>1998</v>
      </c>
      <c r="C45" s="160" t="s">
        <v>262</v>
      </c>
      <c r="D45" s="161">
        <v>4630000</v>
      </c>
      <c r="E45" s="161">
        <v>4630000</v>
      </c>
      <c r="F45" s="161">
        <f t="shared" si="0"/>
        <v>0</v>
      </c>
      <c r="G45" s="161">
        <v>150000</v>
      </c>
      <c r="H45" s="161">
        <v>12799</v>
      </c>
      <c r="I45" s="161">
        <v>0</v>
      </c>
      <c r="J45" s="161">
        <v>137200</v>
      </c>
      <c r="K45" s="161">
        <f t="shared" si="2"/>
        <v>137200</v>
      </c>
      <c r="L45" s="161">
        <f t="shared" si="1"/>
        <v>149999</v>
      </c>
      <c r="M45" s="161">
        <f t="shared" si="16"/>
        <v>1</v>
      </c>
      <c r="N45" s="161">
        <v>2500000</v>
      </c>
      <c r="O45" s="161">
        <f t="shared" si="3"/>
        <v>1980000</v>
      </c>
      <c r="P45" s="161">
        <f t="shared" si="4"/>
        <v>1</v>
      </c>
      <c r="Q45" s="161"/>
      <c r="R45" s="161"/>
      <c r="S45" s="161">
        <f t="shared" si="18"/>
        <v>0</v>
      </c>
      <c r="T45" s="161">
        <f t="shared" si="15"/>
        <v>0</v>
      </c>
      <c r="U45" s="161">
        <f t="shared" si="7"/>
        <v>2500000</v>
      </c>
      <c r="V45" s="161">
        <f t="shared" si="8"/>
        <v>1500000</v>
      </c>
      <c r="W45" s="161"/>
      <c r="X45" s="161"/>
      <c r="Y45" s="161"/>
      <c r="Z45" s="161"/>
      <c r="AA45" s="161">
        <v>1000000</v>
      </c>
      <c r="AB45" s="160" t="s">
        <v>832</v>
      </c>
      <c r="AC45" s="395">
        <v>870000</v>
      </c>
      <c r="AD45" s="331"/>
      <c r="AE45" s="331"/>
      <c r="AF45" s="331"/>
      <c r="AG45" s="331"/>
      <c r="AH45" s="331"/>
      <c r="AI45" s="331"/>
      <c r="AJ45" s="331"/>
      <c r="AK45" s="331"/>
      <c r="AL45" s="161">
        <f>1500000-1300000</f>
        <v>200000</v>
      </c>
      <c r="AM45" s="161">
        <f t="shared" si="9"/>
        <v>200000</v>
      </c>
      <c r="AN45" s="161">
        <f t="shared" si="10"/>
        <v>2300000</v>
      </c>
      <c r="AO45" s="161">
        <f t="shared" si="11"/>
        <v>200000</v>
      </c>
      <c r="AP45" s="171"/>
      <c r="AQ45" s="171"/>
      <c r="AR45" s="277"/>
      <c r="AS45" s="277"/>
      <c r="AT45" s="161"/>
      <c r="AU45" s="161">
        <f t="shared" si="13"/>
        <v>2300000</v>
      </c>
      <c r="AV45" s="277" t="s">
        <v>1952</v>
      </c>
      <c r="AW45" s="168">
        <f t="shared" si="17"/>
        <v>200000</v>
      </c>
    </row>
    <row r="46" spans="1:49" s="170" customFormat="1" ht="30" customHeight="1">
      <c r="A46" s="160">
        <f t="shared" si="12"/>
        <v>41</v>
      </c>
      <c r="B46" s="160">
        <v>2002</v>
      </c>
      <c r="C46" s="160" t="s">
        <v>167</v>
      </c>
      <c r="D46" s="161">
        <v>1500000</v>
      </c>
      <c r="E46" s="161">
        <v>1500000</v>
      </c>
      <c r="F46" s="161">
        <f t="shared" si="0"/>
        <v>0</v>
      </c>
      <c r="G46" s="161">
        <v>700000</v>
      </c>
      <c r="H46" s="161">
        <v>133342</v>
      </c>
      <c r="I46" s="161">
        <v>0</v>
      </c>
      <c r="J46" s="161">
        <v>557724</v>
      </c>
      <c r="K46" s="161">
        <f t="shared" si="2"/>
        <v>557724</v>
      </c>
      <c r="L46" s="161">
        <f t="shared" si="1"/>
        <v>691066</v>
      </c>
      <c r="M46" s="161">
        <f t="shared" si="16"/>
        <v>8934</v>
      </c>
      <c r="N46" s="161">
        <f>800000-800000</f>
        <v>0</v>
      </c>
      <c r="O46" s="161">
        <f t="shared" si="3"/>
        <v>800000</v>
      </c>
      <c r="P46" s="161">
        <f t="shared" si="4"/>
        <v>8934</v>
      </c>
      <c r="Q46" s="161"/>
      <c r="R46" s="161"/>
      <c r="S46" s="161">
        <f t="shared" si="18"/>
        <v>0</v>
      </c>
      <c r="T46" s="161">
        <f t="shared" si="15"/>
        <v>0</v>
      </c>
      <c r="U46" s="161">
        <f t="shared" si="7"/>
        <v>0</v>
      </c>
      <c r="V46" s="161">
        <f t="shared" si="8"/>
        <v>0</v>
      </c>
      <c r="W46" s="161"/>
      <c r="X46" s="161"/>
      <c r="Y46" s="161"/>
      <c r="Z46" s="161"/>
      <c r="AA46" s="160"/>
      <c r="AB46" s="160" t="s">
        <v>524</v>
      </c>
      <c r="AC46" s="395">
        <v>742000</v>
      </c>
      <c r="AD46" s="331"/>
      <c r="AE46" s="331"/>
      <c r="AF46" s="331"/>
      <c r="AG46" s="331"/>
      <c r="AH46" s="331"/>
      <c r="AI46" s="331"/>
      <c r="AJ46" s="331"/>
      <c r="AK46" s="331"/>
      <c r="AL46" s="161"/>
      <c r="AM46" s="161">
        <f t="shared" si="9"/>
        <v>0</v>
      </c>
      <c r="AN46" s="161">
        <f t="shared" si="10"/>
        <v>0</v>
      </c>
      <c r="AO46" s="161">
        <f t="shared" si="11"/>
        <v>0</v>
      </c>
      <c r="AP46" s="171"/>
      <c r="AQ46" s="171"/>
      <c r="AR46" s="277"/>
      <c r="AS46" s="277"/>
      <c r="AT46" s="277"/>
      <c r="AU46" s="161">
        <f t="shared" si="13"/>
        <v>0</v>
      </c>
      <c r="AV46" s="277"/>
      <c r="AW46" s="168">
        <f t="shared" si="17"/>
        <v>0</v>
      </c>
    </row>
    <row r="47" spans="1:49" s="170" customFormat="1" ht="30" customHeight="1">
      <c r="A47" s="160">
        <f t="shared" si="12"/>
        <v>42</v>
      </c>
      <c r="B47" s="160">
        <v>2008</v>
      </c>
      <c r="C47" s="160" t="s">
        <v>309</v>
      </c>
      <c r="D47" s="161">
        <v>2500000</v>
      </c>
      <c r="E47" s="161">
        <v>2500000</v>
      </c>
      <c r="F47" s="161">
        <f t="shared" si="0"/>
        <v>0</v>
      </c>
      <c r="G47" s="161">
        <v>0</v>
      </c>
      <c r="H47" s="161">
        <v>0</v>
      </c>
      <c r="I47" s="161">
        <v>0</v>
      </c>
      <c r="J47" s="161">
        <v>0</v>
      </c>
      <c r="K47" s="161">
        <f t="shared" si="2"/>
        <v>0</v>
      </c>
      <c r="L47" s="161">
        <f t="shared" si="1"/>
        <v>0</v>
      </c>
      <c r="M47" s="161">
        <f t="shared" si="16"/>
        <v>0</v>
      </c>
      <c r="N47" s="161">
        <f>2500000-2500000</f>
        <v>0</v>
      </c>
      <c r="O47" s="161">
        <f t="shared" si="3"/>
        <v>2500000</v>
      </c>
      <c r="P47" s="161">
        <f t="shared" si="4"/>
        <v>0</v>
      </c>
      <c r="Q47" s="161"/>
      <c r="R47" s="161"/>
      <c r="S47" s="161">
        <f t="shared" si="18"/>
        <v>0</v>
      </c>
      <c r="T47" s="161">
        <f t="shared" si="15"/>
        <v>0</v>
      </c>
      <c r="U47" s="161">
        <f t="shared" si="7"/>
        <v>0</v>
      </c>
      <c r="V47" s="161">
        <f t="shared" si="8"/>
        <v>0</v>
      </c>
      <c r="W47" s="161"/>
      <c r="X47" s="161"/>
      <c r="Y47" s="161"/>
      <c r="Z47" s="161"/>
      <c r="AA47" s="160"/>
      <c r="AB47" s="393" t="s">
        <v>701</v>
      </c>
      <c r="AC47" s="394">
        <v>742000</v>
      </c>
      <c r="AD47" s="331"/>
      <c r="AE47" s="331"/>
      <c r="AF47" s="331"/>
      <c r="AG47" s="331"/>
      <c r="AH47" s="331"/>
      <c r="AI47" s="331"/>
      <c r="AJ47" s="331"/>
      <c r="AK47" s="331"/>
      <c r="AL47" s="161"/>
      <c r="AM47" s="161">
        <f t="shared" si="9"/>
        <v>0</v>
      </c>
      <c r="AN47" s="161">
        <f t="shared" si="10"/>
        <v>0</v>
      </c>
      <c r="AO47" s="161">
        <f t="shared" si="11"/>
        <v>0</v>
      </c>
      <c r="AP47" s="171"/>
      <c r="AQ47" s="171"/>
      <c r="AR47" s="277"/>
      <c r="AS47" s="277"/>
      <c r="AT47" s="277"/>
      <c r="AU47" s="161">
        <f t="shared" si="13"/>
        <v>0</v>
      </c>
      <c r="AV47" s="277"/>
      <c r="AW47" s="168">
        <f t="shared" si="17"/>
        <v>0</v>
      </c>
    </row>
    <row r="48" spans="1:49" s="5" customFormat="1" ht="30" customHeight="1">
      <c r="A48" s="160">
        <f t="shared" si="12"/>
        <v>43</v>
      </c>
      <c r="B48" s="3">
        <v>2010</v>
      </c>
      <c r="C48" s="3" t="s">
        <v>310</v>
      </c>
      <c r="D48" s="4">
        <v>8000000</v>
      </c>
      <c r="E48" s="4">
        <v>8000000</v>
      </c>
      <c r="F48" s="161">
        <f t="shared" si="0"/>
        <v>0</v>
      </c>
      <c r="G48" s="4">
        <v>0</v>
      </c>
      <c r="H48" s="4">
        <v>0</v>
      </c>
      <c r="I48" s="4">
        <v>0</v>
      </c>
      <c r="J48" s="4">
        <v>0</v>
      </c>
      <c r="K48" s="161">
        <f t="shared" si="2"/>
        <v>0</v>
      </c>
      <c r="L48" s="161">
        <f t="shared" si="1"/>
        <v>0</v>
      </c>
      <c r="M48" s="161">
        <f t="shared" si="16"/>
        <v>0</v>
      </c>
      <c r="N48" s="161">
        <f>1000000-1000000</f>
        <v>0</v>
      </c>
      <c r="O48" s="161">
        <f t="shared" si="3"/>
        <v>8000000</v>
      </c>
      <c r="P48" s="161">
        <f t="shared" si="4"/>
        <v>0</v>
      </c>
      <c r="Q48" s="161"/>
      <c r="R48" s="161"/>
      <c r="S48" s="161">
        <f t="shared" si="18"/>
        <v>0</v>
      </c>
      <c r="T48" s="161">
        <f t="shared" si="15"/>
        <v>0</v>
      </c>
      <c r="U48" s="161">
        <f t="shared" si="7"/>
        <v>0</v>
      </c>
      <c r="V48" s="161">
        <f t="shared" si="8"/>
        <v>0</v>
      </c>
      <c r="W48" s="161"/>
      <c r="X48" s="161"/>
      <c r="Y48" s="161"/>
      <c r="Z48" s="161"/>
      <c r="AA48" s="160"/>
      <c r="AB48" s="3" t="s">
        <v>583</v>
      </c>
      <c r="AC48" s="386">
        <v>742000</v>
      </c>
      <c r="AD48" s="331"/>
      <c r="AE48" s="331"/>
      <c r="AF48" s="331"/>
      <c r="AG48" s="331"/>
      <c r="AH48" s="331"/>
      <c r="AI48" s="331"/>
      <c r="AJ48" s="331"/>
      <c r="AK48" s="331"/>
      <c r="AL48" s="161"/>
      <c r="AM48" s="161">
        <f t="shared" si="9"/>
        <v>0</v>
      </c>
      <c r="AN48" s="161">
        <f t="shared" si="10"/>
        <v>0</v>
      </c>
      <c r="AO48" s="161">
        <f t="shared" si="11"/>
        <v>0</v>
      </c>
      <c r="AP48" s="171"/>
      <c r="AQ48" s="171"/>
      <c r="AR48" s="3"/>
      <c r="AS48" s="3"/>
      <c r="AT48" s="3"/>
      <c r="AU48" s="161">
        <f t="shared" si="13"/>
        <v>0</v>
      </c>
      <c r="AV48" s="3"/>
      <c r="AW48" s="168">
        <f t="shared" si="17"/>
        <v>0</v>
      </c>
    </row>
    <row r="49" spans="1:49" s="5" customFormat="1" ht="30" customHeight="1">
      <c r="A49" s="160">
        <f t="shared" si="12"/>
        <v>44</v>
      </c>
      <c r="B49" s="3">
        <v>2011</v>
      </c>
      <c r="C49" s="30" t="s">
        <v>1953</v>
      </c>
      <c r="D49" s="4">
        <v>80000000</v>
      </c>
      <c r="E49" s="4">
        <v>80000000</v>
      </c>
      <c r="F49" s="161">
        <f t="shared" si="0"/>
        <v>0</v>
      </c>
      <c r="G49" s="4">
        <v>2000000</v>
      </c>
      <c r="H49" s="4">
        <v>1100424</v>
      </c>
      <c r="I49" s="4">
        <v>0</v>
      </c>
      <c r="J49" s="4">
        <v>23592</v>
      </c>
      <c r="K49" s="161">
        <f t="shared" si="2"/>
        <v>23592</v>
      </c>
      <c r="L49" s="161">
        <f t="shared" si="1"/>
        <v>1124016</v>
      </c>
      <c r="M49" s="161">
        <f t="shared" si="16"/>
        <v>875984</v>
      </c>
      <c r="N49" s="161">
        <f>40000000-10000000-10000000</f>
        <v>20000000</v>
      </c>
      <c r="O49" s="161">
        <f t="shared" si="3"/>
        <v>58000000</v>
      </c>
      <c r="P49" s="161">
        <f t="shared" si="4"/>
        <v>875984</v>
      </c>
      <c r="Q49" s="161"/>
      <c r="R49" s="161"/>
      <c r="S49" s="161">
        <f t="shared" si="18"/>
        <v>0</v>
      </c>
      <c r="T49" s="161">
        <f t="shared" si="15"/>
        <v>0</v>
      </c>
      <c r="U49" s="161">
        <f t="shared" si="7"/>
        <v>20000000</v>
      </c>
      <c r="V49" s="161">
        <f t="shared" si="8"/>
        <v>20000000</v>
      </c>
      <c r="W49" s="161"/>
      <c r="X49" s="161"/>
      <c r="Y49" s="161"/>
      <c r="Z49" s="161"/>
      <c r="AA49" s="160"/>
      <c r="AB49" s="3" t="s">
        <v>833</v>
      </c>
      <c r="AC49" s="386">
        <v>742000</v>
      </c>
      <c r="AD49" s="331"/>
      <c r="AE49" s="331"/>
      <c r="AF49" s="331"/>
      <c r="AG49" s="331"/>
      <c r="AH49" s="331"/>
      <c r="AI49" s="331"/>
      <c r="AJ49" s="331"/>
      <c r="AK49" s="161">
        <v>2000000</v>
      </c>
      <c r="AL49" s="161">
        <v>18000000</v>
      </c>
      <c r="AM49" s="161">
        <f t="shared" si="9"/>
        <v>20000000</v>
      </c>
      <c r="AN49" s="161">
        <f t="shared" si="10"/>
        <v>0</v>
      </c>
      <c r="AO49" s="161">
        <f t="shared" si="11"/>
        <v>20000000</v>
      </c>
      <c r="AP49" s="171"/>
      <c r="AQ49" s="171"/>
      <c r="AR49" s="3"/>
      <c r="AS49" s="3"/>
      <c r="AT49" s="3"/>
      <c r="AU49" s="161">
        <f t="shared" si="13"/>
        <v>0</v>
      </c>
      <c r="AV49" s="166" t="s">
        <v>1954</v>
      </c>
      <c r="AW49" s="168">
        <f t="shared" si="17"/>
        <v>18000000</v>
      </c>
    </row>
    <row r="50" spans="1:49" s="170" customFormat="1" ht="35.450000000000003" customHeight="1">
      <c r="A50" s="160">
        <f t="shared" si="12"/>
        <v>45</v>
      </c>
      <c r="B50" s="160">
        <v>2015</v>
      </c>
      <c r="C50" s="265" t="s">
        <v>2256</v>
      </c>
      <c r="D50" s="161">
        <v>54000000</v>
      </c>
      <c r="E50" s="161">
        <v>25000000</v>
      </c>
      <c r="F50" s="161">
        <f t="shared" si="0"/>
        <v>29000000</v>
      </c>
      <c r="G50" s="161">
        <v>10500000</v>
      </c>
      <c r="H50" s="161">
        <v>347358</v>
      </c>
      <c r="I50" s="161">
        <v>0</v>
      </c>
      <c r="J50" s="161">
        <v>54169</v>
      </c>
      <c r="K50" s="161">
        <f t="shared" si="2"/>
        <v>54169</v>
      </c>
      <c r="L50" s="161">
        <f t="shared" si="1"/>
        <v>401527</v>
      </c>
      <c r="M50" s="161">
        <f t="shared" si="16"/>
        <v>10098473</v>
      </c>
      <c r="N50" s="161">
        <v>20000000</v>
      </c>
      <c r="O50" s="161">
        <f t="shared" si="3"/>
        <v>23500000</v>
      </c>
      <c r="P50" s="161">
        <f t="shared" si="4"/>
        <v>10098473</v>
      </c>
      <c r="Q50" s="161"/>
      <c r="R50" s="161"/>
      <c r="S50" s="161">
        <f t="shared" si="18"/>
        <v>0</v>
      </c>
      <c r="T50" s="161">
        <f t="shared" si="15"/>
        <v>0</v>
      </c>
      <c r="U50" s="161">
        <f t="shared" si="7"/>
        <v>20000000</v>
      </c>
      <c r="V50" s="161">
        <f t="shared" si="8"/>
        <v>20000000</v>
      </c>
      <c r="W50" s="161"/>
      <c r="X50" s="161"/>
      <c r="Y50" s="161"/>
      <c r="Z50" s="161"/>
      <c r="AA50" s="160"/>
      <c r="AB50" s="160" t="s">
        <v>1955</v>
      </c>
      <c r="AC50" s="394">
        <v>810000</v>
      </c>
      <c r="AD50" s="331"/>
      <c r="AE50" s="331"/>
      <c r="AF50" s="331"/>
      <c r="AG50" s="331"/>
      <c r="AH50" s="331"/>
      <c r="AI50" s="331"/>
      <c r="AJ50" s="331"/>
      <c r="AK50" s="161"/>
      <c r="AL50" s="161">
        <v>20000000</v>
      </c>
      <c r="AM50" s="161">
        <f t="shared" si="9"/>
        <v>20000000</v>
      </c>
      <c r="AN50" s="161">
        <f t="shared" si="10"/>
        <v>0</v>
      </c>
      <c r="AO50" s="161">
        <f t="shared" si="11"/>
        <v>20000000</v>
      </c>
      <c r="AP50" s="171"/>
      <c r="AQ50" s="171"/>
      <c r="AR50" s="277"/>
      <c r="AS50" s="277"/>
      <c r="AT50" s="277"/>
      <c r="AU50" s="161">
        <f t="shared" si="13"/>
        <v>0</v>
      </c>
      <c r="AV50" s="277"/>
      <c r="AW50" s="168">
        <f t="shared" si="17"/>
        <v>20000000</v>
      </c>
    </row>
    <row r="51" spans="1:49" ht="35.450000000000003" customHeight="1">
      <c r="A51" s="160">
        <f t="shared" si="12"/>
        <v>46</v>
      </c>
      <c r="B51" s="160">
        <v>2017</v>
      </c>
      <c r="C51" s="272" t="s">
        <v>904</v>
      </c>
      <c r="D51" s="161">
        <v>30000000</v>
      </c>
      <c r="E51" s="161">
        <v>30000000</v>
      </c>
      <c r="F51" s="161">
        <f t="shared" si="0"/>
        <v>0</v>
      </c>
      <c r="G51" s="161">
        <v>2000000</v>
      </c>
      <c r="H51" s="161">
        <v>989653</v>
      </c>
      <c r="I51" s="161">
        <v>0</v>
      </c>
      <c r="J51" s="161">
        <v>53510</v>
      </c>
      <c r="K51" s="161">
        <f t="shared" si="2"/>
        <v>53510</v>
      </c>
      <c r="L51" s="161">
        <f t="shared" si="1"/>
        <v>1043163</v>
      </c>
      <c r="M51" s="161">
        <f t="shared" si="16"/>
        <v>956837</v>
      </c>
      <c r="N51" s="161">
        <f>28000000-13000000-14000000</f>
        <v>1000000</v>
      </c>
      <c r="O51" s="161">
        <f t="shared" si="3"/>
        <v>27000000</v>
      </c>
      <c r="P51" s="161">
        <f t="shared" si="4"/>
        <v>956837</v>
      </c>
      <c r="Q51" s="161"/>
      <c r="R51" s="161"/>
      <c r="S51" s="161">
        <f t="shared" si="18"/>
        <v>0</v>
      </c>
      <c r="T51" s="161">
        <f t="shared" si="15"/>
        <v>0</v>
      </c>
      <c r="U51" s="161">
        <f t="shared" si="7"/>
        <v>1000000</v>
      </c>
      <c r="V51" s="161">
        <f t="shared" si="8"/>
        <v>1000000</v>
      </c>
      <c r="W51" s="161"/>
      <c r="X51" s="161"/>
      <c r="Y51" s="161"/>
      <c r="Z51" s="161"/>
      <c r="AA51" s="160"/>
      <c r="AB51" s="160" t="s">
        <v>702</v>
      </c>
      <c r="AC51" s="394">
        <v>824000</v>
      </c>
      <c r="AD51" s="331"/>
      <c r="AE51" s="331"/>
      <c r="AF51" s="331"/>
      <c r="AG51" s="331"/>
      <c r="AH51" s="161">
        <v>250000</v>
      </c>
      <c r="AI51" s="331"/>
      <c r="AJ51" s="331"/>
      <c r="AK51" s="331"/>
      <c r="AL51" s="161">
        <v>750000</v>
      </c>
      <c r="AM51" s="161">
        <f t="shared" si="9"/>
        <v>1000000</v>
      </c>
      <c r="AN51" s="161">
        <f t="shared" si="10"/>
        <v>0</v>
      </c>
      <c r="AO51" s="161">
        <f t="shared" si="11"/>
        <v>1000000</v>
      </c>
      <c r="AP51" s="171"/>
      <c r="AQ51" s="171"/>
      <c r="AR51" s="171"/>
      <c r="AS51" s="171"/>
      <c r="AT51" s="171"/>
      <c r="AU51" s="161">
        <f t="shared" si="13"/>
        <v>0</v>
      </c>
      <c r="AV51" s="171"/>
      <c r="AW51" s="168">
        <f t="shared" si="17"/>
        <v>750000</v>
      </c>
    </row>
    <row r="52" spans="1:49" ht="30" customHeight="1">
      <c r="A52" s="160">
        <f t="shared" si="12"/>
        <v>47</v>
      </c>
      <c r="B52" s="160">
        <v>2018</v>
      </c>
      <c r="C52" s="160" t="s">
        <v>327</v>
      </c>
      <c r="D52" s="161">
        <f>10000000-3400000</f>
        <v>6600000</v>
      </c>
      <c r="E52" s="161">
        <v>10000000</v>
      </c>
      <c r="F52" s="161">
        <f t="shared" si="0"/>
        <v>-3400000</v>
      </c>
      <c r="G52" s="161">
        <v>6600000</v>
      </c>
      <c r="H52" s="161">
        <v>2120183</v>
      </c>
      <c r="I52" s="161">
        <v>0</v>
      </c>
      <c r="J52" s="161">
        <v>127092</v>
      </c>
      <c r="K52" s="161">
        <f t="shared" si="2"/>
        <v>127092</v>
      </c>
      <c r="L52" s="161">
        <f t="shared" si="1"/>
        <v>2247275</v>
      </c>
      <c r="M52" s="161">
        <f t="shared" si="16"/>
        <v>4352725</v>
      </c>
      <c r="N52" s="161"/>
      <c r="O52" s="161">
        <f t="shared" si="3"/>
        <v>0</v>
      </c>
      <c r="P52" s="161">
        <f t="shared" si="4"/>
        <v>4352725</v>
      </c>
      <c r="Q52" s="161"/>
      <c r="R52" s="161"/>
      <c r="S52" s="161">
        <f t="shared" si="18"/>
        <v>0</v>
      </c>
      <c r="T52" s="161">
        <f t="shared" si="15"/>
        <v>0</v>
      </c>
      <c r="U52" s="161">
        <f t="shared" si="7"/>
        <v>0</v>
      </c>
      <c r="V52" s="161">
        <f t="shared" si="8"/>
        <v>0</v>
      </c>
      <c r="W52" s="161"/>
      <c r="X52" s="161"/>
      <c r="Y52" s="161"/>
      <c r="Z52" s="161"/>
      <c r="AA52" s="160"/>
      <c r="AB52" s="272" t="s">
        <v>584</v>
      </c>
      <c r="AC52" s="394">
        <v>742000</v>
      </c>
      <c r="AD52" s="331"/>
      <c r="AE52" s="331"/>
      <c r="AF52" s="331"/>
      <c r="AG52" s="331"/>
      <c r="AH52" s="331"/>
      <c r="AI52" s="331"/>
      <c r="AJ52" s="331"/>
      <c r="AK52" s="331"/>
      <c r="AL52" s="161"/>
      <c r="AM52" s="161">
        <f t="shared" si="9"/>
        <v>0</v>
      </c>
      <c r="AN52" s="161">
        <f t="shared" si="10"/>
        <v>0</v>
      </c>
      <c r="AO52" s="161">
        <f t="shared" si="11"/>
        <v>0</v>
      </c>
      <c r="AP52" s="171"/>
      <c r="AQ52" s="171"/>
      <c r="AR52" s="171"/>
      <c r="AS52" s="171"/>
      <c r="AT52" s="171"/>
      <c r="AU52" s="161">
        <f t="shared" si="13"/>
        <v>0</v>
      </c>
      <c r="AV52" s="171"/>
      <c r="AW52" s="168">
        <f t="shared" si="17"/>
        <v>0</v>
      </c>
    </row>
    <row r="53" spans="1:49" ht="45">
      <c r="A53" s="160">
        <f t="shared" si="12"/>
        <v>48</v>
      </c>
      <c r="B53" s="160">
        <v>2019</v>
      </c>
      <c r="C53" s="160" t="s">
        <v>2260</v>
      </c>
      <c r="D53" s="161">
        <v>1200000</v>
      </c>
      <c r="E53" s="161">
        <v>1200000</v>
      </c>
      <c r="F53" s="161">
        <f t="shared" si="0"/>
        <v>0</v>
      </c>
      <c r="G53" s="161">
        <v>1200000</v>
      </c>
      <c r="H53" s="161">
        <v>868488</v>
      </c>
      <c r="I53" s="161">
        <v>0</v>
      </c>
      <c r="J53" s="161">
        <v>331509</v>
      </c>
      <c r="K53" s="161">
        <f t="shared" si="2"/>
        <v>331509</v>
      </c>
      <c r="L53" s="161">
        <f t="shared" si="1"/>
        <v>1199997</v>
      </c>
      <c r="M53" s="161">
        <f t="shared" si="16"/>
        <v>3</v>
      </c>
      <c r="N53" s="161"/>
      <c r="O53" s="161">
        <f t="shared" si="3"/>
        <v>0</v>
      </c>
      <c r="P53" s="161">
        <f t="shared" si="4"/>
        <v>3</v>
      </c>
      <c r="Q53" s="161"/>
      <c r="R53" s="161"/>
      <c r="S53" s="161">
        <f t="shared" si="18"/>
        <v>0</v>
      </c>
      <c r="T53" s="161">
        <f t="shared" si="15"/>
        <v>0</v>
      </c>
      <c r="U53" s="161">
        <f t="shared" si="7"/>
        <v>0</v>
      </c>
      <c r="V53" s="161">
        <f t="shared" si="8"/>
        <v>0</v>
      </c>
      <c r="W53" s="161"/>
      <c r="X53" s="161"/>
      <c r="Y53" s="161"/>
      <c r="Z53" s="161"/>
      <c r="AA53" s="160"/>
      <c r="AB53" s="160" t="s">
        <v>1956</v>
      </c>
      <c r="AC53" s="394">
        <v>742000</v>
      </c>
      <c r="AD53" s="331"/>
      <c r="AE53" s="331"/>
      <c r="AF53" s="331"/>
      <c r="AG53" s="331"/>
      <c r="AH53" s="331"/>
      <c r="AI53" s="331"/>
      <c r="AJ53" s="331"/>
      <c r="AK53" s="331"/>
      <c r="AL53" s="161"/>
      <c r="AM53" s="161">
        <f t="shared" si="9"/>
        <v>0</v>
      </c>
      <c r="AN53" s="161">
        <f t="shared" si="10"/>
        <v>0</v>
      </c>
      <c r="AO53" s="161">
        <f t="shared" si="11"/>
        <v>0</v>
      </c>
      <c r="AP53" s="171"/>
      <c r="AQ53" s="171"/>
      <c r="AR53" s="171"/>
      <c r="AS53" s="171"/>
      <c r="AT53" s="171"/>
      <c r="AU53" s="161">
        <f t="shared" si="13"/>
        <v>0</v>
      </c>
      <c r="AV53" s="171"/>
      <c r="AW53" s="168">
        <f t="shared" si="17"/>
        <v>0</v>
      </c>
    </row>
    <row r="54" spans="1:49" s="164" customFormat="1" ht="30" customHeight="1">
      <c r="A54" s="160">
        <f t="shared" si="12"/>
        <v>49</v>
      </c>
      <c r="B54" s="160">
        <v>2021</v>
      </c>
      <c r="C54" s="160" t="s">
        <v>268</v>
      </c>
      <c r="D54" s="161">
        <v>8200000</v>
      </c>
      <c r="E54" s="161">
        <v>8200000</v>
      </c>
      <c r="F54" s="161">
        <f t="shared" si="0"/>
        <v>0</v>
      </c>
      <c r="G54" s="161">
        <v>150000</v>
      </c>
      <c r="H54" s="161">
        <v>40865</v>
      </c>
      <c r="I54" s="161">
        <v>0</v>
      </c>
      <c r="J54" s="161">
        <v>0</v>
      </c>
      <c r="K54" s="161">
        <f t="shared" si="2"/>
        <v>0</v>
      </c>
      <c r="L54" s="161">
        <f t="shared" si="1"/>
        <v>40865</v>
      </c>
      <c r="M54" s="161">
        <f t="shared" si="16"/>
        <v>109135</v>
      </c>
      <c r="N54" s="161"/>
      <c r="O54" s="161">
        <f t="shared" si="3"/>
        <v>8050000</v>
      </c>
      <c r="P54" s="161">
        <f t="shared" si="4"/>
        <v>109135</v>
      </c>
      <c r="Q54" s="161"/>
      <c r="R54" s="161"/>
      <c r="S54" s="161">
        <f t="shared" si="18"/>
        <v>0</v>
      </c>
      <c r="T54" s="161">
        <f t="shared" si="15"/>
        <v>0</v>
      </c>
      <c r="U54" s="161">
        <f t="shared" si="7"/>
        <v>0</v>
      </c>
      <c r="V54" s="161">
        <f t="shared" si="8"/>
        <v>0</v>
      </c>
      <c r="W54" s="161"/>
      <c r="X54" s="161"/>
      <c r="Y54" s="161"/>
      <c r="Z54" s="161"/>
      <c r="AA54" s="160"/>
      <c r="AB54" s="160" t="s">
        <v>596</v>
      </c>
      <c r="AC54" s="394">
        <v>850000</v>
      </c>
      <c r="AD54" s="331"/>
      <c r="AE54" s="331"/>
      <c r="AF54" s="331"/>
      <c r="AG54" s="331"/>
      <c r="AH54" s="331"/>
      <c r="AI54" s="331"/>
      <c r="AJ54" s="331"/>
      <c r="AK54" s="331"/>
      <c r="AL54" s="161"/>
      <c r="AM54" s="161">
        <f t="shared" si="9"/>
        <v>0</v>
      </c>
      <c r="AN54" s="161">
        <f t="shared" si="10"/>
        <v>0</v>
      </c>
      <c r="AO54" s="161">
        <f t="shared" si="11"/>
        <v>0</v>
      </c>
      <c r="AP54" s="171"/>
      <c r="AQ54" s="171"/>
      <c r="AR54" s="160"/>
      <c r="AS54" s="160"/>
      <c r="AT54" s="160"/>
      <c r="AU54" s="161">
        <f t="shared" si="13"/>
        <v>0</v>
      </c>
      <c r="AV54" s="160"/>
      <c r="AW54" s="168">
        <f t="shared" si="17"/>
        <v>0</v>
      </c>
    </row>
    <row r="55" spans="1:49" s="164" customFormat="1" ht="30" customHeight="1">
      <c r="A55" s="160">
        <f t="shared" si="12"/>
        <v>50</v>
      </c>
      <c r="B55" s="160">
        <v>2022</v>
      </c>
      <c r="C55" s="160" t="s">
        <v>905</v>
      </c>
      <c r="D55" s="161">
        <f>20000000-6000000</f>
        <v>14000000</v>
      </c>
      <c r="E55" s="161">
        <v>20000000</v>
      </c>
      <c r="F55" s="161">
        <f t="shared" si="0"/>
        <v>-6000000</v>
      </c>
      <c r="G55" s="161">
        <v>12100000</v>
      </c>
      <c r="H55" s="161">
        <v>82941</v>
      </c>
      <c r="I55" s="161">
        <v>0</v>
      </c>
      <c r="J55" s="161">
        <v>72242</v>
      </c>
      <c r="K55" s="161">
        <f t="shared" si="2"/>
        <v>72242</v>
      </c>
      <c r="L55" s="161">
        <f t="shared" si="1"/>
        <v>155183</v>
      </c>
      <c r="M55" s="161">
        <f t="shared" si="16"/>
        <v>11944817</v>
      </c>
      <c r="N55" s="161">
        <v>1900000</v>
      </c>
      <c r="O55" s="161">
        <f t="shared" si="3"/>
        <v>0</v>
      </c>
      <c r="P55" s="161">
        <f t="shared" si="4"/>
        <v>11944817</v>
      </c>
      <c r="Q55" s="161"/>
      <c r="R55" s="161"/>
      <c r="S55" s="161">
        <f t="shared" si="18"/>
        <v>0</v>
      </c>
      <c r="T55" s="161">
        <f t="shared" si="15"/>
        <v>0</v>
      </c>
      <c r="U55" s="161">
        <f t="shared" si="7"/>
        <v>1900000</v>
      </c>
      <c r="V55" s="161">
        <f t="shared" si="8"/>
        <v>1900000</v>
      </c>
      <c r="W55" s="161"/>
      <c r="X55" s="161"/>
      <c r="Y55" s="161"/>
      <c r="Z55" s="161"/>
      <c r="AA55" s="160"/>
      <c r="AB55" s="160" t="s">
        <v>703</v>
      </c>
      <c r="AC55" s="394">
        <v>829000</v>
      </c>
      <c r="AD55" s="331"/>
      <c r="AE55" s="331"/>
      <c r="AF55" s="331"/>
      <c r="AG55" s="331"/>
      <c r="AH55" s="331"/>
      <c r="AI55" s="331"/>
      <c r="AJ55" s="331"/>
      <c r="AK55" s="331"/>
      <c r="AL55" s="161">
        <v>1900000</v>
      </c>
      <c r="AM55" s="161">
        <f t="shared" si="9"/>
        <v>1900000</v>
      </c>
      <c r="AN55" s="161">
        <f t="shared" si="10"/>
        <v>0</v>
      </c>
      <c r="AO55" s="161">
        <f t="shared" si="11"/>
        <v>1900000</v>
      </c>
      <c r="AP55" s="171"/>
      <c r="AQ55" s="171"/>
      <c r="AR55" s="160"/>
      <c r="AS55" s="160"/>
      <c r="AT55" s="160"/>
      <c r="AU55" s="161">
        <f t="shared" si="13"/>
        <v>0</v>
      </c>
      <c r="AV55" s="160"/>
      <c r="AW55" s="168">
        <f t="shared" si="17"/>
        <v>1900000</v>
      </c>
    </row>
    <row r="56" spans="1:49" s="164" customFormat="1" ht="30" customHeight="1">
      <c r="A56" s="160">
        <f t="shared" si="12"/>
        <v>51</v>
      </c>
      <c r="B56" s="160">
        <v>2023</v>
      </c>
      <c r="C56" s="160" t="s">
        <v>328</v>
      </c>
      <c r="D56" s="161">
        <v>7340000</v>
      </c>
      <c r="E56" s="161">
        <v>7340000</v>
      </c>
      <c r="F56" s="161">
        <f t="shared" si="0"/>
        <v>0</v>
      </c>
      <c r="G56" s="161">
        <v>230000</v>
      </c>
      <c r="H56" s="161">
        <v>225703</v>
      </c>
      <c r="I56" s="161">
        <v>0</v>
      </c>
      <c r="J56" s="161">
        <v>0</v>
      </c>
      <c r="K56" s="161">
        <f t="shared" si="2"/>
        <v>0</v>
      </c>
      <c r="L56" s="161">
        <f t="shared" si="1"/>
        <v>225703</v>
      </c>
      <c r="M56" s="161">
        <f t="shared" si="16"/>
        <v>4297</v>
      </c>
      <c r="N56" s="161"/>
      <c r="O56" s="161">
        <f t="shared" si="3"/>
        <v>7110000</v>
      </c>
      <c r="P56" s="161">
        <f t="shared" si="4"/>
        <v>4297</v>
      </c>
      <c r="Q56" s="161"/>
      <c r="R56" s="161"/>
      <c r="S56" s="161">
        <f t="shared" si="18"/>
        <v>0</v>
      </c>
      <c r="T56" s="161">
        <f t="shared" si="15"/>
        <v>0</v>
      </c>
      <c r="U56" s="161">
        <f t="shared" si="7"/>
        <v>0</v>
      </c>
      <c r="V56" s="161">
        <f t="shared" si="8"/>
        <v>0</v>
      </c>
      <c r="W56" s="161"/>
      <c r="X56" s="161"/>
      <c r="Y56" s="161"/>
      <c r="Z56" s="161"/>
      <c r="AA56" s="160"/>
      <c r="AB56" s="160" t="s">
        <v>1957</v>
      </c>
      <c r="AC56" s="394">
        <v>810000</v>
      </c>
      <c r="AD56" s="331"/>
      <c r="AE56" s="331"/>
      <c r="AF56" s="331"/>
      <c r="AG56" s="331"/>
      <c r="AH56" s="331"/>
      <c r="AI56" s="331"/>
      <c r="AJ56" s="331"/>
      <c r="AK56" s="331"/>
      <c r="AL56" s="161"/>
      <c r="AM56" s="161">
        <f t="shared" si="9"/>
        <v>0</v>
      </c>
      <c r="AN56" s="161">
        <f t="shared" si="10"/>
        <v>0</v>
      </c>
      <c r="AO56" s="161">
        <f t="shared" si="11"/>
        <v>0</v>
      </c>
      <c r="AP56" s="171"/>
      <c r="AQ56" s="171"/>
      <c r="AR56" s="160"/>
      <c r="AS56" s="160"/>
      <c r="AT56" s="160"/>
      <c r="AU56" s="161">
        <f t="shared" si="13"/>
        <v>0</v>
      </c>
      <c r="AV56" s="160"/>
      <c r="AW56" s="168">
        <f t="shared" si="17"/>
        <v>0</v>
      </c>
    </row>
    <row r="57" spans="1:49" s="164" customFormat="1" ht="30" customHeight="1">
      <c r="A57" s="160">
        <f t="shared" si="12"/>
        <v>52</v>
      </c>
      <c r="B57" s="160">
        <v>2024</v>
      </c>
      <c r="C57" s="160" t="s">
        <v>329</v>
      </c>
      <c r="D57" s="161">
        <f>7340000+8960000</f>
        <v>16300000</v>
      </c>
      <c r="E57" s="161">
        <v>16300000</v>
      </c>
      <c r="F57" s="161">
        <f t="shared" si="0"/>
        <v>0</v>
      </c>
      <c r="G57" s="161">
        <f>7340000+2700000</f>
        <v>10040000</v>
      </c>
      <c r="H57" s="161">
        <v>529871</v>
      </c>
      <c r="I57" s="161">
        <v>0</v>
      </c>
      <c r="J57" s="161">
        <v>88610</v>
      </c>
      <c r="K57" s="161">
        <f t="shared" si="2"/>
        <v>88610</v>
      </c>
      <c r="L57" s="161">
        <f t="shared" si="1"/>
        <v>618481</v>
      </c>
      <c r="M57" s="161">
        <f t="shared" si="16"/>
        <v>9421519</v>
      </c>
      <c r="N57" s="161">
        <v>6260000</v>
      </c>
      <c r="O57" s="161">
        <f t="shared" si="3"/>
        <v>0</v>
      </c>
      <c r="P57" s="161">
        <f t="shared" si="4"/>
        <v>9421519</v>
      </c>
      <c r="Q57" s="161"/>
      <c r="R57" s="161"/>
      <c r="S57" s="161">
        <f t="shared" ref="S57:S94" si="19">SUM(Q57:R57)</f>
        <v>0</v>
      </c>
      <c r="T57" s="161">
        <f t="shared" si="15"/>
        <v>0</v>
      </c>
      <c r="U57" s="161">
        <f t="shared" si="7"/>
        <v>6260000</v>
      </c>
      <c r="V57" s="161">
        <f t="shared" si="8"/>
        <v>6260000</v>
      </c>
      <c r="W57" s="161"/>
      <c r="X57" s="161"/>
      <c r="Y57" s="161"/>
      <c r="Z57" s="161"/>
      <c r="AA57" s="160"/>
      <c r="AB57" s="160" t="s">
        <v>1958</v>
      </c>
      <c r="AC57" s="394">
        <v>810000</v>
      </c>
      <c r="AD57" s="331"/>
      <c r="AE57" s="331"/>
      <c r="AF57" s="331"/>
      <c r="AG57" s="331"/>
      <c r="AH57" s="331"/>
      <c r="AI57" s="331"/>
      <c r="AJ57" s="331"/>
      <c r="AK57" s="331"/>
      <c r="AL57" s="161">
        <v>6260000</v>
      </c>
      <c r="AM57" s="161">
        <f t="shared" si="9"/>
        <v>6260000</v>
      </c>
      <c r="AN57" s="161">
        <f t="shared" si="10"/>
        <v>0</v>
      </c>
      <c r="AO57" s="161">
        <f t="shared" si="11"/>
        <v>6260000</v>
      </c>
      <c r="AP57" s="171"/>
      <c r="AQ57" s="171"/>
      <c r="AR57" s="160"/>
      <c r="AS57" s="160"/>
      <c r="AT57" s="160"/>
      <c r="AU57" s="161">
        <f t="shared" si="13"/>
        <v>0</v>
      </c>
      <c r="AV57" s="160"/>
      <c r="AW57" s="168">
        <f t="shared" si="17"/>
        <v>6260000</v>
      </c>
    </row>
    <row r="58" spans="1:49" s="164" customFormat="1" ht="30" customHeight="1">
      <c r="A58" s="160">
        <f t="shared" si="12"/>
        <v>53</v>
      </c>
      <c r="B58" s="160">
        <v>2025</v>
      </c>
      <c r="C58" s="160" t="s">
        <v>2265</v>
      </c>
      <c r="D58" s="161">
        <v>2600000</v>
      </c>
      <c r="E58" s="161">
        <v>2600000</v>
      </c>
      <c r="F58" s="161">
        <f t="shared" si="0"/>
        <v>0</v>
      </c>
      <c r="G58" s="161">
        <v>2600000</v>
      </c>
      <c r="H58" s="161">
        <v>2187801</v>
      </c>
      <c r="I58" s="161">
        <v>0</v>
      </c>
      <c r="J58" s="161">
        <v>337758</v>
      </c>
      <c r="K58" s="161">
        <f t="shared" si="2"/>
        <v>337758</v>
      </c>
      <c r="L58" s="161">
        <f t="shared" si="1"/>
        <v>2525559</v>
      </c>
      <c r="M58" s="161">
        <f t="shared" si="16"/>
        <v>74441</v>
      </c>
      <c r="N58" s="161"/>
      <c r="O58" s="161">
        <f t="shared" si="3"/>
        <v>0</v>
      </c>
      <c r="P58" s="161">
        <f t="shared" si="4"/>
        <v>74441</v>
      </c>
      <c r="Q58" s="161"/>
      <c r="R58" s="161"/>
      <c r="S58" s="161">
        <f t="shared" si="19"/>
        <v>0</v>
      </c>
      <c r="T58" s="161">
        <f t="shared" si="15"/>
        <v>0</v>
      </c>
      <c r="U58" s="161">
        <f t="shared" si="7"/>
        <v>0</v>
      </c>
      <c r="V58" s="161">
        <f t="shared" si="8"/>
        <v>0</v>
      </c>
      <c r="W58" s="161"/>
      <c r="X58" s="161"/>
      <c r="Y58" s="161"/>
      <c r="Z58" s="161"/>
      <c r="AA58" s="160"/>
      <c r="AB58" s="160" t="s">
        <v>834</v>
      </c>
      <c r="AC58" s="394">
        <v>810000</v>
      </c>
      <c r="AD58" s="331"/>
      <c r="AE58" s="331"/>
      <c r="AF58" s="331"/>
      <c r="AG58" s="331"/>
      <c r="AH58" s="331"/>
      <c r="AI58" s="331"/>
      <c r="AJ58" s="331"/>
      <c r="AK58" s="331"/>
      <c r="AL58" s="161"/>
      <c r="AM58" s="161">
        <f t="shared" si="9"/>
        <v>0</v>
      </c>
      <c r="AN58" s="161">
        <f t="shared" si="10"/>
        <v>0</v>
      </c>
      <c r="AO58" s="161">
        <f t="shared" si="11"/>
        <v>0</v>
      </c>
      <c r="AP58" s="171"/>
      <c r="AQ58" s="171"/>
      <c r="AR58" s="160"/>
      <c r="AS58" s="160"/>
      <c r="AT58" s="160"/>
      <c r="AU58" s="161">
        <f t="shared" si="13"/>
        <v>0</v>
      </c>
      <c r="AV58" s="160"/>
      <c r="AW58" s="168">
        <f t="shared" si="17"/>
        <v>0</v>
      </c>
    </row>
    <row r="59" spans="1:49" s="164" customFormat="1" ht="30" customHeight="1">
      <c r="A59" s="160">
        <f t="shared" si="12"/>
        <v>54</v>
      </c>
      <c r="B59" s="160">
        <v>2026</v>
      </c>
      <c r="C59" s="160" t="s">
        <v>2266</v>
      </c>
      <c r="D59" s="161">
        <v>8200000</v>
      </c>
      <c r="E59" s="161">
        <v>8200000</v>
      </c>
      <c r="F59" s="161">
        <f t="shared" si="0"/>
        <v>0</v>
      </c>
      <c r="G59" s="161">
        <v>8200000</v>
      </c>
      <c r="H59" s="161">
        <v>7555196</v>
      </c>
      <c r="I59" s="161">
        <v>0</v>
      </c>
      <c r="J59" s="161">
        <v>257213</v>
      </c>
      <c r="K59" s="161">
        <f t="shared" si="2"/>
        <v>257213</v>
      </c>
      <c r="L59" s="161">
        <f t="shared" si="1"/>
        <v>7812409</v>
      </c>
      <c r="M59" s="161">
        <f t="shared" si="16"/>
        <v>387591</v>
      </c>
      <c r="N59" s="161"/>
      <c r="O59" s="161">
        <f t="shared" si="3"/>
        <v>0</v>
      </c>
      <c r="P59" s="161">
        <f t="shared" si="4"/>
        <v>387591</v>
      </c>
      <c r="Q59" s="161"/>
      <c r="R59" s="161"/>
      <c r="S59" s="161">
        <f t="shared" si="19"/>
        <v>0</v>
      </c>
      <c r="T59" s="161">
        <f t="shared" si="15"/>
        <v>0</v>
      </c>
      <c r="U59" s="161">
        <f t="shared" si="7"/>
        <v>0</v>
      </c>
      <c r="V59" s="161">
        <f t="shared" si="8"/>
        <v>0</v>
      </c>
      <c r="W59" s="161"/>
      <c r="X59" s="161"/>
      <c r="Y59" s="161"/>
      <c r="Z59" s="161"/>
      <c r="AA59" s="160"/>
      <c r="AB59" s="160" t="s">
        <v>835</v>
      </c>
      <c r="AC59" s="394">
        <v>810000</v>
      </c>
      <c r="AD59" s="331"/>
      <c r="AE59" s="331"/>
      <c r="AF59" s="331"/>
      <c r="AG59" s="331"/>
      <c r="AH59" s="331"/>
      <c r="AI59" s="331"/>
      <c r="AJ59" s="331"/>
      <c r="AK59" s="331"/>
      <c r="AL59" s="161"/>
      <c r="AM59" s="161">
        <f t="shared" si="9"/>
        <v>0</v>
      </c>
      <c r="AN59" s="161">
        <f t="shared" si="10"/>
        <v>0</v>
      </c>
      <c r="AO59" s="161">
        <f t="shared" si="11"/>
        <v>0</v>
      </c>
      <c r="AP59" s="171"/>
      <c r="AQ59" s="171"/>
      <c r="AR59" s="160"/>
      <c r="AS59" s="160"/>
      <c r="AT59" s="160"/>
      <c r="AU59" s="161">
        <f t="shared" si="13"/>
        <v>0</v>
      </c>
      <c r="AV59" s="160"/>
      <c r="AW59" s="168">
        <f t="shared" si="17"/>
        <v>0</v>
      </c>
    </row>
    <row r="60" spans="1:49" ht="30" customHeight="1">
      <c r="A60" s="160">
        <f t="shared" si="12"/>
        <v>55</v>
      </c>
      <c r="B60" s="267">
        <v>2059</v>
      </c>
      <c r="C60" s="160" t="s">
        <v>2267</v>
      </c>
      <c r="D60" s="161">
        <v>2610000</v>
      </c>
      <c r="E60" s="161">
        <v>2610000</v>
      </c>
      <c r="F60" s="161">
        <f t="shared" si="0"/>
        <v>0</v>
      </c>
      <c r="G60" s="161">
        <v>350000</v>
      </c>
      <c r="H60" s="161">
        <v>128100</v>
      </c>
      <c r="I60" s="161">
        <v>0</v>
      </c>
      <c r="J60" s="161">
        <v>221713</v>
      </c>
      <c r="K60" s="161">
        <f t="shared" si="2"/>
        <v>221713</v>
      </c>
      <c r="L60" s="161">
        <f t="shared" si="1"/>
        <v>349813</v>
      </c>
      <c r="M60" s="161">
        <f t="shared" si="16"/>
        <v>187</v>
      </c>
      <c r="N60" s="161">
        <f>2260000-2260000</f>
        <v>0</v>
      </c>
      <c r="O60" s="161">
        <f t="shared" si="3"/>
        <v>2260000</v>
      </c>
      <c r="P60" s="161">
        <f t="shared" si="4"/>
        <v>187</v>
      </c>
      <c r="Q60" s="161"/>
      <c r="R60" s="161"/>
      <c r="S60" s="161">
        <f t="shared" si="19"/>
        <v>0</v>
      </c>
      <c r="T60" s="161">
        <f t="shared" si="15"/>
        <v>0</v>
      </c>
      <c r="U60" s="161">
        <f t="shared" si="7"/>
        <v>0</v>
      </c>
      <c r="V60" s="161">
        <f t="shared" si="8"/>
        <v>0</v>
      </c>
      <c r="W60" s="161"/>
      <c r="X60" s="161"/>
      <c r="Y60" s="161"/>
      <c r="Z60" s="161"/>
      <c r="AA60" s="160"/>
      <c r="AB60" s="160" t="s">
        <v>704</v>
      </c>
      <c r="AC60" s="394">
        <v>826000</v>
      </c>
      <c r="AD60" s="331"/>
      <c r="AE60" s="331"/>
      <c r="AF60" s="331"/>
      <c r="AG60" s="331"/>
      <c r="AH60" s="331"/>
      <c r="AI60" s="331"/>
      <c r="AJ60" s="331"/>
      <c r="AK60" s="331"/>
      <c r="AL60" s="161"/>
      <c r="AM60" s="161">
        <f t="shared" si="9"/>
        <v>0</v>
      </c>
      <c r="AN60" s="161">
        <f t="shared" si="10"/>
        <v>0</v>
      </c>
      <c r="AO60" s="161">
        <f t="shared" si="11"/>
        <v>0</v>
      </c>
      <c r="AP60" s="171"/>
      <c r="AQ60" s="171"/>
      <c r="AR60" s="171"/>
      <c r="AS60" s="171"/>
      <c r="AT60" s="171"/>
      <c r="AU60" s="161">
        <f t="shared" si="13"/>
        <v>0</v>
      </c>
      <c r="AV60" s="171"/>
      <c r="AW60" s="168">
        <f t="shared" si="17"/>
        <v>0</v>
      </c>
    </row>
    <row r="61" spans="1:49" ht="30" customHeight="1">
      <c r="A61" s="160">
        <f t="shared" si="12"/>
        <v>56</v>
      </c>
      <c r="B61" s="267">
        <v>2064</v>
      </c>
      <c r="C61" s="160" t="s">
        <v>264</v>
      </c>
      <c r="D61" s="161">
        <v>6281000</v>
      </c>
      <c r="E61" s="161">
        <v>6281000</v>
      </c>
      <c r="F61" s="161">
        <f t="shared" si="0"/>
        <v>0</v>
      </c>
      <c r="G61" s="161">
        <v>864000</v>
      </c>
      <c r="H61" s="161">
        <v>833705</v>
      </c>
      <c r="I61" s="161">
        <v>0</v>
      </c>
      <c r="J61" s="161">
        <v>21262</v>
      </c>
      <c r="K61" s="161">
        <f t="shared" si="2"/>
        <v>21262</v>
      </c>
      <c r="L61" s="161">
        <f t="shared" si="1"/>
        <v>854967</v>
      </c>
      <c r="M61" s="161">
        <f t="shared" si="16"/>
        <v>9033</v>
      </c>
      <c r="N61" s="161">
        <f>2600000-2600000</f>
        <v>0</v>
      </c>
      <c r="O61" s="161">
        <f t="shared" si="3"/>
        <v>5417000</v>
      </c>
      <c r="P61" s="161">
        <f t="shared" si="4"/>
        <v>9033</v>
      </c>
      <c r="Q61" s="161"/>
      <c r="R61" s="161"/>
      <c r="S61" s="161">
        <f t="shared" si="19"/>
        <v>0</v>
      </c>
      <c r="T61" s="161">
        <f t="shared" si="15"/>
        <v>0</v>
      </c>
      <c r="U61" s="161">
        <f t="shared" si="7"/>
        <v>0</v>
      </c>
      <c r="V61" s="161">
        <f t="shared" si="8"/>
        <v>0</v>
      </c>
      <c r="W61" s="161"/>
      <c r="X61" s="161"/>
      <c r="Y61" s="161"/>
      <c r="Z61" s="161"/>
      <c r="AA61" s="160"/>
      <c r="AB61" s="160" t="s">
        <v>428</v>
      </c>
      <c r="AC61" s="394">
        <v>829000</v>
      </c>
      <c r="AD61" s="331"/>
      <c r="AE61" s="331"/>
      <c r="AF61" s="331"/>
      <c r="AG61" s="331"/>
      <c r="AH61" s="331"/>
      <c r="AI61" s="331"/>
      <c r="AJ61" s="331"/>
      <c r="AK61" s="331"/>
      <c r="AL61" s="161"/>
      <c r="AM61" s="161">
        <f t="shared" si="9"/>
        <v>0</v>
      </c>
      <c r="AN61" s="161">
        <f t="shared" si="10"/>
        <v>0</v>
      </c>
      <c r="AO61" s="161">
        <f t="shared" si="11"/>
        <v>0</v>
      </c>
      <c r="AP61" s="171"/>
      <c r="AQ61" s="171"/>
      <c r="AR61" s="171"/>
      <c r="AS61" s="171"/>
      <c r="AT61" s="171"/>
      <c r="AU61" s="161">
        <f t="shared" si="13"/>
        <v>0</v>
      </c>
      <c r="AV61" s="171"/>
      <c r="AW61" s="168">
        <f t="shared" si="17"/>
        <v>0</v>
      </c>
    </row>
    <row r="62" spans="1:49" ht="45">
      <c r="A62" s="160">
        <f t="shared" si="12"/>
        <v>57</v>
      </c>
      <c r="B62" s="267">
        <v>2073</v>
      </c>
      <c r="C62" s="272" t="s">
        <v>906</v>
      </c>
      <c r="D62" s="161">
        <v>11350000</v>
      </c>
      <c r="E62" s="161">
        <v>11350000</v>
      </c>
      <c r="F62" s="161">
        <f t="shared" si="0"/>
        <v>0</v>
      </c>
      <c r="G62" s="161">
        <v>850000</v>
      </c>
      <c r="H62" s="161">
        <v>23564</v>
      </c>
      <c r="I62" s="161">
        <v>0</v>
      </c>
      <c r="J62" s="161">
        <v>93436</v>
      </c>
      <c r="K62" s="161">
        <f t="shared" si="2"/>
        <v>93436</v>
      </c>
      <c r="L62" s="161">
        <f t="shared" si="1"/>
        <v>117000</v>
      </c>
      <c r="M62" s="161">
        <f t="shared" si="16"/>
        <v>733000</v>
      </c>
      <c r="N62" s="161">
        <v>750000</v>
      </c>
      <c r="O62" s="161">
        <f t="shared" si="3"/>
        <v>9750000</v>
      </c>
      <c r="P62" s="161">
        <f t="shared" si="4"/>
        <v>733000</v>
      </c>
      <c r="Q62" s="161"/>
      <c r="R62" s="161"/>
      <c r="S62" s="161">
        <f t="shared" si="19"/>
        <v>0</v>
      </c>
      <c r="T62" s="161">
        <f t="shared" si="15"/>
        <v>0</v>
      </c>
      <c r="U62" s="161">
        <f t="shared" si="7"/>
        <v>750000</v>
      </c>
      <c r="V62" s="161">
        <f t="shared" si="8"/>
        <v>750000</v>
      </c>
      <c r="W62" s="161"/>
      <c r="X62" s="161"/>
      <c r="Y62" s="161"/>
      <c r="Z62" s="161"/>
      <c r="AA62" s="160"/>
      <c r="AB62" s="160" t="s">
        <v>1959</v>
      </c>
      <c r="AC62" s="394">
        <v>829000</v>
      </c>
      <c r="AD62" s="331"/>
      <c r="AE62" s="331"/>
      <c r="AF62" s="331"/>
      <c r="AG62" s="331"/>
      <c r="AH62" s="331"/>
      <c r="AI62" s="331"/>
      <c r="AJ62" s="331"/>
      <c r="AK62" s="331"/>
      <c r="AL62" s="161">
        <v>750000</v>
      </c>
      <c r="AM62" s="161">
        <f t="shared" si="9"/>
        <v>750000</v>
      </c>
      <c r="AN62" s="161">
        <f t="shared" si="10"/>
        <v>0</v>
      </c>
      <c r="AO62" s="161">
        <f t="shared" si="11"/>
        <v>750000</v>
      </c>
      <c r="AP62" s="171"/>
      <c r="AQ62" s="171"/>
      <c r="AR62" s="171"/>
      <c r="AS62" s="171"/>
      <c r="AT62" s="171"/>
      <c r="AU62" s="161">
        <f t="shared" si="13"/>
        <v>0</v>
      </c>
      <c r="AV62" s="171"/>
      <c r="AW62" s="168">
        <f t="shared" si="17"/>
        <v>750000</v>
      </c>
    </row>
    <row r="63" spans="1:49" ht="30" customHeight="1">
      <c r="A63" s="160">
        <f t="shared" si="12"/>
        <v>58</v>
      </c>
      <c r="B63" s="267">
        <v>2076</v>
      </c>
      <c r="C63" s="160" t="s">
        <v>330</v>
      </c>
      <c r="D63" s="161">
        <f>1450000+900000</f>
        <v>2350000</v>
      </c>
      <c r="E63" s="161">
        <v>1450000</v>
      </c>
      <c r="F63" s="161">
        <f t="shared" si="0"/>
        <v>900000</v>
      </c>
      <c r="G63" s="161">
        <v>1450000</v>
      </c>
      <c r="H63" s="161">
        <v>35648</v>
      </c>
      <c r="I63" s="161">
        <v>0</v>
      </c>
      <c r="J63" s="161">
        <v>214350</v>
      </c>
      <c r="K63" s="161">
        <f t="shared" si="2"/>
        <v>214350</v>
      </c>
      <c r="L63" s="161">
        <f t="shared" si="1"/>
        <v>249998</v>
      </c>
      <c r="M63" s="161">
        <f t="shared" si="16"/>
        <v>1200002</v>
      </c>
      <c r="N63" s="161">
        <f>900000-900000</f>
        <v>0</v>
      </c>
      <c r="O63" s="161">
        <f t="shared" si="3"/>
        <v>900000</v>
      </c>
      <c r="P63" s="161">
        <f t="shared" si="4"/>
        <v>1200002</v>
      </c>
      <c r="Q63" s="161"/>
      <c r="R63" s="161"/>
      <c r="S63" s="161">
        <f t="shared" si="19"/>
        <v>0</v>
      </c>
      <c r="T63" s="161">
        <f t="shared" si="15"/>
        <v>0</v>
      </c>
      <c r="U63" s="161">
        <f t="shared" si="7"/>
        <v>0</v>
      </c>
      <c r="V63" s="161">
        <f t="shared" si="8"/>
        <v>0</v>
      </c>
      <c r="W63" s="161"/>
      <c r="X63" s="161"/>
      <c r="Y63" s="161"/>
      <c r="Z63" s="161"/>
      <c r="AA63" s="160"/>
      <c r="AB63" s="160" t="s">
        <v>386</v>
      </c>
      <c r="AC63" s="394">
        <v>850000</v>
      </c>
      <c r="AD63" s="331"/>
      <c r="AE63" s="331"/>
      <c r="AF63" s="331"/>
      <c r="AG63" s="331"/>
      <c r="AH63" s="331"/>
      <c r="AI63" s="331"/>
      <c r="AJ63" s="331"/>
      <c r="AK63" s="331"/>
      <c r="AL63" s="161"/>
      <c r="AM63" s="161">
        <f t="shared" si="9"/>
        <v>0</v>
      </c>
      <c r="AN63" s="161">
        <f t="shared" si="10"/>
        <v>0</v>
      </c>
      <c r="AO63" s="161">
        <f t="shared" si="11"/>
        <v>0</v>
      </c>
      <c r="AP63" s="171"/>
      <c r="AQ63" s="171"/>
      <c r="AR63" s="171"/>
      <c r="AS63" s="171"/>
      <c r="AT63" s="171"/>
      <c r="AU63" s="161">
        <f t="shared" si="13"/>
        <v>0</v>
      </c>
      <c r="AV63" s="171"/>
      <c r="AW63" s="168">
        <f t="shared" si="17"/>
        <v>0</v>
      </c>
    </row>
    <row r="64" spans="1:49" s="5" customFormat="1" ht="30" customHeight="1">
      <c r="A64" s="160">
        <f t="shared" si="12"/>
        <v>59</v>
      </c>
      <c r="B64" s="3">
        <v>2078</v>
      </c>
      <c r="C64" s="3" t="s">
        <v>311</v>
      </c>
      <c r="D64" s="4">
        <v>4200000</v>
      </c>
      <c r="E64" s="4">
        <v>4200000</v>
      </c>
      <c r="F64" s="161">
        <f t="shared" si="0"/>
        <v>0</v>
      </c>
      <c r="G64" s="4">
        <v>1960000</v>
      </c>
      <c r="H64" s="4">
        <v>156098</v>
      </c>
      <c r="I64" s="4">
        <v>0</v>
      </c>
      <c r="J64" s="4">
        <v>43900</v>
      </c>
      <c r="K64" s="161">
        <f t="shared" si="2"/>
        <v>43900</v>
      </c>
      <c r="L64" s="161">
        <f t="shared" si="1"/>
        <v>199998</v>
      </c>
      <c r="M64" s="161">
        <f t="shared" si="16"/>
        <v>1760002</v>
      </c>
      <c r="N64" s="161">
        <f>2240000-2240000</f>
        <v>0</v>
      </c>
      <c r="O64" s="161">
        <f t="shared" si="3"/>
        <v>2240000</v>
      </c>
      <c r="P64" s="161">
        <f t="shared" si="4"/>
        <v>1760002</v>
      </c>
      <c r="Q64" s="161"/>
      <c r="R64" s="161"/>
      <c r="S64" s="161">
        <f t="shared" si="19"/>
        <v>0</v>
      </c>
      <c r="T64" s="161">
        <f t="shared" si="15"/>
        <v>0</v>
      </c>
      <c r="U64" s="161">
        <f t="shared" si="7"/>
        <v>0</v>
      </c>
      <c r="V64" s="161">
        <f t="shared" si="8"/>
        <v>0</v>
      </c>
      <c r="W64" s="161"/>
      <c r="X64" s="161"/>
      <c r="Y64" s="161"/>
      <c r="Z64" s="161"/>
      <c r="AA64" s="160"/>
      <c r="AB64" s="3" t="s">
        <v>425</v>
      </c>
      <c r="AC64" s="386">
        <v>742000</v>
      </c>
      <c r="AD64" s="331"/>
      <c r="AE64" s="331"/>
      <c r="AF64" s="331"/>
      <c r="AG64" s="331"/>
      <c r="AH64" s="331"/>
      <c r="AI64" s="331"/>
      <c r="AJ64" s="331"/>
      <c r="AK64" s="331"/>
      <c r="AL64" s="161"/>
      <c r="AM64" s="161">
        <f t="shared" si="9"/>
        <v>0</v>
      </c>
      <c r="AN64" s="161">
        <f t="shared" si="10"/>
        <v>0</v>
      </c>
      <c r="AO64" s="161">
        <f t="shared" si="11"/>
        <v>0</v>
      </c>
      <c r="AP64" s="171"/>
      <c r="AQ64" s="171"/>
      <c r="AR64" s="3"/>
      <c r="AS64" s="3"/>
      <c r="AT64" s="3"/>
      <c r="AU64" s="161">
        <f t="shared" si="13"/>
        <v>0</v>
      </c>
      <c r="AV64" s="3"/>
      <c r="AW64" s="168">
        <f t="shared" si="17"/>
        <v>0</v>
      </c>
    </row>
    <row r="65" spans="1:49" ht="30" customHeight="1">
      <c r="A65" s="160">
        <f t="shared" si="12"/>
        <v>60</v>
      </c>
      <c r="B65" s="30">
        <v>2079</v>
      </c>
      <c r="C65" s="160" t="s">
        <v>331</v>
      </c>
      <c r="D65" s="161">
        <v>3100000</v>
      </c>
      <c r="E65" s="161">
        <v>3100000</v>
      </c>
      <c r="F65" s="161">
        <f t="shared" si="0"/>
        <v>0</v>
      </c>
      <c r="G65" s="161">
        <v>500000</v>
      </c>
      <c r="H65" s="161">
        <f>82664-1</f>
        <v>82663</v>
      </c>
      <c r="I65" s="161">
        <v>0</v>
      </c>
      <c r="J65" s="161">
        <v>417337</v>
      </c>
      <c r="K65" s="161">
        <f t="shared" si="2"/>
        <v>417337</v>
      </c>
      <c r="L65" s="161">
        <f t="shared" si="1"/>
        <v>500000</v>
      </c>
      <c r="M65" s="161">
        <f t="shared" si="16"/>
        <v>0</v>
      </c>
      <c r="N65" s="161">
        <v>2600000</v>
      </c>
      <c r="O65" s="161">
        <f t="shared" si="3"/>
        <v>0</v>
      </c>
      <c r="P65" s="161">
        <f t="shared" si="4"/>
        <v>0</v>
      </c>
      <c r="Q65" s="161"/>
      <c r="R65" s="161"/>
      <c r="S65" s="161">
        <f t="shared" si="19"/>
        <v>0</v>
      </c>
      <c r="T65" s="161">
        <f t="shared" si="15"/>
        <v>0</v>
      </c>
      <c r="U65" s="161">
        <f t="shared" si="7"/>
        <v>2600000</v>
      </c>
      <c r="V65" s="161">
        <f t="shared" si="8"/>
        <v>2600000</v>
      </c>
      <c r="W65" s="161"/>
      <c r="X65" s="161"/>
      <c r="Y65" s="161"/>
      <c r="Z65" s="161"/>
      <c r="AA65" s="160"/>
      <c r="AB65" s="268" t="s">
        <v>874</v>
      </c>
      <c r="AC65" s="394">
        <v>840000</v>
      </c>
      <c r="AD65" s="331"/>
      <c r="AE65" s="331"/>
      <c r="AF65" s="331"/>
      <c r="AG65" s="331"/>
      <c r="AH65" s="161">
        <v>800000</v>
      </c>
      <c r="AI65" s="331"/>
      <c r="AJ65" s="161">
        <v>400000</v>
      </c>
      <c r="AK65" s="331"/>
      <c r="AL65" s="161">
        <v>1400000</v>
      </c>
      <c r="AM65" s="161">
        <f t="shared" si="9"/>
        <v>2600000</v>
      </c>
      <c r="AN65" s="161">
        <f t="shared" si="10"/>
        <v>0</v>
      </c>
      <c r="AO65" s="161">
        <f t="shared" si="11"/>
        <v>2600000</v>
      </c>
      <c r="AP65" s="171"/>
      <c r="AQ65" s="171"/>
      <c r="AR65" s="171"/>
      <c r="AS65" s="171"/>
      <c r="AT65" s="171"/>
      <c r="AU65" s="161">
        <f t="shared" si="13"/>
        <v>0</v>
      </c>
      <c r="AV65" s="166" t="s">
        <v>1960</v>
      </c>
      <c r="AW65" s="168">
        <f t="shared" si="17"/>
        <v>1400000</v>
      </c>
    </row>
    <row r="66" spans="1:49" ht="30" customHeight="1">
      <c r="A66" s="160">
        <f t="shared" si="12"/>
        <v>61</v>
      </c>
      <c r="B66" s="30">
        <v>2080</v>
      </c>
      <c r="C66" s="160" t="s">
        <v>2268</v>
      </c>
      <c r="D66" s="161">
        <v>2400000</v>
      </c>
      <c r="E66" s="161">
        <v>2400000</v>
      </c>
      <c r="F66" s="161">
        <f t="shared" si="0"/>
        <v>0</v>
      </c>
      <c r="G66" s="161">
        <v>2400000</v>
      </c>
      <c r="H66" s="161">
        <v>1705114</v>
      </c>
      <c r="I66" s="161">
        <v>0</v>
      </c>
      <c r="J66" s="161">
        <v>262255</v>
      </c>
      <c r="K66" s="161">
        <f t="shared" si="2"/>
        <v>262255</v>
      </c>
      <c r="L66" s="161">
        <f t="shared" si="1"/>
        <v>1967369</v>
      </c>
      <c r="M66" s="161">
        <f t="shared" si="16"/>
        <v>432631</v>
      </c>
      <c r="N66" s="161"/>
      <c r="O66" s="161">
        <f t="shared" si="3"/>
        <v>0</v>
      </c>
      <c r="P66" s="161">
        <f t="shared" si="4"/>
        <v>432631</v>
      </c>
      <c r="Q66" s="161"/>
      <c r="R66" s="161"/>
      <c r="S66" s="161">
        <f t="shared" si="19"/>
        <v>0</v>
      </c>
      <c r="T66" s="161">
        <f t="shared" si="15"/>
        <v>0</v>
      </c>
      <c r="U66" s="161">
        <f t="shared" si="7"/>
        <v>0</v>
      </c>
      <c r="V66" s="161">
        <f t="shared" si="8"/>
        <v>0</v>
      </c>
      <c r="W66" s="161"/>
      <c r="X66" s="161"/>
      <c r="Y66" s="161"/>
      <c r="Z66" s="161"/>
      <c r="AA66" s="160"/>
      <c r="AB66" s="160" t="s">
        <v>836</v>
      </c>
      <c r="AC66" s="394">
        <v>747000</v>
      </c>
      <c r="AD66" s="331"/>
      <c r="AE66" s="331"/>
      <c r="AF66" s="331"/>
      <c r="AG66" s="331"/>
      <c r="AH66" s="331"/>
      <c r="AI66" s="331"/>
      <c r="AJ66" s="331"/>
      <c r="AK66" s="331"/>
      <c r="AL66" s="161"/>
      <c r="AM66" s="161">
        <f t="shared" si="9"/>
        <v>0</v>
      </c>
      <c r="AN66" s="161">
        <f t="shared" si="10"/>
        <v>0</v>
      </c>
      <c r="AO66" s="161">
        <f t="shared" si="11"/>
        <v>0</v>
      </c>
      <c r="AP66" s="171"/>
      <c r="AQ66" s="171"/>
      <c r="AR66" s="171"/>
      <c r="AS66" s="171"/>
      <c r="AT66" s="171"/>
      <c r="AU66" s="161">
        <f t="shared" si="13"/>
        <v>0</v>
      </c>
      <c r="AV66" s="171"/>
      <c r="AW66" s="168">
        <f t="shared" si="17"/>
        <v>0</v>
      </c>
    </row>
    <row r="67" spans="1:49" ht="30" customHeight="1">
      <c r="A67" s="160">
        <f t="shared" si="12"/>
        <v>62</v>
      </c>
      <c r="B67" s="30">
        <v>2097</v>
      </c>
      <c r="C67" s="160" t="s">
        <v>332</v>
      </c>
      <c r="D67" s="161">
        <v>79000000</v>
      </c>
      <c r="E67" s="161">
        <v>79000000</v>
      </c>
      <c r="F67" s="161">
        <f t="shared" si="0"/>
        <v>0</v>
      </c>
      <c r="G67" s="161">
        <v>6000000</v>
      </c>
      <c r="H67" s="161">
        <v>740499</v>
      </c>
      <c r="I67" s="161">
        <v>0</v>
      </c>
      <c r="J67" s="161">
        <v>109903</v>
      </c>
      <c r="K67" s="161">
        <f t="shared" si="2"/>
        <v>109903</v>
      </c>
      <c r="L67" s="161">
        <f t="shared" si="1"/>
        <v>850402</v>
      </c>
      <c r="M67" s="161">
        <f t="shared" si="16"/>
        <v>5149598</v>
      </c>
      <c r="N67" s="161">
        <f>30000000-30000000</f>
        <v>0</v>
      </c>
      <c r="O67" s="161">
        <f t="shared" si="3"/>
        <v>73000000</v>
      </c>
      <c r="P67" s="161">
        <f t="shared" si="4"/>
        <v>5149598</v>
      </c>
      <c r="Q67" s="161"/>
      <c r="R67" s="161"/>
      <c r="S67" s="161">
        <f t="shared" si="19"/>
        <v>0</v>
      </c>
      <c r="T67" s="161">
        <f t="shared" si="15"/>
        <v>0</v>
      </c>
      <c r="U67" s="161">
        <f t="shared" si="7"/>
        <v>0</v>
      </c>
      <c r="V67" s="161">
        <f t="shared" si="8"/>
        <v>0</v>
      </c>
      <c r="W67" s="161"/>
      <c r="X67" s="161"/>
      <c r="Y67" s="161"/>
      <c r="Z67" s="161"/>
      <c r="AA67" s="161">
        <f>22008800-22008800</f>
        <v>0</v>
      </c>
      <c r="AB67" s="272" t="s">
        <v>1961</v>
      </c>
      <c r="AC67" s="394">
        <v>810000</v>
      </c>
      <c r="AD67" s="331"/>
      <c r="AE67" s="331"/>
      <c r="AF67" s="331"/>
      <c r="AG67" s="331"/>
      <c r="AH67" s="331"/>
      <c r="AI67" s="331"/>
      <c r="AJ67" s="331"/>
      <c r="AK67" s="331"/>
      <c r="AL67" s="161"/>
      <c r="AM67" s="161">
        <f t="shared" si="9"/>
        <v>0</v>
      </c>
      <c r="AN67" s="161">
        <f t="shared" si="10"/>
        <v>0</v>
      </c>
      <c r="AO67" s="161">
        <f t="shared" si="11"/>
        <v>0</v>
      </c>
      <c r="AP67" s="171"/>
      <c r="AQ67" s="171"/>
      <c r="AR67" s="171"/>
      <c r="AS67" s="171"/>
      <c r="AT67" s="171"/>
      <c r="AU67" s="161">
        <f t="shared" si="13"/>
        <v>0</v>
      </c>
      <c r="AV67" s="171"/>
      <c r="AW67" s="168">
        <f t="shared" si="17"/>
        <v>0</v>
      </c>
    </row>
    <row r="68" spans="1:49" ht="30" customHeight="1">
      <c r="A68" s="160">
        <f t="shared" si="12"/>
        <v>63</v>
      </c>
      <c r="B68" s="30">
        <v>2099</v>
      </c>
      <c r="C68" s="160" t="s">
        <v>333</v>
      </c>
      <c r="D68" s="161">
        <v>12000000</v>
      </c>
      <c r="E68" s="161">
        <v>12000000</v>
      </c>
      <c r="F68" s="161">
        <f t="shared" si="0"/>
        <v>0</v>
      </c>
      <c r="G68" s="161">
        <v>750000</v>
      </c>
      <c r="H68" s="161">
        <v>299056</v>
      </c>
      <c r="I68" s="161">
        <v>0</v>
      </c>
      <c r="J68" s="161">
        <v>197436</v>
      </c>
      <c r="K68" s="161">
        <f t="shared" si="2"/>
        <v>197436</v>
      </c>
      <c r="L68" s="161">
        <f t="shared" si="1"/>
        <v>496492</v>
      </c>
      <c r="M68" s="161">
        <f t="shared" si="16"/>
        <v>253508</v>
      </c>
      <c r="N68" s="161">
        <f>11250000-8250000</f>
        <v>3000000</v>
      </c>
      <c r="O68" s="161">
        <f t="shared" si="3"/>
        <v>8250000</v>
      </c>
      <c r="P68" s="161">
        <f t="shared" si="4"/>
        <v>253508</v>
      </c>
      <c r="Q68" s="161"/>
      <c r="R68" s="161"/>
      <c r="S68" s="161">
        <f t="shared" si="19"/>
        <v>0</v>
      </c>
      <c r="T68" s="161">
        <f t="shared" si="15"/>
        <v>0</v>
      </c>
      <c r="U68" s="161">
        <f t="shared" si="7"/>
        <v>3000000</v>
      </c>
      <c r="V68" s="161">
        <f t="shared" si="8"/>
        <v>1000000</v>
      </c>
      <c r="W68" s="161"/>
      <c r="X68" s="161"/>
      <c r="Y68" s="161"/>
      <c r="Z68" s="161"/>
      <c r="AA68" s="161">
        <v>2000000</v>
      </c>
      <c r="AB68" s="289" t="s">
        <v>875</v>
      </c>
      <c r="AC68" s="394">
        <v>826000</v>
      </c>
      <c r="AD68" s="331"/>
      <c r="AE68" s="331"/>
      <c r="AF68" s="331"/>
      <c r="AG68" s="331"/>
      <c r="AH68" s="331"/>
      <c r="AI68" s="331"/>
      <c r="AJ68" s="331"/>
      <c r="AK68" s="331"/>
      <c r="AL68" s="161">
        <v>1000000</v>
      </c>
      <c r="AM68" s="161">
        <f t="shared" si="9"/>
        <v>1000000</v>
      </c>
      <c r="AN68" s="161">
        <f t="shared" si="10"/>
        <v>2000000</v>
      </c>
      <c r="AO68" s="161">
        <f t="shared" si="11"/>
        <v>1000000</v>
      </c>
      <c r="AP68" s="171"/>
      <c r="AQ68" s="171"/>
      <c r="AR68" s="171"/>
      <c r="AS68" s="171"/>
      <c r="AT68" s="161"/>
      <c r="AU68" s="161">
        <f t="shared" si="13"/>
        <v>2000000</v>
      </c>
      <c r="AV68" s="171" t="s">
        <v>1962</v>
      </c>
      <c r="AW68" s="168">
        <f t="shared" si="17"/>
        <v>1000000</v>
      </c>
    </row>
    <row r="69" spans="1:49" ht="30" customHeight="1">
      <c r="A69" s="160">
        <f t="shared" si="12"/>
        <v>64</v>
      </c>
      <c r="B69" s="30">
        <v>2101</v>
      </c>
      <c r="C69" s="160" t="s">
        <v>643</v>
      </c>
      <c r="D69" s="161">
        <f>9850000+14350000</f>
        <v>24200000</v>
      </c>
      <c r="E69" s="161">
        <v>9850000</v>
      </c>
      <c r="F69" s="161">
        <f t="shared" si="0"/>
        <v>14350000</v>
      </c>
      <c r="G69" s="161">
        <v>1500000</v>
      </c>
      <c r="H69" s="161">
        <v>14882</v>
      </c>
      <c r="I69" s="161">
        <v>0</v>
      </c>
      <c r="J69" s="161">
        <v>85116</v>
      </c>
      <c r="K69" s="161">
        <f t="shared" si="2"/>
        <v>85116</v>
      </c>
      <c r="L69" s="161">
        <f t="shared" si="1"/>
        <v>99998</v>
      </c>
      <c r="M69" s="161">
        <f t="shared" si="16"/>
        <v>1400002</v>
      </c>
      <c r="N69" s="161"/>
      <c r="O69" s="161">
        <f t="shared" si="3"/>
        <v>22700000</v>
      </c>
      <c r="P69" s="161">
        <f t="shared" si="4"/>
        <v>1400002</v>
      </c>
      <c r="Q69" s="161"/>
      <c r="R69" s="161"/>
      <c r="S69" s="161">
        <f t="shared" si="19"/>
        <v>0</v>
      </c>
      <c r="T69" s="161">
        <f t="shared" si="15"/>
        <v>0</v>
      </c>
      <c r="U69" s="161">
        <f t="shared" si="7"/>
        <v>0</v>
      </c>
      <c r="V69" s="161">
        <f t="shared" si="8"/>
        <v>0</v>
      </c>
      <c r="W69" s="161"/>
      <c r="X69" s="161"/>
      <c r="Y69" s="161"/>
      <c r="Z69" s="161"/>
      <c r="AA69" s="160"/>
      <c r="AB69" s="289" t="s">
        <v>600</v>
      </c>
      <c r="AC69" s="394">
        <v>840000</v>
      </c>
      <c r="AD69" s="331"/>
      <c r="AE69" s="331"/>
      <c r="AF69" s="331"/>
      <c r="AG69" s="331"/>
      <c r="AH69" s="331"/>
      <c r="AI69" s="331"/>
      <c r="AJ69" s="331"/>
      <c r="AK69" s="331"/>
      <c r="AL69" s="161"/>
      <c r="AM69" s="161">
        <f t="shared" si="9"/>
        <v>0</v>
      </c>
      <c r="AN69" s="161">
        <f t="shared" si="10"/>
        <v>0</v>
      </c>
      <c r="AO69" s="161">
        <f t="shared" si="11"/>
        <v>0</v>
      </c>
      <c r="AP69" s="171"/>
      <c r="AQ69" s="171"/>
      <c r="AR69" s="171"/>
      <c r="AS69" s="171"/>
      <c r="AT69" s="171"/>
      <c r="AU69" s="161">
        <f t="shared" si="13"/>
        <v>0</v>
      </c>
      <c r="AV69" s="171"/>
      <c r="AW69" s="168">
        <f t="shared" si="17"/>
        <v>0</v>
      </c>
    </row>
    <row r="70" spans="1:49" ht="30" customHeight="1">
      <c r="A70" s="160">
        <f t="shared" si="12"/>
        <v>65</v>
      </c>
      <c r="B70" s="30">
        <v>2102</v>
      </c>
      <c r="C70" s="160" t="s">
        <v>334</v>
      </c>
      <c r="D70" s="161">
        <v>1750000</v>
      </c>
      <c r="E70" s="161">
        <v>1750000</v>
      </c>
      <c r="F70" s="161">
        <f t="shared" ref="F70:F104" si="20">D70-E70</f>
        <v>0</v>
      </c>
      <c r="G70" s="161">
        <v>150000</v>
      </c>
      <c r="H70" s="161">
        <v>106069</v>
      </c>
      <c r="I70" s="161">
        <v>0</v>
      </c>
      <c r="J70" s="161">
        <v>43931</v>
      </c>
      <c r="K70" s="161">
        <f t="shared" si="2"/>
        <v>43931</v>
      </c>
      <c r="L70" s="161">
        <f t="shared" ref="L70:L104" si="21">K70+H70</f>
        <v>150000</v>
      </c>
      <c r="M70" s="161">
        <f t="shared" si="16"/>
        <v>0</v>
      </c>
      <c r="N70" s="161">
        <f>1600000-1600000</f>
        <v>0</v>
      </c>
      <c r="O70" s="161">
        <f t="shared" si="3"/>
        <v>1600000</v>
      </c>
      <c r="P70" s="161">
        <f t="shared" si="4"/>
        <v>0</v>
      </c>
      <c r="Q70" s="161"/>
      <c r="R70" s="161"/>
      <c r="S70" s="161">
        <f t="shared" si="19"/>
        <v>0</v>
      </c>
      <c r="T70" s="161">
        <f t="shared" si="15"/>
        <v>0</v>
      </c>
      <c r="U70" s="161">
        <f t="shared" si="7"/>
        <v>0</v>
      </c>
      <c r="V70" s="161">
        <f t="shared" si="8"/>
        <v>0</v>
      </c>
      <c r="W70" s="161"/>
      <c r="X70" s="161"/>
      <c r="Y70" s="161"/>
      <c r="Z70" s="161"/>
      <c r="AA70" s="160"/>
      <c r="AB70" s="272" t="s">
        <v>785</v>
      </c>
      <c r="AC70" s="394">
        <v>820000</v>
      </c>
      <c r="AD70" s="331"/>
      <c r="AE70" s="331"/>
      <c r="AF70" s="331"/>
      <c r="AG70" s="331"/>
      <c r="AH70" s="331"/>
      <c r="AI70" s="331"/>
      <c r="AJ70" s="331"/>
      <c r="AK70" s="331"/>
      <c r="AL70" s="161"/>
      <c r="AM70" s="161">
        <f t="shared" si="9"/>
        <v>0</v>
      </c>
      <c r="AN70" s="161">
        <f t="shared" si="10"/>
        <v>0</v>
      </c>
      <c r="AO70" s="161">
        <f t="shared" si="11"/>
        <v>0</v>
      </c>
      <c r="AP70" s="171"/>
      <c r="AQ70" s="171"/>
      <c r="AR70" s="171"/>
      <c r="AS70" s="171"/>
      <c r="AT70" s="171"/>
      <c r="AU70" s="161">
        <f t="shared" si="13"/>
        <v>0</v>
      </c>
      <c r="AV70" s="171"/>
      <c r="AW70" s="168">
        <f t="shared" si="17"/>
        <v>0</v>
      </c>
    </row>
    <row r="71" spans="1:49" ht="30" customHeight="1">
      <c r="A71" s="160">
        <f t="shared" si="12"/>
        <v>66</v>
      </c>
      <c r="B71" s="30">
        <v>2103</v>
      </c>
      <c r="C71" s="160" t="s">
        <v>382</v>
      </c>
      <c r="D71" s="161">
        <v>2500000</v>
      </c>
      <c r="E71" s="161">
        <v>2500000</v>
      </c>
      <c r="F71" s="161">
        <f t="shared" si="20"/>
        <v>0</v>
      </c>
      <c r="G71" s="161">
        <v>1000000</v>
      </c>
      <c r="H71" s="161">
        <v>190122</v>
      </c>
      <c r="I71" s="161">
        <v>0</v>
      </c>
      <c r="J71" s="161">
        <v>620100</v>
      </c>
      <c r="K71" s="161">
        <f t="shared" ref="K71:K94" si="22">SUM(I71:J71)</f>
        <v>620100</v>
      </c>
      <c r="L71" s="161">
        <f t="shared" si="21"/>
        <v>810222</v>
      </c>
      <c r="M71" s="161">
        <f t="shared" si="16"/>
        <v>189778</v>
      </c>
      <c r="N71" s="161">
        <f>1500000-1000000-500000</f>
        <v>0</v>
      </c>
      <c r="O71" s="161">
        <f t="shared" ref="O71:O104" si="23">D71-L71-M71-N71</f>
        <v>1500000</v>
      </c>
      <c r="P71" s="161">
        <f t="shared" ref="P71:P120" si="24">G71-L71</f>
        <v>189778</v>
      </c>
      <c r="Q71" s="161"/>
      <c r="R71" s="161"/>
      <c r="S71" s="161">
        <f t="shared" si="19"/>
        <v>0</v>
      </c>
      <c r="T71" s="161">
        <f t="shared" si="15"/>
        <v>0</v>
      </c>
      <c r="U71" s="161">
        <f t="shared" ref="U71:U94" si="25">N71-T71</f>
        <v>0</v>
      </c>
      <c r="V71" s="161">
        <f t="shared" ref="V71:V94" si="26">U71-Z71-X71-AA71-W71</f>
        <v>0</v>
      </c>
      <c r="W71" s="161"/>
      <c r="X71" s="161"/>
      <c r="Y71" s="161"/>
      <c r="Z71" s="161"/>
      <c r="AA71" s="160"/>
      <c r="AB71" s="272" t="s">
        <v>470</v>
      </c>
      <c r="AC71" s="394">
        <v>848000</v>
      </c>
      <c r="AD71" s="331"/>
      <c r="AE71" s="331"/>
      <c r="AF71" s="331"/>
      <c r="AG71" s="331"/>
      <c r="AH71" s="331"/>
      <c r="AI71" s="331"/>
      <c r="AJ71" s="331"/>
      <c r="AK71" s="331"/>
      <c r="AL71" s="161"/>
      <c r="AM71" s="161">
        <f t="shared" ref="AM71:AM104" si="27">SUM(AD71:AL71)</f>
        <v>0</v>
      </c>
      <c r="AN71" s="161">
        <f t="shared" ref="AN71:AN104" si="28">U71-AM71</f>
        <v>0</v>
      </c>
      <c r="AO71" s="161">
        <f t="shared" ref="AO71:AO104" si="29">AM71-AP71-AQ71-AR71-AS71-AT71</f>
        <v>0</v>
      </c>
      <c r="AP71" s="171"/>
      <c r="AQ71" s="171"/>
      <c r="AR71" s="171"/>
      <c r="AS71" s="171"/>
      <c r="AT71" s="171"/>
      <c r="AU71" s="161">
        <f t="shared" si="13"/>
        <v>0</v>
      </c>
      <c r="AV71" s="171"/>
      <c r="AW71" s="168">
        <f t="shared" si="17"/>
        <v>0</v>
      </c>
    </row>
    <row r="72" spans="1:49" s="5" customFormat="1" ht="30" customHeight="1">
      <c r="A72" s="160">
        <f t="shared" ref="A72:A104" si="30">A71+1</f>
        <v>67</v>
      </c>
      <c r="B72" s="30">
        <v>2104</v>
      </c>
      <c r="C72" s="3" t="s">
        <v>2261</v>
      </c>
      <c r="D72" s="4">
        <f>3500000-2500000</f>
        <v>1000000</v>
      </c>
      <c r="E72" s="4">
        <v>3500000</v>
      </c>
      <c r="F72" s="161">
        <f t="shared" si="20"/>
        <v>-2500000</v>
      </c>
      <c r="G72" s="4">
        <v>0</v>
      </c>
      <c r="H72" s="4">
        <v>0</v>
      </c>
      <c r="I72" s="4">
        <v>0</v>
      </c>
      <c r="J72" s="4">
        <v>0</v>
      </c>
      <c r="K72" s="161">
        <f t="shared" si="22"/>
        <v>0</v>
      </c>
      <c r="L72" s="161">
        <f t="shared" si="21"/>
        <v>0</v>
      </c>
      <c r="M72" s="161">
        <f t="shared" si="16"/>
        <v>0</v>
      </c>
      <c r="N72" s="161">
        <f>3500000-2500000-1000000</f>
        <v>0</v>
      </c>
      <c r="O72" s="161">
        <f t="shared" si="23"/>
        <v>1000000</v>
      </c>
      <c r="P72" s="161">
        <f t="shared" si="24"/>
        <v>0</v>
      </c>
      <c r="Q72" s="161"/>
      <c r="R72" s="161"/>
      <c r="S72" s="161">
        <f t="shared" si="19"/>
        <v>0</v>
      </c>
      <c r="T72" s="161">
        <f t="shared" si="15"/>
        <v>0</v>
      </c>
      <c r="U72" s="161">
        <f t="shared" si="25"/>
        <v>0</v>
      </c>
      <c r="V72" s="161">
        <f t="shared" si="26"/>
        <v>0</v>
      </c>
      <c r="W72" s="161"/>
      <c r="X72" s="161"/>
      <c r="Y72" s="161"/>
      <c r="Z72" s="161"/>
      <c r="AA72" s="160"/>
      <c r="AB72" s="3" t="s">
        <v>1963</v>
      </c>
      <c r="AC72" s="386">
        <v>742000</v>
      </c>
      <c r="AD72" s="331"/>
      <c r="AE72" s="331"/>
      <c r="AF72" s="331"/>
      <c r="AG72" s="331"/>
      <c r="AH72" s="331"/>
      <c r="AI72" s="331"/>
      <c r="AJ72" s="331"/>
      <c r="AK72" s="331"/>
      <c r="AL72" s="331"/>
      <c r="AM72" s="161">
        <f t="shared" si="27"/>
        <v>0</v>
      </c>
      <c r="AN72" s="161">
        <f t="shared" si="28"/>
        <v>0</v>
      </c>
      <c r="AO72" s="161">
        <f t="shared" si="29"/>
        <v>0</v>
      </c>
      <c r="AP72" s="171"/>
      <c r="AQ72" s="171"/>
      <c r="AR72" s="3"/>
      <c r="AS72" s="3"/>
      <c r="AT72" s="3"/>
      <c r="AU72" s="161">
        <f t="shared" si="13"/>
        <v>0</v>
      </c>
      <c r="AV72" s="3"/>
      <c r="AW72" s="168">
        <f t="shared" si="17"/>
        <v>0</v>
      </c>
    </row>
    <row r="73" spans="1:49" s="6" customFormat="1" ht="30" customHeight="1">
      <c r="A73" s="160">
        <f t="shared" si="30"/>
        <v>68</v>
      </c>
      <c r="B73" s="30">
        <v>2106</v>
      </c>
      <c r="C73" s="3" t="s">
        <v>476</v>
      </c>
      <c r="D73" s="4">
        <v>15000000</v>
      </c>
      <c r="E73" s="4">
        <v>15000000</v>
      </c>
      <c r="F73" s="161">
        <f t="shared" si="20"/>
        <v>0</v>
      </c>
      <c r="G73" s="4">
        <v>4000000</v>
      </c>
      <c r="H73" s="4">
        <v>22889</v>
      </c>
      <c r="I73" s="4">
        <v>0</v>
      </c>
      <c r="J73" s="4">
        <v>127110</v>
      </c>
      <c r="K73" s="161">
        <f t="shared" si="22"/>
        <v>127110</v>
      </c>
      <c r="L73" s="161">
        <f t="shared" si="21"/>
        <v>149999</v>
      </c>
      <c r="M73" s="161">
        <f t="shared" si="16"/>
        <v>3850001</v>
      </c>
      <c r="N73" s="161">
        <f>11000000-3000000-8000000</f>
        <v>0</v>
      </c>
      <c r="O73" s="161">
        <f t="shared" si="23"/>
        <v>11000000</v>
      </c>
      <c r="P73" s="161">
        <f t="shared" si="24"/>
        <v>3850001</v>
      </c>
      <c r="Q73" s="161"/>
      <c r="R73" s="161"/>
      <c r="S73" s="161">
        <f t="shared" si="19"/>
        <v>0</v>
      </c>
      <c r="T73" s="161">
        <f t="shared" si="15"/>
        <v>0</v>
      </c>
      <c r="U73" s="161">
        <f t="shared" si="25"/>
        <v>0</v>
      </c>
      <c r="V73" s="161">
        <f t="shared" si="26"/>
        <v>0</v>
      </c>
      <c r="W73" s="161"/>
      <c r="X73" s="161"/>
      <c r="Y73" s="161"/>
      <c r="Z73" s="161"/>
      <c r="AA73" s="160"/>
      <c r="AB73" s="272" t="s">
        <v>786</v>
      </c>
      <c r="AC73" s="386">
        <v>742000</v>
      </c>
      <c r="AD73" s="331"/>
      <c r="AE73" s="331"/>
      <c r="AF73" s="161"/>
      <c r="AG73" s="161"/>
      <c r="AH73" s="161"/>
      <c r="AI73" s="161"/>
      <c r="AJ73" s="161"/>
      <c r="AK73" s="161"/>
      <c r="AL73" s="161"/>
      <c r="AM73" s="161">
        <f t="shared" si="27"/>
        <v>0</v>
      </c>
      <c r="AN73" s="161">
        <f t="shared" si="28"/>
        <v>0</v>
      </c>
      <c r="AO73" s="161">
        <f t="shared" si="29"/>
        <v>0</v>
      </c>
      <c r="AP73" s="171"/>
      <c r="AQ73" s="171"/>
      <c r="AR73" s="7"/>
      <c r="AS73" s="7"/>
      <c r="AT73" s="7"/>
      <c r="AU73" s="161">
        <f t="shared" ref="AU73:AU104" si="31">AN73</f>
        <v>0</v>
      </c>
      <c r="AV73" s="7"/>
      <c r="AW73" s="168">
        <f t="shared" si="17"/>
        <v>0</v>
      </c>
    </row>
    <row r="74" spans="1:49" s="5" customFormat="1" ht="30" customHeight="1">
      <c r="A74" s="160">
        <f t="shared" si="30"/>
        <v>69</v>
      </c>
      <c r="B74" s="30">
        <v>2109</v>
      </c>
      <c r="C74" s="3" t="s">
        <v>313</v>
      </c>
      <c r="D74" s="4">
        <v>2000000</v>
      </c>
      <c r="E74" s="4">
        <v>2000000</v>
      </c>
      <c r="F74" s="161">
        <f t="shared" si="20"/>
        <v>0</v>
      </c>
      <c r="G74" s="4">
        <v>0</v>
      </c>
      <c r="H74" s="4">
        <v>0</v>
      </c>
      <c r="I74" s="4">
        <v>0</v>
      </c>
      <c r="J74" s="4">
        <v>0</v>
      </c>
      <c r="K74" s="161">
        <f t="shared" si="22"/>
        <v>0</v>
      </c>
      <c r="L74" s="161">
        <f t="shared" si="21"/>
        <v>0</v>
      </c>
      <c r="M74" s="161">
        <f t="shared" si="16"/>
        <v>0</v>
      </c>
      <c r="N74" s="161">
        <v>500000</v>
      </c>
      <c r="O74" s="161">
        <f t="shared" si="23"/>
        <v>1500000</v>
      </c>
      <c r="P74" s="161">
        <f t="shared" si="24"/>
        <v>0</v>
      </c>
      <c r="Q74" s="161"/>
      <c r="R74" s="161"/>
      <c r="S74" s="161">
        <f t="shared" si="19"/>
        <v>0</v>
      </c>
      <c r="T74" s="161">
        <f t="shared" si="15"/>
        <v>0</v>
      </c>
      <c r="U74" s="161">
        <f t="shared" si="25"/>
        <v>500000</v>
      </c>
      <c r="V74" s="161">
        <f t="shared" si="26"/>
        <v>500000</v>
      </c>
      <c r="W74" s="161"/>
      <c r="X74" s="161"/>
      <c r="Y74" s="161"/>
      <c r="Z74" s="161"/>
      <c r="AA74" s="160"/>
      <c r="AB74" s="3" t="s">
        <v>837</v>
      </c>
      <c r="AC74" s="386">
        <v>742000</v>
      </c>
      <c r="AD74" s="331"/>
      <c r="AE74" s="331"/>
      <c r="AF74" s="161">
        <v>150000</v>
      </c>
      <c r="AG74" s="161"/>
      <c r="AH74" s="161"/>
      <c r="AI74" s="161"/>
      <c r="AJ74" s="161"/>
      <c r="AK74" s="161"/>
      <c r="AL74" s="161">
        <v>350000</v>
      </c>
      <c r="AM74" s="161">
        <f t="shared" si="27"/>
        <v>500000</v>
      </c>
      <c r="AN74" s="161">
        <f t="shared" si="28"/>
        <v>0</v>
      </c>
      <c r="AO74" s="161">
        <f t="shared" si="29"/>
        <v>500000</v>
      </c>
      <c r="AP74" s="171"/>
      <c r="AQ74" s="171"/>
      <c r="AR74" s="3"/>
      <c r="AS74" s="3"/>
      <c r="AT74" s="3"/>
      <c r="AU74" s="161">
        <f t="shared" si="31"/>
        <v>0</v>
      </c>
      <c r="AV74" s="3"/>
      <c r="AW74" s="168">
        <f t="shared" si="17"/>
        <v>350000</v>
      </c>
    </row>
    <row r="75" spans="1:49" s="5" customFormat="1" ht="30" customHeight="1">
      <c r="A75" s="160">
        <f t="shared" si="30"/>
        <v>70</v>
      </c>
      <c r="B75" s="30">
        <v>2110</v>
      </c>
      <c r="C75" s="3" t="s">
        <v>314</v>
      </c>
      <c r="D75" s="4">
        <v>16000000</v>
      </c>
      <c r="E75" s="4">
        <v>16000000</v>
      </c>
      <c r="F75" s="161">
        <f t="shared" si="20"/>
        <v>0</v>
      </c>
      <c r="G75" s="4">
        <v>0</v>
      </c>
      <c r="H75" s="4">
        <v>0</v>
      </c>
      <c r="I75" s="4">
        <v>0</v>
      </c>
      <c r="J75" s="4">
        <v>0</v>
      </c>
      <c r="K75" s="161">
        <f t="shared" si="22"/>
        <v>0</v>
      </c>
      <c r="L75" s="161">
        <f t="shared" si="21"/>
        <v>0</v>
      </c>
      <c r="M75" s="161">
        <f t="shared" si="16"/>
        <v>0</v>
      </c>
      <c r="N75" s="161">
        <v>500000</v>
      </c>
      <c r="O75" s="161">
        <f t="shared" si="23"/>
        <v>15500000</v>
      </c>
      <c r="P75" s="161">
        <f t="shared" si="24"/>
        <v>0</v>
      </c>
      <c r="Q75" s="161"/>
      <c r="R75" s="161"/>
      <c r="S75" s="161">
        <f t="shared" si="19"/>
        <v>0</v>
      </c>
      <c r="T75" s="161">
        <f t="shared" si="15"/>
        <v>0</v>
      </c>
      <c r="U75" s="161">
        <f t="shared" si="25"/>
        <v>500000</v>
      </c>
      <c r="V75" s="161">
        <f t="shared" si="26"/>
        <v>500000</v>
      </c>
      <c r="W75" s="161"/>
      <c r="X75" s="161"/>
      <c r="Y75" s="161"/>
      <c r="Z75" s="161"/>
      <c r="AA75" s="160"/>
      <c r="AB75" s="3" t="s">
        <v>876</v>
      </c>
      <c r="AC75" s="386">
        <v>742000</v>
      </c>
      <c r="AD75" s="331"/>
      <c r="AE75" s="331"/>
      <c r="AF75" s="161">
        <v>100000</v>
      </c>
      <c r="AG75" s="161"/>
      <c r="AH75" s="161"/>
      <c r="AI75" s="161"/>
      <c r="AJ75" s="161"/>
      <c r="AK75" s="161"/>
      <c r="AL75" s="161">
        <v>100000</v>
      </c>
      <c r="AM75" s="161">
        <f t="shared" si="27"/>
        <v>200000</v>
      </c>
      <c r="AN75" s="161">
        <f t="shared" si="28"/>
        <v>300000</v>
      </c>
      <c r="AO75" s="161">
        <f t="shared" si="29"/>
        <v>200000</v>
      </c>
      <c r="AP75" s="171"/>
      <c r="AQ75" s="171"/>
      <c r="AR75" s="3"/>
      <c r="AS75" s="3"/>
      <c r="AT75" s="3"/>
      <c r="AU75" s="161">
        <f t="shared" si="31"/>
        <v>300000</v>
      </c>
      <c r="AV75" s="3"/>
      <c r="AW75" s="168">
        <f t="shared" si="17"/>
        <v>100000</v>
      </c>
    </row>
    <row r="76" spans="1:49" s="5" customFormat="1" ht="30" customHeight="1">
      <c r="A76" s="160">
        <f t="shared" si="30"/>
        <v>71</v>
      </c>
      <c r="B76" s="30">
        <v>2111</v>
      </c>
      <c r="C76" s="3" t="s">
        <v>315</v>
      </c>
      <c r="D76" s="4">
        <v>10240000</v>
      </c>
      <c r="E76" s="4">
        <v>10240000</v>
      </c>
      <c r="F76" s="161">
        <f t="shared" si="20"/>
        <v>0</v>
      </c>
      <c r="G76" s="4">
        <v>0</v>
      </c>
      <c r="H76" s="4">
        <v>0</v>
      </c>
      <c r="I76" s="4">
        <v>0</v>
      </c>
      <c r="J76" s="4">
        <v>0</v>
      </c>
      <c r="K76" s="161">
        <f t="shared" si="22"/>
        <v>0</v>
      </c>
      <c r="L76" s="161">
        <f t="shared" si="21"/>
        <v>0</v>
      </c>
      <c r="M76" s="161">
        <f t="shared" si="16"/>
        <v>0</v>
      </c>
      <c r="N76" s="161">
        <v>500000</v>
      </c>
      <c r="O76" s="161">
        <f t="shared" si="23"/>
        <v>9740000</v>
      </c>
      <c r="P76" s="161">
        <f t="shared" si="24"/>
        <v>0</v>
      </c>
      <c r="Q76" s="161"/>
      <c r="R76" s="161"/>
      <c r="S76" s="161">
        <f t="shared" si="19"/>
        <v>0</v>
      </c>
      <c r="T76" s="161">
        <f t="shared" si="15"/>
        <v>0</v>
      </c>
      <c r="U76" s="161">
        <f t="shared" si="25"/>
        <v>500000</v>
      </c>
      <c r="V76" s="161">
        <f t="shared" si="26"/>
        <v>500000</v>
      </c>
      <c r="W76" s="161"/>
      <c r="X76" s="161"/>
      <c r="Y76" s="161"/>
      <c r="Z76" s="161"/>
      <c r="AA76" s="160"/>
      <c r="AB76" s="255" t="s">
        <v>787</v>
      </c>
      <c r="AC76" s="386">
        <v>742000</v>
      </c>
      <c r="AD76" s="331"/>
      <c r="AE76" s="331"/>
      <c r="AF76" s="161">
        <v>100000</v>
      </c>
      <c r="AG76" s="161"/>
      <c r="AH76" s="161"/>
      <c r="AI76" s="161"/>
      <c r="AJ76" s="161"/>
      <c r="AK76" s="161"/>
      <c r="AL76" s="161">
        <v>100000</v>
      </c>
      <c r="AM76" s="161">
        <f t="shared" si="27"/>
        <v>200000</v>
      </c>
      <c r="AN76" s="161">
        <f t="shared" si="28"/>
        <v>300000</v>
      </c>
      <c r="AO76" s="161">
        <f t="shared" si="29"/>
        <v>200000</v>
      </c>
      <c r="AP76" s="171"/>
      <c r="AQ76" s="171"/>
      <c r="AR76" s="3"/>
      <c r="AS76" s="3"/>
      <c r="AT76" s="3"/>
      <c r="AU76" s="161">
        <f t="shared" si="31"/>
        <v>300000</v>
      </c>
      <c r="AV76" s="3"/>
      <c r="AW76" s="168">
        <f t="shared" si="17"/>
        <v>100000</v>
      </c>
    </row>
    <row r="77" spans="1:49" s="6" customFormat="1" ht="30" customHeight="1">
      <c r="A77" s="160">
        <f t="shared" si="30"/>
        <v>72</v>
      </c>
      <c r="B77" s="30">
        <v>2115</v>
      </c>
      <c r="C77" s="3" t="s">
        <v>317</v>
      </c>
      <c r="D77" s="4">
        <v>3100000</v>
      </c>
      <c r="E77" s="4">
        <v>3100000</v>
      </c>
      <c r="F77" s="161">
        <f t="shared" si="20"/>
        <v>0</v>
      </c>
      <c r="G77" s="4">
        <v>2000000</v>
      </c>
      <c r="H77" s="4">
        <v>511071</v>
      </c>
      <c r="I77" s="4">
        <v>0</v>
      </c>
      <c r="J77" s="4">
        <v>74412</v>
      </c>
      <c r="K77" s="161">
        <f t="shared" si="22"/>
        <v>74412</v>
      </c>
      <c r="L77" s="161">
        <f t="shared" si="21"/>
        <v>585483</v>
      </c>
      <c r="M77" s="161">
        <f t="shared" si="16"/>
        <v>1414517</v>
      </c>
      <c r="N77" s="161">
        <v>1100000</v>
      </c>
      <c r="O77" s="161">
        <f t="shared" si="23"/>
        <v>0</v>
      </c>
      <c r="P77" s="161">
        <f t="shared" si="24"/>
        <v>1414517</v>
      </c>
      <c r="Q77" s="161"/>
      <c r="R77" s="161"/>
      <c r="S77" s="161">
        <f t="shared" si="19"/>
        <v>0</v>
      </c>
      <c r="T77" s="161">
        <f t="shared" si="15"/>
        <v>0</v>
      </c>
      <c r="U77" s="161">
        <f t="shared" si="25"/>
        <v>1100000</v>
      </c>
      <c r="V77" s="161">
        <f t="shared" si="26"/>
        <v>1100000</v>
      </c>
      <c r="W77" s="161"/>
      <c r="X77" s="161"/>
      <c r="Y77" s="161"/>
      <c r="Z77" s="161"/>
      <c r="AA77" s="160"/>
      <c r="AB77" s="3" t="s">
        <v>426</v>
      </c>
      <c r="AC77" s="386">
        <v>732000</v>
      </c>
      <c r="AD77" s="331"/>
      <c r="AE77" s="331"/>
      <c r="AF77" s="161"/>
      <c r="AG77" s="161"/>
      <c r="AH77" s="161"/>
      <c r="AI77" s="161"/>
      <c r="AJ77" s="161"/>
      <c r="AK77" s="161"/>
      <c r="AL77" s="161">
        <v>1100000</v>
      </c>
      <c r="AM77" s="161">
        <f t="shared" si="27"/>
        <v>1100000</v>
      </c>
      <c r="AN77" s="161">
        <f t="shared" si="28"/>
        <v>0</v>
      </c>
      <c r="AO77" s="161">
        <f t="shared" si="29"/>
        <v>1100000</v>
      </c>
      <c r="AP77" s="171"/>
      <c r="AQ77" s="171"/>
      <c r="AR77" s="7"/>
      <c r="AS77" s="7"/>
      <c r="AT77" s="7"/>
      <c r="AU77" s="161">
        <f t="shared" si="31"/>
        <v>0</v>
      </c>
      <c r="AV77" s="7"/>
      <c r="AW77" s="168">
        <f t="shared" si="17"/>
        <v>1100000</v>
      </c>
    </row>
    <row r="78" spans="1:49" s="6" customFormat="1" ht="30">
      <c r="A78" s="160">
        <f t="shared" si="30"/>
        <v>73</v>
      </c>
      <c r="B78" s="30">
        <v>2118</v>
      </c>
      <c r="C78" s="3" t="s">
        <v>318</v>
      </c>
      <c r="D78" s="4">
        <v>2600000</v>
      </c>
      <c r="E78" s="4">
        <v>2600000</v>
      </c>
      <c r="F78" s="161">
        <f t="shared" si="20"/>
        <v>0</v>
      </c>
      <c r="G78" s="4">
        <v>2600000</v>
      </c>
      <c r="H78" s="4">
        <v>333114</v>
      </c>
      <c r="I78" s="4">
        <v>0</v>
      </c>
      <c r="J78" s="4">
        <v>1007084</v>
      </c>
      <c r="K78" s="161">
        <f t="shared" si="22"/>
        <v>1007084</v>
      </c>
      <c r="L78" s="161">
        <f t="shared" si="21"/>
        <v>1340198</v>
      </c>
      <c r="M78" s="161">
        <f t="shared" si="16"/>
        <v>1259802</v>
      </c>
      <c r="N78" s="161"/>
      <c r="O78" s="161">
        <f t="shared" si="23"/>
        <v>0</v>
      </c>
      <c r="P78" s="161">
        <f t="shared" si="24"/>
        <v>1259802</v>
      </c>
      <c r="Q78" s="161"/>
      <c r="R78" s="161"/>
      <c r="S78" s="161">
        <f t="shared" si="19"/>
        <v>0</v>
      </c>
      <c r="T78" s="161">
        <f t="shared" ref="T78:T94" si="32">P78-M78+S78</f>
        <v>0</v>
      </c>
      <c r="U78" s="161">
        <f t="shared" si="25"/>
        <v>0</v>
      </c>
      <c r="V78" s="161">
        <f t="shared" si="26"/>
        <v>0</v>
      </c>
      <c r="W78" s="161"/>
      <c r="X78" s="161"/>
      <c r="Y78" s="161"/>
      <c r="Z78" s="161"/>
      <c r="AA78" s="160"/>
      <c r="AB78" s="256" t="s">
        <v>705</v>
      </c>
      <c r="AC78" s="386">
        <v>746000</v>
      </c>
      <c r="AD78" s="331"/>
      <c r="AE78" s="331"/>
      <c r="AF78" s="161"/>
      <c r="AG78" s="161"/>
      <c r="AH78" s="161"/>
      <c r="AI78" s="161"/>
      <c r="AJ78" s="161"/>
      <c r="AK78" s="161"/>
      <c r="AL78" s="161"/>
      <c r="AM78" s="161">
        <f t="shared" si="27"/>
        <v>0</v>
      </c>
      <c r="AN78" s="161">
        <f t="shared" si="28"/>
        <v>0</v>
      </c>
      <c r="AO78" s="161">
        <f t="shared" si="29"/>
        <v>0</v>
      </c>
      <c r="AP78" s="171"/>
      <c r="AQ78" s="171"/>
      <c r="AR78" s="7"/>
      <c r="AS78" s="7"/>
      <c r="AT78" s="7"/>
      <c r="AU78" s="161">
        <f t="shared" si="31"/>
        <v>0</v>
      </c>
      <c r="AV78" s="7"/>
      <c r="AW78" s="168">
        <f t="shared" si="17"/>
        <v>0</v>
      </c>
    </row>
    <row r="79" spans="1:49" s="5" customFormat="1" ht="30" customHeight="1">
      <c r="A79" s="160">
        <f t="shared" si="30"/>
        <v>74</v>
      </c>
      <c r="B79" s="30">
        <v>2119</v>
      </c>
      <c r="C79" s="3" t="s">
        <v>319</v>
      </c>
      <c r="D79" s="4">
        <f>1400000+1100000</f>
        <v>2500000</v>
      </c>
      <c r="E79" s="4">
        <v>1400000</v>
      </c>
      <c r="F79" s="161">
        <f t="shared" si="20"/>
        <v>1100000</v>
      </c>
      <c r="G79" s="4">
        <v>1100000</v>
      </c>
      <c r="H79" s="4">
        <v>101214</v>
      </c>
      <c r="I79" s="4">
        <v>0</v>
      </c>
      <c r="J79" s="4">
        <v>48786</v>
      </c>
      <c r="K79" s="161">
        <f t="shared" si="22"/>
        <v>48786</v>
      </c>
      <c r="L79" s="161">
        <f t="shared" si="21"/>
        <v>150000</v>
      </c>
      <c r="M79" s="161">
        <f t="shared" ref="M79:M104" si="33">P79+S79</f>
        <v>950000</v>
      </c>
      <c r="N79" s="161">
        <f>1400000-1400000</f>
        <v>0</v>
      </c>
      <c r="O79" s="161">
        <f t="shared" si="23"/>
        <v>1400000</v>
      </c>
      <c r="P79" s="161">
        <f t="shared" si="24"/>
        <v>950000</v>
      </c>
      <c r="Q79" s="161"/>
      <c r="R79" s="161"/>
      <c r="S79" s="161">
        <f t="shared" si="19"/>
        <v>0</v>
      </c>
      <c r="T79" s="161">
        <f t="shared" si="32"/>
        <v>0</v>
      </c>
      <c r="U79" s="161">
        <f t="shared" si="25"/>
        <v>0</v>
      </c>
      <c r="V79" s="161">
        <f t="shared" si="26"/>
        <v>0</v>
      </c>
      <c r="W79" s="161"/>
      <c r="X79" s="161"/>
      <c r="Y79" s="161"/>
      <c r="Z79" s="161"/>
      <c r="AA79" s="160"/>
      <c r="AB79" s="3" t="s">
        <v>320</v>
      </c>
      <c r="AC79" s="386">
        <v>742000</v>
      </c>
      <c r="AD79" s="331"/>
      <c r="AE79" s="331"/>
      <c r="AF79" s="161"/>
      <c r="AG79" s="161"/>
      <c r="AH79" s="161"/>
      <c r="AI79" s="161"/>
      <c r="AJ79" s="161"/>
      <c r="AK79" s="161"/>
      <c r="AL79" s="161"/>
      <c r="AM79" s="161">
        <f t="shared" si="27"/>
        <v>0</v>
      </c>
      <c r="AN79" s="161">
        <f t="shared" si="28"/>
        <v>0</v>
      </c>
      <c r="AO79" s="161">
        <f t="shared" si="29"/>
        <v>0</v>
      </c>
      <c r="AP79" s="171"/>
      <c r="AQ79" s="171"/>
      <c r="AR79" s="3"/>
      <c r="AS79" s="3"/>
      <c r="AT79" s="3"/>
      <c r="AU79" s="161">
        <f t="shared" si="31"/>
        <v>0</v>
      </c>
      <c r="AV79" s="3"/>
      <c r="AW79" s="168">
        <f t="shared" si="17"/>
        <v>0</v>
      </c>
    </row>
    <row r="80" spans="1:49" s="5" customFormat="1" ht="30" customHeight="1">
      <c r="A80" s="160">
        <f t="shared" si="30"/>
        <v>75</v>
      </c>
      <c r="B80" s="30">
        <v>2126</v>
      </c>
      <c r="C80" s="3" t="s">
        <v>496</v>
      </c>
      <c r="D80" s="4">
        <f>1375000+600000</f>
        <v>1975000</v>
      </c>
      <c r="E80" s="4">
        <v>1375000</v>
      </c>
      <c r="F80" s="161">
        <f t="shared" si="20"/>
        <v>600000</v>
      </c>
      <c r="G80" s="4">
        <v>0</v>
      </c>
      <c r="H80" s="4">
        <v>0</v>
      </c>
      <c r="I80" s="4">
        <v>0</v>
      </c>
      <c r="J80" s="4">
        <v>0</v>
      </c>
      <c r="K80" s="161">
        <f t="shared" si="22"/>
        <v>0</v>
      </c>
      <c r="L80" s="161">
        <f t="shared" si="21"/>
        <v>0</v>
      </c>
      <c r="M80" s="161">
        <f t="shared" si="33"/>
        <v>0</v>
      </c>
      <c r="N80" s="161"/>
      <c r="O80" s="161">
        <f t="shared" si="23"/>
        <v>1975000</v>
      </c>
      <c r="P80" s="161">
        <f t="shared" si="24"/>
        <v>0</v>
      </c>
      <c r="Q80" s="161"/>
      <c r="R80" s="161"/>
      <c r="S80" s="161">
        <f t="shared" si="19"/>
        <v>0</v>
      </c>
      <c r="T80" s="161">
        <f t="shared" si="32"/>
        <v>0</v>
      </c>
      <c r="U80" s="161">
        <f t="shared" si="25"/>
        <v>0</v>
      </c>
      <c r="V80" s="161">
        <f t="shared" si="26"/>
        <v>0</v>
      </c>
      <c r="W80" s="161"/>
      <c r="X80" s="161"/>
      <c r="Y80" s="161"/>
      <c r="Z80" s="161"/>
      <c r="AA80" s="160"/>
      <c r="AB80" s="3" t="s">
        <v>788</v>
      </c>
      <c r="AC80" s="386">
        <v>742000</v>
      </c>
      <c r="AD80" s="331"/>
      <c r="AE80" s="331"/>
      <c r="AF80" s="331"/>
      <c r="AG80" s="331"/>
      <c r="AH80" s="331"/>
      <c r="AI80" s="331"/>
      <c r="AJ80" s="331"/>
      <c r="AK80" s="331"/>
      <c r="AL80" s="331"/>
      <c r="AM80" s="161">
        <f t="shared" si="27"/>
        <v>0</v>
      </c>
      <c r="AN80" s="161">
        <f t="shared" si="28"/>
        <v>0</v>
      </c>
      <c r="AO80" s="161">
        <f t="shared" si="29"/>
        <v>0</v>
      </c>
      <c r="AP80" s="171"/>
      <c r="AQ80" s="171"/>
      <c r="AR80" s="3"/>
      <c r="AS80" s="3"/>
      <c r="AT80" s="3"/>
      <c r="AU80" s="161">
        <f t="shared" si="31"/>
        <v>0</v>
      </c>
      <c r="AV80" s="3"/>
      <c r="AW80" s="168">
        <f t="shared" si="17"/>
        <v>0</v>
      </c>
    </row>
    <row r="81" spans="1:49" s="6" customFormat="1" ht="30" customHeight="1">
      <c r="A81" s="160">
        <f t="shared" si="30"/>
        <v>76</v>
      </c>
      <c r="B81" s="30">
        <v>2127</v>
      </c>
      <c r="C81" s="3" t="s">
        <v>498</v>
      </c>
      <c r="D81" s="4">
        <f>1000000+1259000</f>
        <v>2259000</v>
      </c>
      <c r="E81" s="4">
        <v>1000000</v>
      </c>
      <c r="F81" s="161">
        <f t="shared" si="20"/>
        <v>1259000</v>
      </c>
      <c r="G81" s="4">
        <v>1000000</v>
      </c>
      <c r="H81" s="4">
        <v>24804</v>
      </c>
      <c r="I81" s="4">
        <v>0</v>
      </c>
      <c r="J81" s="4">
        <v>975194</v>
      </c>
      <c r="K81" s="161">
        <f t="shared" si="22"/>
        <v>975194</v>
      </c>
      <c r="L81" s="161">
        <f t="shared" si="21"/>
        <v>999998</v>
      </c>
      <c r="M81" s="161">
        <f t="shared" si="33"/>
        <v>2</v>
      </c>
      <c r="N81" s="161">
        <v>1259000</v>
      </c>
      <c r="O81" s="161">
        <f t="shared" si="23"/>
        <v>0</v>
      </c>
      <c r="P81" s="161">
        <f t="shared" si="24"/>
        <v>2</v>
      </c>
      <c r="Q81" s="161"/>
      <c r="R81" s="161"/>
      <c r="S81" s="161">
        <f t="shared" si="19"/>
        <v>0</v>
      </c>
      <c r="T81" s="161">
        <f t="shared" si="32"/>
        <v>0</v>
      </c>
      <c r="U81" s="161">
        <f t="shared" si="25"/>
        <v>1259000</v>
      </c>
      <c r="V81" s="161">
        <f t="shared" si="26"/>
        <v>0</v>
      </c>
      <c r="W81" s="161"/>
      <c r="X81" s="161"/>
      <c r="Y81" s="161"/>
      <c r="Z81" s="161"/>
      <c r="AA81" s="161">
        <v>1259000</v>
      </c>
      <c r="AB81" s="3" t="s">
        <v>789</v>
      </c>
      <c r="AC81" s="386">
        <v>747000</v>
      </c>
      <c r="AD81" s="331"/>
      <c r="AE81" s="331"/>
      <c r="AF81" s="331"/>
      <c r="AG81" s="331"/>
      <c r="AH81" s="331"/>
      <c r="AI81" s="331"/>
      <c r="AJ81" s="331"/>
      <c r="AK81" s="331"/>
      <c r="AL81" s="331"/>
      <c r="AM81" s="161">
        <f t="shared" si="27"/>
        <v>0</v>
      </c>
      <c r="AN81" s="161">
        <f t="shared" si="28"/>
        <v>1259000</v>
      </c>
      <c r="AO81" s="161">
        <f t="shared" si="29"/>
        <v>0</v>
      </c>
      <c r="AP81" s="171"/>
      <c r="AQ81" s="171"/>
      <c r="AR81" s="7"/>
      <c r="AS81" s="7"/>
      <c r="AT81" s="161"/>
      <c r="AU81" s="161">
        <f t="shared" si="31"/>
        <v>1259000</v>
      </c>
      <c r="AV81" s="7" t="s">
        <v>1964</v>
      </c>
      <c r="AW81" s="168">
        <f t="shared" si="17"/>
        <v>0</v>
      </c>
    </row>
    <row r="82" spans="1:49" s="6" customFormat="1" ht="30" customHeight="1">
      <c r="A82" s="160">
        <f t="shared" si="30"/>
        <v>77</v>
      </c>
      <c r="B82" s="30">
        <v>2130</v>
      </c>
      <c r="C82" s="3" t="s">
        <v>525</v>
      </c>
      <c r="D82" s="4">
        <v>500000</v>
      </c>
      <c r="E82" s="4">
        <v>500000</v>
      </c>
      <c r="F82" s="161">
        <f t="shared" si="20"/>
        <v>0</v>
      </c>
      <c r="G82" s="4">
        <v>500000</v>
      </c>
      <c r="H82" s="4">
        <v>7441</v>
      </c>
      <c r="I82" s="4">
        <v>0</v>
      </c>
      <c r="J82" s="4">
        <v>0</v>
      </c>
      <c r="K82" s="161">
        <f t="shared" si="22"/>
        <v>0</v>
      </c>
      <c r="L82" s="161">
        <f t="shared" si="21"/>
        <v>7441</v>
      </c>
      <c r="M82" s="161">
        <f t="shared" si="33"/>
        <v>492559</v>
      </c>
      <c r="N82" s="161"/>
      <c r="O82" s="161">
        <f t="shared" si="23"/>
        <v>0</v>
      </c>
      <c r="P82" s="161">
        <f t="shared" si="24"/>
        <v>492559</v>
      </c>
      <c r="Q82" s="161"/>
      <c r="R82" s="161"/>
      <c r="S82" s="161">
        <f t="shared" si="19"/>
        <v>0</v>
      </c>
      <c r="T82" s="161">
        <f t="shared" si="32"/>
        <v>0</v>
      </c>
      <c r="U82" s="161">
        <f t="shared" si="25"/>
        <v>0</v>
      </c>
      <c r="V82" s="161">
        <f t="shared" si="26"/>
        <v>0</v>
      </c>
      <c r="W82" s="161"/>
      <c r="X82" s="161"/>
      <c r="Y82" s="161"/>
      <c r="Z82" s="161"/>
      <c r="AA82" s="160"/>
      <c r="AB82" s="3" t="s">
        <v>838</v>
      </c>
      <c r="AC82" s="386">
        <v>810000</v>
      </c>
      <c r="AD82" s="331"/>
      <c r="AE82" s="331"/>
      <c r="AF82" s="331"/>
      <c r="AG82" s="331"/>
      <c r="AH82" s="331"/>
      <c r="AI82" s="331"/>
      <c r="AJ82" s="331"/>
      <c r="AK82" s="331"/>
      <c r="AL82" s="331"/>
      <c r="AM82" s="161">
        <f t="shared" si="27"/>
        <v>0</v>
      </c>
      <c r="AN82" s="161">
        <f t="shared" si="28"/>
        <v>0</v>
      </c>
      <c r="AO82" s="161">
        <f t="shared" si="29"/>
        <v>0</v>
      </c>
      <c r="AP82" s="171"/>
      <c r="AQ82" s="171"/>
      <c r="AR82" s="7"/>
      <c r="AS82" s="7"/>
      <c r="AT82" s="7"/>
      <c r="AU82" s="161">
        <f t="shared" si="31"/>
        <v>0</v>
      </c>
      <c r="AV82" s="7"/>
      <c r="AW82" s="168">
        <f t="shared" si="17"/>
        <v>0</v>
      </c>
    </row>
    <row r="83" spans="1:49" s="5" customFormat="1" ht="30" customHeight="1">
      <c r="A83" s="160">
        <f t="shared" si="30"/>
        <v>78</v>
      </c>
      <c r="B83" s="30">
        <v>2147</v>
      </c>
      <c r="C83" s="3" t="s">
        <v>529</v>
      </c>
      <c r="D83" s="4">
        <v>6500000</v>
      </c>
      <c r="E83" s="4">
        <v>6500000</v>
      </c>
      <c r="F83" s="161">
        <f t="shared" si="20"/>
        <v>0</v>
      </c>
      <c r="G83" s="4">
        <f>5500000+1000000</f>
        <v>6500000</v>
      </c>
      <c r="H83" s="4">
        <v>410670</v>
      </c>
      <c r="I83" s="4">
        <v>0</v>
      </c>
      <c r="J83" s="4">
        <v>4347853</v>
      </c>
      <c r="K83" s="161">
        <f t="shared" si="22"/>
        <v>4347853</v>
      </c>
      <c r="L83" s="161">
        <f t="shared" si="21"/>
        <v>4758523</v>
      </c>
      <c r="M83" s="161">
        <f t="shared" si="33"/>
        <v>1741477</v>
      </c>
      <c r="N83" s="161"/>
      <c r="O83" s="161">
        <f t="shared" si="23"/>
        <v>0</v>
      </c>
      <c r="P83" s="161">
        <f t="shared" si="24"/>
        <v>1741477</v>
      </c>
      <c r="Q83" s="161"/>
      <c r="R83" s="161"/>
      <c r="S83" s="161">
        <f t="shared" si="19"/>
        <v>0</v>
      </c>
      <c r="T83" s="161">
        <f t="shared" si="32"/>
        <v>0</v>
      </c>
      <c r="U83" s="161">
        <f t="shared" si="25"/>
        <v>0</v>
      </c>
      <c r="V83" s="161">
        <f t="shared" si="26"/>
        <v>0</v>
      </c>
      <c r="W83" s="161"/>
      <c r="X83" s="161"/>
      <c r="Y83" s="161"/>
      <c r="Z83" s="161"/>
      <c r="AA83" s="160"/>
      <c r="AB83" s="3" t="s">
        <v>578</v>
      </c>
      <c r="AC83" s="386">
        <v>810000</v>
      </c>
      <c r="AD83" s="331"/>
      <c r="AE83" s="331"/>
      <c r="AF83" s="161"/>
      <c r="AG83" s="161"/>
      <c r="AH83" s="161"/>
      <c r="AI83" s="161"/>
      <c r="AJ83" s="161"/>
      <c r="AK83" s="161"/>
      <c r="AL83" s="161"/>
      <c r="AM83" s="161">
        <f t="shared" si="27"/>
        <v>0</v>
      </c>
      <c r="AN83" s="161">
        <f t="shared" si="28"/>
        <v>0</v>
      </c>
      <c r="AO83" s="161">
        <f t="shared" si="29"/>
        <v>0</v>
      </c>
      <c r="AP83" s="171"/>
      <c r="AQ83" s="171"/>
      <c r="AR83" s="3"/>
      <c r="AS83" s="3"/>
      <c r="AT83" s="3"/>
      <c r="AU83" s="161">
        <f t="shared" si="31"/>
        <v>0</v>
      </c>
      <c r="AV83" s="3"/>
      <c r="AW83" s="168">
        <f t="shared" si="17"/>
        <v>0</v>
      </c>
    </row>
    <row r="84" spans="1:49" s="5" customFormat="1" ht="30">
      <c r="A84" s="160">
        <f t="shared" si="30"/>
        <v>79</v>
      </c>
      <c r="B84" s="30">
        <v>2148</v>
      </c>
      <c r="C84" s="3" t="s">
        <v>2262</v>
      </c>
      <c r="D84" s="4">
        <v>1200000</v>
      </c>
      <c r="E84" s="4">
        <v>1200000</v>
      </c>
      <c r="F84" s="161">
        <f t="shared" si="20"/>
        <v>0</v>
      </c>
      <c r="G84" s="4">
        <v>0</v>
      </c>
      <c r="H84" s="4">
        <v>0</v>
      </c>
      <c r="I84" s="4">
        <v>0</v>
      </c>
      <c r="J84" s="4">
        <v>0</v>
      </c>
      <c r="K84" s="161">
        <f t="shared" si="22"/>
        <v>0</v>
      </c>
      <c r="L84" s="161">
        <f t="shared" si="21"/>
        <v>0</v>
      </c>
      <c r="M84" s="161">
        <f t="shared" si="33"/>
        <v>0</v>
      </c>
      <c r="N84" s="161">
        <f>1200000-1200000</f>
        <v>0</v>
      </c>
      <c r="O84" s="161">
        <f t="shared" si="23"/>
        <v>1200000</v>
      </c>
      <c r="P84" s="161">
        <f t="shared" si="24"/>
        <v>0</v>
      </c>
      <c r="Q84" s="161"/>
      <c r="R84" s="161"/>
      <c r="S84" s="161">
        <f t="shared" si="19"/>
        <v>0</v>
      </c>
      <c r="T84" s="161">
        <f t="shared" si="32"/>
        <v>0</v>
      </c>
      <c r="U84" s="161">
        <f t="shared" si="25"/>
        <v>0</v>
      </c>
      <c r="V84" s="161">
        <f t="shared" si="26"/>
        <v>0</v>
      </c>
      <c r="W84" s="161"/>
      <c r="X84" s="161"/>
      <c r="Y84" s="161"/>
      <c r="Z84" s="161"/>
      <c r="AA84" s="160"/>
      <c r="AB84" s="3" t="s">
        <v>1965</v>
      </c>
      <c r="AC84" s="386">
        <v>742000</v>
      </c>
      <c r="AD84" s="331"/>
      <c r="AE84" s="331"/>
      <c r="AF84" s="161"/>
      <c r="AG84" s="161"/>
      <c r="AH84" s="161"/>
      <c r="AI84" s="161"/>
      <c r="AJ84" s="161"/>
      <c r="AK84" s="161"/>
      <c r="AL84" s="161"/>
      <c r="AM84" s="161">
        <f t="shared" si="27"/>
        <v>0</v>
      </c>
      <c r="AN84" s="161">
        <f t="shared" si="28"/>
        <v>0</v>
      </c>
      <c r="AO84" s="161">
        <f t="shared" si="29"/>
        <v>0</v>
      </c>
      <c r="AP84" s="171"/>
      <c r="AQ84" s="171"/>
      <c r="AR84" s="3"/>
      <c r="AS84" s="3"/>
      <c r="AT84" s="3"/>
      <c r="AU84" s="161">
        <f t="shared" si="31"/>
        <v>0</v>
      </c>
      <c r="AV84" s="3"/>
      <c r="AW84" s="168">
        <f t="shared" si="17"/>
        <v>0</v>
      </c>
    </row>
    <row r="85" spans="1:49" s="5" customFormat="1" ht="34.9" customHeight="1">
      <c r="A85" s="160">
        <f t="shared" si="30"/>
        <v>80</v>
      </c>
      <c r="B85" s="30">
        <v>2149</v>
      </c>
      <c r="C85" s="30" t="s">
        <v>2257</v>
      </c>
      <c r="D85" s="4">
        <v>2000000</v>
      </c>
      <c r="E85" s="4">
        <v>30000000</v>
      </c>
      <c r="F85" s="161">
        <f t="shared" si="20"/>
        <v>-28000000</v>
      </c>
      <c r="G85" s="4">
        <v>2000000</v>
      </c>
      <c r="H85" s="4">
        <v>200635</v>
      </c>
      <c r="I85" s="4">
        <v>0</v>
      </c>
      <c r="J85" s="4">
        <v>149364</v>
      </c>
      <c r="K85" s="161">
        <f t="shared" si="22"/>
        <v>149364</v>
      </c>
      <c r="L85" s="161">
        <f t="shared" si="21"/>
        <v>349999</v>
      </c>
      <c r="M85" s="161">
        <f t="shared" si="33"/>
        <v>1650001</v>
      </c>
      <c r="N85" s="161"/>
      <c r="O85" s="161">
        <f t="shared" si="23"/>
        <v>0</v>
      </c>
      <c r="P85" s="161">
        <f t="shared" si="24"/>
        <v>1650001</v>
      </c>
      <c r="Q85" s="161"/>
      <c r="R85" s="161"/>
      <c r="S85" s="161">
        <f t="shared" si="19"/>
        <v>0</v>
      </c>
      <c r="T85" s="161">
        <f t="shared" si="32"/>
        <v>0</v>
      </c>
      <c r="U85" s="161">
        <f t="shared" si="25"/>
        <v>0</v>
      </c>
      <c r="V85" s="161">
        <f t="shared" si="26"/>
        <v>0</v>
      </c>
      <c r="W85" s="161"/>
      <c r="X85" s="161"/>
      <c r="Y85" s="161"/>
      <c r="Z85" s="161"/>
      <c r="AA85" s="160"/>
      <c r="AB85" s="3" t="s">
        <v>1966</v>
      </c>
      <c r="AC85" s="386">
        <v>810000</v>
      </c>
      <c r="AD85" s="331"/>
      <c r="AE85" s="331"/>
      <c r="AF85" s="161"/>
      <c r="AG85" s="161"/>
      <c r="AH85" s="161"/>
      <c r="AI85" s="161"/>
      <c r="AJ85" s="161"/>
      <c r="AK85" s="161"/>
      <c r="AL85" s="161"/>
      <c r="AM85" s="161">
        <f t="shared" si="27"/>
        <v>0</v>
      </c>
      <c r="AN85" s="161">
        <f t="shared" si="28"/>
        <v>0</v>
      </c>
      <c r="AO85" s="161">
        <f t="shared" si="29"/>
        <v>0</v>
      </c>
      <c r="AP85" s="171"/>
      <c r="AQ85" s="171"/>
      <c r="AR85" s="3"/>
      <c r="AS85" s="3"/>
      <c r="AT85" s="3"/>
      <c r="AU85" s="161">
        <f t="shared" si="31"/>
        <v>0</v>
      </c>
      <c r="AV85" s="3"/>
      <c r="AW85" s="168">
        <f t="shared" si="17"/>
        <v>0</v>
      </c>
    </row>
    <row r="86" spans="1:49" s="5" customFormat="1" ht="34.9" customHeight="1">
      <c r="A86" s="160">
        <f t="shared" si="30"/>
        <v>81</v>
      </c>
      <c r="B86" s="30">
        <v>2150</v>
      </c>
      <c r="C86" s="30" t="s">
        <v>907</v>
      </c>
      <c r="D86" s="4">
        <f>3500000+14100000+5900000</f>
        <v>23500000</v>
      </c>
      <c r="E86" s="4">
        <v>3500000</v>
      </c>
      <c r="F86" s="161">
        <f t="shared" si="20"/>
        <v>20000000</v>
      </c>
      <c r="G86" s="4">
        <v>150000</v>
      </c>
      <c r="H86" s="4">
        <v>146784</v>
      </c>
      <c r="I86" s="4">
        <v>0</v>
      </c>
      <c r="J86" s="4">
        <v>3215</v>
      </c>
      <c r="K86" s="161">
        <f t="shared" si="22"/>
        <v>3215</v>
      </c>
      <c r="L86" s="161">
        <f t="shared" si="21"/>
        <v>149999</v>
      </c>
      <c r="M86" s="161">
        <f t="shared" si="33"/>
        <v>1</v>
      </c>
      <c r="N86" s="161">
        <f>3350000+12900000+1200000-7450000</f>
        <v>10000000</v>
      </c>
      <c r="O86" s="161">
        <f t="shared" si="23"/>
        <v>13350000</v>
      </c>
      <c r="P86" s="161">
        <f t="shared" si="24"/>
        <v>1</v>
      </c>
      <c r="Q86" s="161"/>
      <c r="R86" s="161"/>
      <c r="S86" s="161">
        <f t="shared" si="19"/>
        <v>0</v>
      </c>
      <c r="T86" s="161">
        <f t="shared" si="32"/>
        <v>0</v>
      </c>
      <c r="U86" s="161">
        <f t="shared" si="25"/>
        <v>10000000</v>
      </c>
      <c r="V86" s="161">
        <f t="shared" si="26"/>
        <v>10000000</v>
      </c>
      <c r="W86" s="161"/>
      <c r="X86" s="161"/>
      <c r="Y86" s="161"/>
      <c r="Z86" s="161"/>
      <c r="AA86" s="160"/>
      <c r="AB86" s="30" t="s">
        <v>762</v>
      </c>
      <c r="AC86" s="386">
        <v>746000</v>
      </c>
      <c r="AD86" s="331"/>
      <c r="AE86" s="331"/>
      <c r="AF86" s="161">
        <v>200000</v>
      </c>
      <c r="AG86" s="161"/>
      <c r="AH86" s="161">
        <v>750000</v>
      </c>
      <c r="AI86" s="161"/>
      <c r="AJ86" s="161"/>
      <c r="AK86" s="161"/>
      <c r="AL86" s="161">
        <v>9050000</v>
      </c>
      <c r="AM86" s="161">
        <f t="shared" si="27"/>
        <v>10000000</v>
      </c>
      <c r="AN86" s="161">
        <f t="shared" si="28"/>
        <v>0</v>
      </c>
      <c r="AO86" s="161">
        <f t="shared" si="29"/>
        <v>10000000</v>
      </c>
      <c r="AP86" s="171"/>
      <c r="AQ86" s="171"/>
      <c r="AR86" s="3"/>
      <c r="AS86" s="3"/>
      <c r="AT86" s="3"/>
      <c r="AU86" s="161">
        <f t="shared" si="31"/>
        <v>0</v>
      </c>
      <c r="AV86" s="3"/>
      <c r="AW86" s="168">
        <f t="shared" ref="AW86:AW104" si="34">AL86</f>
        <v>9050000</v>
      </c>
    </row>
    <row r="87" spans="1:49" s="5" customFormat="1" ht="30" customHeight="1">
      <c r="A87" s="160">
        <f t="shared" si="30"/>
        <v>82</v>
      </c>
      <c r="B87" s="30">
        <v>2151</v>
      </c>
      <c r="C87" s="3" t="s">
        <v>530</v>
      </c>
      <c r="D87" s="4">
        <f>2000000+52000000</f>
        <v>54000000</v>
      </c>
      <c r="E87" s="4">
        <v>2000000</v>
      </c>
      <c r="F87" s="161">
        <f t="shared" si="20"/>
        <v>52000000</v>
      </c>
      <c r="G87" s="4">
        <v>2000000</v>
      </c>
      <c r="H87" s="4">
        <v>446093</v>
      </c>
      <c r="I87" s="4">
        <v>0</v>
      </c>
      <c r="J87" s="4">
        <v>3906</v>
      </c>
      <c r="K87" s="161">
        <f t="shared" si="22"/>
        <v>3906</v>
      </c>
      <c r="L87" s="161">
        <f t="shared" si="21"/>
        <v>449999</v>
      </c>
      <c r="M87" s="161">
        <f t="shared" si="33"/>
        <v>1550001</v>
      </c>
      <c r="N87" s="161">
        <f>25000000-22000000</f>
        <v>3000000</v>
      </c>
      <c r="O87" s="161">
        <f t="shared" si="23"/>
        <v>49000000</v>
      </c>
      <c r="P87" s="161">
        <f t="shared" si="24"/>
        <v>1550001</v>
      </c>
      <c r="Q87" s="161"/>
      <c r="R87" s="161"/>
      <c r="S87" s="161">
        <f t="shared" si="19"/>
        <v>0</v>
      </c>
      <c r="T87" s="161">
        <f t="shared" si="32"/>
        <v>0</v>
      </c>
      <c r="U87" s="161">
        <f t="shared" si="25"/>
        <v>3000000</v>
      </c>
      <c r="V87" s="161">
        <f t="shared" si="26"/>
        <v>3000000</v>
      </c>
      <c r="W87" s="161"/>
      <c r="X87" s="161"/>
      <c r="Y87" s="161"/>
      <c r="Z87" s="161"/>
      <c r="AA87" s="160"/>
      <c r="AB87" s="30" t="s">
        <v>790</v>
      </c>
      <c r="AC87" s="386">
        <v>742000</v>
      </c>
      <c r="AD87" s="331"/>
      <c r="AE87" s="331"/>
      <c r="AF87" s="161"/>
      <c r="AG87" s="161"/>
      <c r="AH87" s="161"/>
      <c r="AI87" s="161"/>
      <c r="AJ87" s="161"/>
      <c r="AK87" s="161"/>
      <c r="AL87" s="161">
        <v>3000000</v>
      </c>
      <c r="AM87" s="161">
        <f t="shared" si="27"/>
        <v>3000000</v>
      </c>
      <c r="AN87" s="161">
        <f t="shared" si="28"/>
        <v>0</v>
      </c>
      <c r="AO87" s="161">
        <f t="shared" si="29"/>
        <v>3000000</v>
      </c>
      <c r="AP87" s="171"/>
      <c r="AQ87" s="171"/>
      <c r="AR87" s="3"/>
      <c r="AS87" s="3"/>
      <c r="AT87" s="3"/>
      <c r="AU87" s="161">
        <f t="shared" si="31"/>
        <v>0</v>
      </c>
      <c r="AV87" s="3"/>
      <c r="AW87" s="168">
        <f t="shared" si="34"/>
        <v>3000000</v>
      </c>
    </row>
    <row r="88" spans="1:49" s="5" customFormat="1" ht="30" customHeight="1">
      <c r="A88" s="160">
        <f t="shared" si="30"/>
        <v>83</v>
      </c>
      <c r="B88" s="30">
        <v>2152</v>
      </c>
      <c r="C88" s="3" t="s">
        <v>531</v>
      </c>
      <c r="D88" s="4">
        <v>16000000</v>
      </c>
      <c r="E88" s="4">
        <v>1000000</v>
      </c>
      <c r="F88" s="161">
        <f t="shared" si="20"/>
        <v>15000000</v>
      </c>
      <c r="G88" s="4">
        <v>1000000</v>
      </c>
      <c r="H88" s="4">
        <v>31005</v>
      </c>
      <c r="I88" s="4">
        <v>0</v>
      </c>
      <c r="J88" s="4">
        <v>93015</v>
      </c>
      <c r="K88" s="161">
        <f t="shared" si="22"/>
        <v>93015</v>
      </c>
      <c r="L88" s="161">
        <f t="shared" si="21"/>
        <v>124020</v>
      </c>
      <c r="M88" s="161">
        <f t="shared" si="33"/>
        <v>875980</v>
      </c>
      <c r="N88" s="161">
        <v>500000</v>
      </c>
      <c r="O88" s="161">
        <f t="shared" si="23"/>
        <v>14500000</v>
      </c>
      <c r="P88" s="161">
        <f t="shared" si="24"/>
        <v>875980</v>
      </c>
      <c r="Q88" s="161"/>
      <c r="R88" s="161"/>
      <c r="S88" s="161">
        <f t="shared" si="19"/>
        <v>0</v>
      </c>
      <c r="T88" s="161">
        <f t="shared" si="32"/>
        <v>0</v>
      </c>
      <c r="U88" s="161">
        <f t="shared" si="25"/>
        <v>500000</v>
      </c>
      <c r="V88" s="161">
        <f t="shared" si="26"/>
        <v>500000</v>
      </c>
      <c r="W88" s="161"/>
      <c r="X88" s="161"/>
      <c r="Y88" s="161"/>
      <c r="Z88" s="161"/>
      <c r="AA88" s="160"/>
      <c r="AB88" s="30" t="s">
        <v>1967</v>
      </c>
      <c r="AC88" s="386">
        <v>810000</v>
      </c>
      <c r="AD88" s="331"/>
      <c r="AE88" s="331"/>
      <c r="AF88" s="161"/>
      <c r="AG88" s="161"/>
      <c r="AH88" s="161"/>
      <c r="AI88" s="161"/>
      <c r="AJ88" s="161"/>
      <c r="AK88" s="161"/>
      <c r="AL88" s="161">
        <v>50000</v>
      </c>
      <c r="AM88" s="161">
        <f t="shared" si="27"/>
        <v>50000</v>
      </c>
      <c r="AN88" s="161">
        <f t="shared" si="28"/>
        <v>450000</v>
      </c>
      <c r="AO88" s="161">
        <f t="shared" si="29"/>
        <v>50000</v>
      </c>
      <c r="AP88" s="171"/>
      <c r="AQ88" s="171"/>
      <c r="AR88" s="3"/>
      <c r="AS88" s="3"/>
      <c r="AT88" s="3"/>
      <c r="AU88" s="161">
        <f t="shared" si="31"/>
        <v>450000</v>
      </c>
      <c r="AV88" s="3" t="s">
        <v>1968</v>
      </c>
      <c r="AW88" s="168">
        <f t="shared" si="34"/>
        <v>50000</v>
      </c>
    </row>
    <row r="89" spans="1:49" s="5" customFormat="1" ht="30" customHeight="1">
      <c r="A89" s="160">
        <f t="shared" si="30"/>
        <v>84</v>
      </c>
      <c r="B89" s="30">
        <v>2153</v>
      </c>
      <c r="C89" s="3" t="s">
        <v>579</v>
      </c>
      <c r="D89" s="4">
        <v>1000000</v>
      </c>
      <c r="E89" s="4">
        <v>1000000</v>
      </c>
      <c r="F89" s="161">
        <f t="shared" si="20"/>
        <v>0</v>
      </c>
      <c r="G89" s="4">
        <v>300000</v>
      </c>
      <c r="H89" s="4">
        <v>24804</v>
      </c>
      <c r="I89" s="4">
        <v>0</v>
      </c>
      <c r="J89" s="4">
        <v>125195</v>
      </c>
      <c r="K89" s="161">
        <f t="shared" si="22"/>
        <v>125195</v>
      </c>
      <c r="L89" s="161">
        <f t="shared" si="21"/>
        <v>149999</v>
      </c>
      <c r="M89" s="161">
        <f t="shared" si="33"/>
        <v>150001</v>
      </c>
      <c r="N89" s="161">
        <v>700000</v>
      </c>
      <c r="O89" s="161">
        <f t="shared" si="23"/>
        <v>0</v>
      </c>
      <c r="P89" s="161">
        <f t="shared" si="24"/>
        <v>150001</v>
      </c>
      <c r="Q89" s="161"/>
      <c r="R89" s="161"/>
      <c r="S89" s="161">
        <f t="shared" si="19"/>
        <v>0</v>
      </c>
      <c r="T89" s="161">
        <f t="shared" si="32"/>
        <v>0</v>
      </c>
      <c r="U89" s="161">
        <f t="shared" si="25"/>
        <v>700000</v>
      </c>
      <c r="V89" s="161">
        <f t="shared" si="26"/>
        <v>700000</v>
      </c>
      <c r="W89" s="161"/>
      <c r="X89" s="161"/>
      <c r="Y89" s="161"/>
      <c r="Z89" s="161"/>
      <c r="AA89" s="160"/>
      <c r="AB89" s="30" t="s">
        <v>706</v>
      </c>
      <c r="AC89" s="386">
        <v>829000</v>
      </c>
      <c r="AD89" s="331"/>
      <c r="AE89" s="331"/>
      <c r="AF89" s="161"/>
      <c r="AG89" s="161"/>
      <c r="AH89" s="161">
        <f>200000-200000</f>
        <v>0</v>
      </c>
      <c r="AI89" s="161"/>
      <c r="AJ89" s="161"/>
      <c r="AK89" s="161">
        <v>100000</v>
      </c>
      <c r="AL89" s="161">
        <v>600000</v>
      </c>
      <c r="AM89" s="161">
        <f t="shared" si="27"/>
        <v>700000</v>
      </c>
      <c r="AN89" s="161">
        <f t="shared" si="28"/>
        <v>0</v>
      </c>
      <c r="AO89" s="161">
        <f t="shared" si="29"/>
        <v>700000</v>
      </c>
      <c r="AP89" s="171"/>
      <c r="AQ89" s="171"/>
      <c r="AR89" s="3"/>
      <c r="AS89" s="3"/>
      <c r="AT89" s="3"/>
      <c r="AU89" s="161">
        <f t="shared" si="31"/>
        <v>0</v>
      </c>
      <c r="AV89" s="166" t="s">
        <v>1954</v>
      </c>
      <c r="AW89" s="168">
        <f t="shared" si="34"/>
        <v>600000</v>
      </c>
    </row>
    <row r="90" spans="1:49" s="5" customFormat="1" ht="30" customHeight="1">
      <c r="A90" s="160">
        <f t="shared" si="30"/>
        <v>85</v>
      </c>
      <c r="B90" s="30">
        <v>2174</v>
      </c>
      <c r="C90" s="3" t="s">
        <v>626</v>
      </c>
      <c r="D90" s="4">
        <f>500000+12100000</f>
        <v>12600000</v>
      </c>
      <c r="E90" s="4">
        <v>12600000</v>
      </c>
      <c r="F90" s="161">
        <f t="shared" si="20"/>
        <v>0</v>
      </c>
      <c r="G90" s="4">
        <f>500000+4000000</f>
        <v>4500000</v>
      </c>
      <c r="H90" s="4">
        <v>6201</v>
      </c>
      <c r="I90" s="4">
        <v>0</v>
      </c>
      <c r="J90" s="4">
        <v>493797</v>
      </c>
      <c r="K90" s="161">
        <f t="shared" si="22"/>
        <v>493797</v>
      </c>
      <c r="L90" s="161">
        <f t="shared" si="21"/>
        <v>499998</v>
      </c>
      <c r="M90" s="161">
        <f t="shared" si="33"/>
        <v>4000002</v>
      </c>
      <c r="N90" s="161">
        <v>8100000</v>
      </c>
      <c r="O90" s="161">
        <f t="shared" si="23"/>
        <v>0</v>
      </c>
      <c r="P90" s="161">
        <f t="shared" si="24"/>
        <v>4000002</v>
      </c>
      <c r="Q90" s="161"/>
      <c r="R90" s="161"/>
      <c r="S90" s="161">
        <f t="shared" si="19"/>
        <v>0</v>
      </c>
      <c r="T90" s="161">
        <f t="shared" si="32"/>
        <v>0</v>
      </c>
      <c r="U90" s="161">
        <f t="shared" si="25"/>
        <v>8100000</v>
      </c>
      <c r="V90" s="161">
        <f t="shared" si="26"/>
        <v>5048992</v>
      </c>
      <c r="W90" s="161"/>
      <c r="X90" s="161"/>
      <c r="Y90" s="161"/>
      <c r="Z90" s="161"/>
      <c r="AA90" s="161">
        <v>3051008</v>
      </c>
      <c r="AB90" s="3" t="s">
        <v>791</v>
      </c>
      <c r="AC90" s="386">
        <v>810000</v>
      </c>
      <c r="AD90" s="331"/>
      <c r="AE90" s="331"/>
      <c r="AF90" s="161"/>
      <c r="AG90" s="161"/>
      <c r="AH90" s="161">
        <v>3100000</v>
      </c>
      <c r="AI90" s="161"/>
      <c r="AJ90" s="161"/>
      <c r="AK90" s="161">
        <f>5048992-3100000</f>
        <v>1948992</v>
      </c>
      <c r="AL90" s="161"/>
      <c r="AM90" s="161">
        <f t="shared" si="27"/>
        <v>5048992</v>
      </c>
      <c r="AN90" s="161">
        <f t="shared" si="28"/>
        <v>3051008</v>
      </c>
      <c r="AO90" s="161">
        <f t="shared" si="29"/>
        <v>5048992</v>
      </c>
      <c r="AP90" s="171"/>
      <c r="AQ90" s="171"/>
      <c r="AR90" s="3"/>
      <c r="AS90" s="3"/>
      <c r="AT90" s="161"/>
      <c r="AU90" s="161">
        <f t="shared" si="31"/>
        <v>3051008</v>
      </c>
      <c r="AV90" s="3" t="s">
        <v>1969</v>
      </c>
      <c r="AW90" s="168">
        <f t="shared" si="34"/>
        <v>0</v>
      </c>
    </row>
    <row r="91" spans="1:49" s="5" customFormat="1" ht="30" customHeight="1">
      <c r="A91" s="160">
        <f t="shared" si="30"/>
        <v>86</v>
      </c>
      <c r="B91" s="30">
        <v>2175</v>
      </c>
      <c r="C91" s="3" t="s">
        <v>627</v>
      </c>
      <c r="D91" s="4">
        <f>500000+20500000</f>
        <v>21000000</v>
      </c>
      <c r="E91" s="4">
        <v>20500000</v>
      </c>
      <c r="F91" s="161">
        <f t="shared" si="20"/>
        <v>500000</v>
      </c>
      <c r="G91" s="4">
        <f>500000+5000000</f>
        <v>5500000</v>
      </c>
      <c r="H91" s="4">
        <v>103966</v>
      </c>
      <c r="I91" s="4">
        <v>0</v>
      </c>
      <c r="J91" s="4">
        <v>396033</v>
      </c>
      <c r="K91" s="161">
        <f t="shared" si="22"/>
        <v>396033</v>
      </c>
      <c r="L91" s="161">
        <f t="shared" si="21"/>
        <v>499999</v>
      </c>
      <c r="M91" s="161">
        <f t="shared" si="33"/>
        <v>5000001</v>
      </c>
      <c r="N91" s="161">
        <v>15500000</v>
      </c>
      <c r="O91" s="161">
        <f t="shared" si="23"/>
        <v>0</v>
      </c>
      <c r="P91" s="161">
        <f t="shared" si="24"/>
        <v>5000001</v>
      </c>
      <c r="Q91" s="161"/>
      <c r="R91" s="161"/>
      <c r="S91" s="161">
        <f t="shared" si="19"/>
        <v>0</v>
      </c>
      <c r="T91" s="161">
        <f t="shared" si="32"/>
        <v>0</v>
      </c>
      <c r="U91" s="161">
        <f t="shared" si="25"/>
        <v>15500000</v>
      </c>
      <c r="V91" s="161">
        <f t="shared" si="26"/>
        <v>10160736</v>
      </c>
      <c r="W91" s="161"/>
      <c r="X91" s="161"/>
      <c r="Y91" s="161"/>
      <c r="Z91" s="161"/>
      <c r="AA91" s="161">
        <v>5339264</v>
      </c>
      <c r="AB91" s="3" t="s">
        <v>1970</v>
      </c>
      <c r="AC91" s="386">
        <v>810000</v>
      </c>
      <c r="AD91" s="331"/>
      <c r="AE91" s="331"/>
      <c r="AF91" s="161"/>
      <c r="AG91" s="161"/>
      <c r="AH91" s="161"/>
      <c r="AI91" s="161"/>
      <c r="AJ91" s="161"/>
      <c r="AK91" s="161">
        <v>165336</v>
      </c>
      <c r="AL91" s="161"/>
      <c r="AM91" s="161">
        <f t="shared" si="27"/>
        <v>165336</v>
      </c>
      <c r="AN91" s="161">
        <f t="shared" si="28"/>
        <v>15334664</v>
      </c>
      <c r="AO91" s="161">
        <f t="shared" si="29"/>
        <v>0</v>
      </c>
      <c r="AP91" s="171"/>
      <c r="AQ91" s="171"/>
      <c r="AR91" s="3"/>
      <c r="AS91" s="3"/>
      <c r="AT91" s="161">
        <v>165336</v>
      </c>
      <c r="AU91" s="161">
        <f t="shared" si="31"/>
        <v>15334664</v>
      </c>
      <c r="AV91" s="3" t="s">
        <v>1971</v>
      </c>
      <c r="AW91" s="168">
        <f t="shared" si="34"/>
        <v>0</v>
      </c>
    </row>
    <row r="92" spans="1:49" s="5" customFormat="1" ht="30" customHeight="1">
      <c r="A92" s="160">
        <f t="shared" si="30"/>
        <v>87</v>
      </c>
      <c r="B92" s="30">
        <v>2180</v>
      </c>
      <c r="C92" s="3" t="s">
        <v>628</v>
      </c>
      <c r="D92" s="4">
        <v>1000000</v>
      </c>
      <c r="E92" s="4">
        <v>500000</v>
      </c>
      <c r="F92" s="161">
        <f t="shared" si="20"/>
        <v>500000</v>
      </c>
      <c r="G92" s="4">
        <v>500000</v>
      </c>
      <c r="H92" s="4">
        <v>0</v>
      </c>
      <c r="I92" s="4">
        <v>0</v>
      </c>
      <c r="J92" s="4">
        <v>0</v>
      </c>
      <c r="K92" s="161">
        <f t="shared" si="22"/>
        <v>0</v>
      </c>
      <c r="L92" s="161">
        <f t="shared" si="21"/>
        <v>0</v>
      </c>
      <c r="M92" s="161">
        <f t="shared" si="33"/>
        <v>500000</v>
      </c>
      <c r="N92" s="161">
        <v>500000</v>
      </c>
      <c r="O92" s="161">
        <f t="shared" si="23"/>
        <v>0</v>
      </c>
      <c r="P92" s="161">
        <f t="shared" si="24"/>
        <v>500000</v>
      </c>
      <c r="Q92" s="161"/>
      <c r="R92" s="161"/>
      <c r="S92" s="161">
        <f t="shared" si="19"/>
        <v>0</v>
      </c>
      <c r="T92" s="161">
        <f t="shared" si="32"/>
        <v>0</v>
      </c>
      <c r="U92" s="161">
        <f t="shared" si="25"/>
        <v>500000</v>
      </c>
      <c r="V92" s="161">
        <f t="shared" si="26"/>
        <v>500000</v>
      </c>
      <c r="W92" s="161"/>
      <c r="X92" s="161"/>
      <c r="Y92" s="161"/>
      <c r="Z92" s="161"/>
      <c r="AA92" s="160"/>
      <c r="AB92" s="3" t="s">
        <v>707</v>
      </c>
      <c r="AC92" s="386">
        <v>732000</v>
      </c>
      <c r="AD92" s="331"/>
      <c r="AE92" s="331"/>
      <c r="AF92" s="161"/>
      <c r="AG92" s="161"/>
      <c r="AH92" s="161"/>
      <c r="AI92" s="161"/>
      <c r="AJ92" s="161"/>
      <c r="AK92" s="161"/>
      <c r="AL92" s="161">
        <v>500000</v>
      </c>
      <c r="AM92" s="161">
        <f t="shared" si="27"/>
        <v>500000</v>
      </c>
      <c r="AN92" s="161">
        <f t="shared" si="28"/>
        <v>0</v>
      </c>
      <c r="AO92" s="161">
        <f t="shared" si="29"/>
        <v>500000</v>
      </c>
      <c r="AP92" s="171"/>
      <c r="AQ92" s="171"/>
      <c r="AR92" s="3"/>
      <c r="AS92" s="3"/>
      <c r="AT92" s="3"/>
      <c r="AU92" s="161">
        <f t="shared" si="31"/>
        <v>0</v>
      </c>
      <c r="AV92" s="3"/>
      <c r="AW92" s="168">
        <f t="shared" si="34"/>
        <v>500000</v>
      </c>
    </row>
    <row r="93" spans="1:49" s="5" customFormat="1" ht="30" customHeight="1">
      <c r="A93" s="160">
        <f t="shared" si="30"/>
        <v>88</v>
      </c>
      <c r="B93" s="30">
        <v>2182</v>
      </c>
      <c r="C93" s="3" t="s">
        <v>629</v>
      </c>
      <c r="D93" s="4">
        <f>300000+2200000</f>
        <v>2500000</v>
      </c>
      <c r="E93" s="4">
        <v>300000</v>
      </c>
      <c r="F93" s="161">
        <f t="shared" si="20"/>
        <v>2200000</v>
      </c>
      <c r="G93" s="4">
        <v>300000</v>
      </c>
      <c r="H93" s="4">
        <v>0</v>
      </c>
      <c r="I93" s="4">
        <v>0</v>
      </c>
      <c r="J93" s="4">
        <v>0</v>
      </c>
      <c r="K93" s="161">
        <f t="shared" si="22"/>
        <v>0</v>
      </c>
      <c r="L93" s="161">
        <f t="shared" si="21"/>
        <v>0</v>
      </c>
      <c r="M93" s="161">
        <f t="shared" si="33"/>
        <v>300000</v>
      </c>
      <c r="N93" s="161">
        <v>1700000</v>
      </c>
      <c r="O93" s="161">
        <f t="shared" si="23"/>
        <v>500000</v>
      </c>
      <c r="P93" s="161">
        <f t="shared" si="24"/>
        <v>300000</v>
      </c>
      <c r="Q93" s="161"/>
      <c r="R93" s="161"/>
      <c r="S93" s="161">
        <f t="shared" si="19"/>
        <v>0</v>
      </c>
      <c r="T93" s="161">
        <f t="shared" si="32"/>
        <v>0</v>
      </c>
      <c r="U93" s="161">
        <f t="shared" si="25"/>
        <v>1700000</v>
      </c>
      <c r="V93" s="161">
        <f t="shared" si="26"/>
        <v>1700000</v>
      </c>
      <c r="W93" s="161"/>
      <c r="X93" s="161"/>
      <c r="Y93" s="161"/>
      <c r="Z93" s="161"/>
      <c r="AA93" s="160"/>
      <c r="AB93" s="3" t="s">
        <v>792</v>
      </c>
      <c r="AC93" s="386">
        <v>810000</v>
      </c>
      <c r="AD93" s="331"/>
      <c r="AE93" s="331"/>
      <c r="AF93" s="161"/>
      <c r="AG93" s="161"/>
      <c r="AH93" s="161"/>
      <c r="AI93" s="161"/>
      <c r="AJ93" s="161"/>
      <c r="AK93" s="161"/>
      <c r="AL93" s="161">
        <v>1700000</v>
      </c>
      <c r="AM93" s="161">
        <f t="shared" si="27"/>
        <v>1700000</v>
      </c>
      <c r="AN93" s="161">
        <f t="shared" si="28"/>
        <v>0</v>
      </c>
      <c r="AO93" s="161">
        <f t="shared" si="29"/>
        <v>1700000</v>
      </c>
      <c r="AP93" s="171"/>
      <c r="AQ93" s="171"/>
      <c r="AR93" s="3"/>
      <c r="AS93" s="3"/>
      <c r="AT93" s="3"/>
      <c r="AU93" s="161">
        <f t="shared" si="31"/>
        <v>0</v>
      </c>
      <c r="AV93" s="3"/>
      <c r="AW93" s="168">
        <f t="shared" si="34"/>
        <v>1700000</v>
      </c>
    </row>
    <row r="94" spans="1:49" s="5" customFormat="1" ht="30" customHeight="1">
      <c r="A94" s="160">
        <f t="shared" si="30"/>
        <v>89</v>
      </c>
      <c r="B94" s="30">
        <v>2185</v>
      </c>
      <c r="C94" s="3" t="s">
        <v>630</v>
      </c>
      <c r="D94" s="4">
        <v>750000</v>
      </c>
      <c r="E94" s="4">
        <v>500000</v>
      </c>
      <c r="F94" s="161">
        <f t="shared" si="20"/>
        <v>250000</v>
      </c>
      <c r="G94" s="4">
        <v>500000</v>
      </c>
      <c r="H94" s="4">
        <v>0</v>
      </c>
      <c r="I94" s="4">
        <v>0</v>
      </c>
      <c r="J94" s="4">
        <v>0</v>
      </c>
      <c r="K94" s="161">
        <f t="shared" si="22"/>
        <v>0</v>
      </c>
      <c r="L94" s="161">
        <f t="shared" si="21"/>
        <v>0</v>
      </c>
      <c r="M94" s="161">
        <f t="shared" si="33"/>
        <v>500000</v>
      </c>
      <c r="N94" s="161">
        <v>250000</v>
      </c>
      <c r="O94" s="161">
        <f t="shared" si="23"/>
        <v>0</v>
      </c>
      <c r="P94" s="161">
        <f t="shared" si="24"/>
        <v>500000</v>
      </c>
      <c r="Q94" s="161"/>
      <c r="R94" s="161"/>
      <c r="S94" s="161">
        <f t="shared" si="19"/>
        <v>0</v>
      </c>
      <c r="T94" s="161">
        <f t="shared" si="32"/>
        <v>0</v>
      </c>
      <c r="U94" s="161">
        <f t="shared" si="25"/>
        <v>250000</v>
      </c>
      <c r="V94" s="161">
        <f t="shared" si="26"/>
        <v>250000</v>
      </c>
      <c r="W94" s="161"/>
      <c r="X94" s="161"/>
      <c r="Y94" s="161"/>
      <c r="Z94" s="161"/>
      <c r="AA94" s="160"/>
      <c r="AB94" s="3" t="s">
        <v>793</v>
      </c>
      <c r="AC94" s="386">
        <v>810000</v>
      </c>
      <c r="AD94" s="331"/>
      <c r="AE94" s="331"/>
      <c r="AF94" s="161"/>
      <c r="AG94" s="161"/>
      <c r="AH94" s="161"/>
      <c r="AI94" s="161"/>
      <c r="AJ94" s="161"/>
      <c r="AK94" s="161"/>
      <c r="AL94" s="161">
        <v>250000</v>
      </c>
      <c r="AM94" s="161">
        <f t="shared" si="27"/>
        <v>250000</v>
      </c>
      <c r="AN94" s="161">
        <f t="shared" si="28"/>
        <v>0</v>
      </c>
      <c r="AO94" s="161">
        <f t="shared" si="29"/>
        <v>250000</v>
      </c>
      <c r="AP94" s="171"/>
      <c r="AQ94" s="171"/>
      <c r="AR94" s="3"/>
      <c r="AS94" s="3"/>
      <c r="AT94" s="3"/>
      <c r="AU94" s="161">
        <f t="shared" si="31"/>
        <v>0</v>
      </c>
      <c r="AV94" s="3"/>
      <c r="AW94" s="168">
        <f t="shared" si="34"/>
        <v>250000</v>
      </c>
    </row>
    <row r="95" spans="1:49" s="5" customFormat="1" ht="30" customHeight="1">
      <c r="A95" s="160">
        <f t="shared" si="30"/>
        <v>90</v>
      </c>
      <c r="B95" s="30">
        <v>2201</v>
      </c>
      <c r="C95" s="3" t="s">
        <v>710</v>
      </c>
      <c r="D95" s="4">
        <v>80000000</v>
      </c>
      <c r="E95" s="4"/>
      <c r="F95" s="4">
        <f t="shared" si="20"/>
        <v>80000000</v>
      </c>
      <c r="G95" s="4">
        <v>0</v>
      </c>
      <c r="H95" s="4">
        <v>0</v>
      </c>
      <c r="I95" s="4">
        <v>0</v>
      </c>
      <c r="J95" s="4">
        <v>0</v>
      </c>
      <c r="K95" s="4">
        <f t="shared" ref="K95:K104" si="35">SUM(I95:J95)</f>
        <v>0</v>
      </c>
      <c r="L95" s="161">
        <f t="shared" si="21"/>
        <v>0</v>
      </c>
      <c r="M95" s="161">
        <f t="shared" si="33"/>
        <v>0</v>
      </c>
      <c r="N95" s="4">
        <v>500000</v>
      </c>
      <c r="O95" s="4">
        <f t="shared" si="23"/>
        <v>79500000</v>
      </c>
      <c r="P95" s="4">
        <f t="shared" si="24"/>
        <v>0</v>
      </c>
      <c r="Q95" s="4"/>
      <c r="R95" s="4"/>
      <c r="S95" s="161">
        <f>SUM(Q95:R95)</f>
        <v>0</v>
      </c>
      <c r="T95" s="161">
        <f>P95-M95+S95</f>
        <v>0</v>
      </c>
      <c r="U95" s="161">
        <f>N95-T95</f>
        <v>500000</v>
      </c>
      <c r="V95" s="161">
        <f>U95-Z95-X95-AA95-W95</f>
        <v>500000</v>
      </c>
      <c r="W95" s="4"/>
      <c r="X95" s="4"/>
      <c r="Y95" s="4"/>
      <c r="Z95" s="4"/>
      <c r="AA95" s="4"/>
      <c r="AB95" s="3" t="s">
        <v>1972</v>
      </c>
      <c r="AC95" s="386">
        <v>810000</v>
      </c>
      <c r="AD95" s="331"/>
      <c r="AE95" s="331"/>
      <c r="AF95" s="161">
        <v>100000</v>
      </c>
      <c r="AG95" s="161"/>
      <c r="AH95" s="161"/>
      <c r="AI95" s="161"/>
      <c r="AJ95" s="161"/>
      <c r="AK95" s="161"/>
      <c r="AL95" s="161">
        <v>400000</v>
      </c>
      <c r="AM95" s="161">
        <f t="shared" si="27"/>
        <v>500000</v>
      </c>
      <c r="AN95" s="161">
        <f t="shared" si="28"/>
        <v>0</v>
      </c>
      <c r="AO95" s="161">
        <f t="shared" si="29"/>
        <v>500000</v>
      </c>
      <c r="AP95" s="171"/>
      <c r="AQ95" s="171"/>
      <c r="AR95" s="3"/>
      <c r="AS95" s="3"/>
      <c r="AT95" s="3"/>
      <c r="AU95" s="161">
        <f t="shared" si="31"/>
        <v>0</v>
      </c>
      <c r="AV95" s="3"/>
      <c r="AW95" s="168">
        <f t="shared" si="34"/>
        <v>400000</v>
      </c>
    </row>
    <row r="96" spans="1:49" s="5" customFormat="1" ht="30" customHeight="1">
      <c r="A96" s="160">
        <f t="shared" si="30"/>
        <v>91</v>
      </c>
      <c r="B96" s="30">
        <v>2202</v>
      </c>
      <c r="C96" s="3" t="s">
        <v>711</v>
      </c>
      <c r="D96" s="4">
        <v>1000000</v>
      </c>
      <c r="E96" s="4"/>
      <c r="F96" s="4">
        <f t="shared" si="20"/>
        <v>1000000</v>
      </c>
      <c r="G96" s="4"/>
      <c r="H96" s="4"/>
      <c r="I96" s="4"/>
      <c r="J96" s="4"/>
      <c r="K96" s="4">
        <f t="shared" si="35"/>
        <v>0</v>
      </c>
      <c r="L96" s="161">
        <f t="shared" si="21"/>
        <v>0</v>
      </c>
      <c r="M96" s="161">
        <f t="shared" si="33"/>
        <v>0</v>
      </c>
      <c r="N96" s="4">
        <v>1000000</v>
      </c>
      <c r="O96" s="4">
        <f t="shared" si="23"/>
        <v>0</v>
      </c>
      <c r="P96" s="4">
        <f t="shared" si="24"/>
        <v>0</v>
      </c>
      <c r="Q96" s="4"/>
      <c r="R96" s="4"/>
      <c r="S96" s="161">
        <f t="shared" ref="S96:S104" si="36">SUM(Q96:R96)</f>
        <v>0</v>
      </c>
      <c r="T96" s="161">
        <f t="shared" ref="T96:T104" si="37">P96-M96+S96</f>
        <v>0</v>
      </c>
      <c r="U96" s="161">
        <f t="shared" ref="U96:U104" si="38">N96-T96</f>
        <v>1000000</v>
      </c>
      <c r="V96" s="161">
        <f t="shared" ref="V96:V104" si="39">U96-Z96-X96-AA96-W96</f>
        <v>1000000</v>
      </c>
      <c r="W96" s="4"/>
      <c r="X96" s="4"/>
      <c r="Y96" s="4"/>
      <c r="Z96" s="4"/>
      <c r="AA96" s="4"/>
      <c r="AB96" s="3" t="s">
        <v>1973</v>
      </c>
      <c r="AC96" s="386">
        <v>810000</v>
      </c>
      <c r="AD96" s="331"/>
      <c r="AE96" s="331"/>
      <c r="AF96" s="161">
        <v>100000</v>
      </c>
      <c r="AG96" s="161"/>
      <c r="AH96" s="161"/>
      <c r="AI96" s="161"/>
      <c r="AJ96" s="161"/>
      <c r="AK96" s="161"/>
      <c r="AL96" s="161">
        <v>900000</v>
      </c>
      <c r="AM96" s="161">
        <f t="shared" si="27"/>
        <v>1000000</v>
      </c>
      <c r="AN96" s="161">
        <f t="shared" si="28"/>
        <v>0</v>
      </c>
      <c r="AO96" s="161">
        <f t="shared" si="29"/>
        <v>1000000</v>
      </c>
      <c r="AP96" s="171"/>
      <c r="AQ96" s="171"/>
      <c r="AR96" s="3"/>
      <c r="AS96" s="3"/>
      <c r="AT96" s="3"/>
      <c r="AU96" s="161">
        <f t="shared" si="31"/>
        <v>0</v>
      </c>
      <c r="AV96" s="3"/>
      <c r="AW96" s="168">
        <f t="shared" si="34"/>
        <v>900000</v>
      </c>
    </row>
    <row r="97" spans="1:49" s="5" customFormat="1" ht="30" customHeight="1">
      <c r="A97" s="160">
        <f t="shared" si="30"/>
        <v>92</v>
      </c>
      <c r="B97" s="30">
        <v>2203</v>
      </c>
      <c r="C97" s="3" t="s">
        <v>712</v>
      </c>
      <c r="D97" s="4">
        <v>1000000</v>
      </c>
      <c r="E97" s="4"/>
      <c r="F97" s="4">
        <f t="shared" si="20"/>
        <v>1000000</v>
      </c>
      <c r="G97" s="4"/>
      <c r="H97" s="4"/>
      <c r="I97" s="4"/>
      <c r="J97" s="4"/>
      <c r="K97" s="4">
        <f t="shared" si="35"/>
        <v>0</v>
      </c>
      <c r="L97" s="161">
        <f t="shared" si="21"/>
        <v>0</v>
      </c>
      <c r="M97" s="161">
        <f t="shared" si="33"/>
        <v>0</v>
      </c>
      <c r="N97" s="4">
        <v>1000000</v>
      </c>
      <c r="O97" s="4">
        <f t="shared" si="23"/>
        <v>0</v>
      </c>
      <c r="P97" s="4">
        <f t="shared" si="24"/>
        <v>0</v>
      </c>
      <c r="Q97" s="4"/>
      <c r="R97" s="4"/>
      <c r="S97" s="161">
        <f t="shared" si="36"/>
        <v>0</v>
      </c>
      <c r="T97" s="161">
        <f t="shared" si="37"/>
        <v>0</v>
      </c>
      <c r="U97" s="161">
        <f t="shared" si="38"/>
        <v>1000000</v>
      </c>
      <c r="V97" s="161">
        <f t="shared" si="39"/>
        <v>1000000</v>
      </c>
      <c r="W97" s="4"/>
      <c r="X97" s="4"/>
      <c r="Y97" s="4"/>
      <c r="Z97" s="4"/>
      <c r="AA97" s="4"/>
      <c r="AB97" s="3" t="s">
        <v>1974</v>
      </c>
      <c r="AC97" s="397">
        <v>829000</v>
      </c>
      <c r="AD97" s="331"/>
      <c r="AE97" s="331"/>
      <c r="AF97" s="161">
        <v>100000</v>
      </c>
      <c r="AG97" s="161"/>
      <c r="AH97" s="161"/>
      <c r="AI97" s="161"/>
      <c r="AJ97" s="161"/>
      <c r="AK97" s="161"/>
      <c r="AL97" s="161">
        <v>900000</v>
      </c>
      <c r="AM97" s="161">
        <f t="shared" si="27"/>
        <v>1000000</v>
      </c>
      <c r="AN97" s="161">
        <f t="shared" si="28"/>
        <v>0</v>
      </c>
      <c r="AO97" s="161">
        <f t="shared" si="29"/>
        <v>1000000</v>
      </c>
      <c r="AP97" s="171"/>
      <c r="AQ97" s="171"/>
      <c r="AR97" s="3"/>
      <c r="AS97" s="3"/>
      <c r="AT97" s="3"/>
      <c r="AU97" s="161">
        <f t="shared" si="31"/>
        <v>0</v>
      </c>
      <c r="AV97" s="3"/>
      <c r="AW97" s="168">
        <f t="shared" si="34"/>
        <v>900000</v>
      </c>
    </row>
    <row r="98" spans="1:49" s="5" customFormat="1" ht="30" customHeight="1">
      <c r="A98" s="160">
        <f t="shared" si="30"/>
        <v>93</v>
      </c>
      <c r="B98" s="30">
        <v>2204</v>
      </c>
      <c r="C98" s="3" t="s">
        <v>713</v>
      </c>
      <c r="D98" s="4">
        <v>800000</v>
      </c>
      <c r="E98" s="4"/>
      <c r="F98" s="4">
        <f t="shared" si="20"/>
        <v>800000</v>
      </c>
      <c r="G98" s="4"/>
      <c r="H98" s="4"/>
      <c r="I98" s="4"/>
      <c r="J98" s="4"/>
      <c r="K98" s="4">
        <f t="shared" si="35"/>
        <v>0</v>
      </c>
      <c r="L98" s="161">
        <f t="shared" si="21"/>
        <v>0</v>
      </c>
      <c r="M98" s="161">
        <f t="shared" si="33"/>
        <v>0</v>
      </c>
      <c r="N98" s="4">
        <v>800000</v>
      </c>
      <c r="O98" s="4">
        <f t="shared" si="23"/>
        <v>0</v>
      </c>
      <c r="P98" s="4">
        <f t="shared" si="24"/>
        <v>0</v>
      </c>
      <c r="Q98" s="4"/>
      <c r="R98" s="4"/>
      <c r="S98" s="161">
        <f t="shared" si="36"/>
        <v>0</v>
      </c>
      <c r="T98" s="161">
        <f t="shared" si="37"/>
        <v>0</v>
      </c>
      <c r="U98" s="161">
        <f t="shared" si="38"/>
        <v>800000</v>
      </c>
      <c r="V98" s="161">
        <f t="shared" si="39"/>
        <v>800000</v>
      </c>
      <c r="W98" s="4"/>
      <c r="X98" s="4"/>
      <c r="Y98" s="4"/>
      <c r="Z98" s="4"/>
      <c r="AA98" s="4"/>
      <c r="AB98" s="3" t="s">
        <v>1975</v>
      </c>
      <c r="AC98" s="386">
        <v>810000</v>
      </c>
      <c r="AD98" s="331"/>
      <c r="AE98" s="331"/>
      <c r="AF98" s="161">
        <v>100000</v>
      </c>
      <c r="AG98" s="161"/>
      <c r="AH98" s="161"/>
      <c r="AI98" s="161"/>
      <c r="AJ98" s="161"/>
      <c r="AK98" s="161"/>
      <c r="AL98" s="161">
        <v>700000</v>
      </c>
      <c r="AM98" s="161">
        <f t="shared" si="27"/>
        <v>800000</v>
      </c>
      <c r="AN98" s="161">
        <f t="shared" si="28"/>
        <v>0</v>
      </c>
      <c r="AO98" s="161">
        <f t="shared" si="29"/>
        <v>800000</v>
      </c>
      <c r="AP98" s="171"/>
      <c r="AQ98" s="171"/>
      <c r="AR98" s="3"/>
      <c r="AS98" s="3"/>
      <c r="AT98" s="3"/>
      <c r="AU98" s="161">
        <f t="shared" si="31"/>
        <v>0</v>
      </c>
      <c r="AV98" s="3"/>
      <c r="AW98" s="168">
        <f t="shared" si="34"/>
        <v>700000</v>
      </c>
    </row>
    <row r="99" spans="1:49" s="5" customFormat="1" ht="30" customHeight="1">
      <c r="A99" s="160">
        <f t="shared" si="30"/>
        <v>94</v>
      </c>
      <c r="B99" s="30">
        <v>2205</v>
      </c>
      <c r="C99" s="3" t="s">
        <v>647</v>
      </c>
      <c r="D99" s="4">
        <v>16000000</v>
      </c>
      <c r="E99" s="4"/>
      <c r="F99" s="4">
        <f t="shared" si="20"/>
        <v>16000000</v>
      </c>
      <c r="G99" s="4"/>
      <c r="H99" s="4"/>
      <c r="I99" s="4"/>
      <c r="J99" s="4"/>
      <c r="K99" s="4">
        <f t="shared" si="35"/>
        <v>0</v>
      </c>
      <c r="L99" s="161">
        <f t="shared" si="21"/>
        <v>0</v>
      </c>
      <c r="M99" s="161">
        <f t="shared" si="33"/>
        <v>0</v>
      </c>
      <c r="N99" s="4">
        <v>500000</v>
      </c>
      <c r="O99" s="4">
        <f t="shared" si="23"/>
        <v>15500000</v>
      </c>
      <c r="P99" s="4">
        <f t="shared" si="24"/>
        <v>0</v>
      </c>
      <c r="Q99" s="4"/>
      <c r="R99" s="4"/>
      <c r="S99" s="161">
        <f t="shared" si="36"/>
        <v>0</v>
      </c>
      <c r="T99" s="161">
        <f t="shared" si="37"/>
        <v>0</v>
      </c>
      <c r="U99" s="161">
        <f t="shared" si="38"/>
        <v>500000</v>
      </c>
      <c r="V99" s="161">
        <f t="shared" si="39"/>
        <v>500000</v>
      </c>
      <c r="W99" s="4"/>
      <c r="X99" s="4"/>
      <c r="Y99" s="4"/>
      <c r="Z99" s="4"/>
      <c r="AA99" s="4"/>
      <c r="AB99" s="32" t="s">
        <v>1976</v>
      </c>
      <c r="AC99" s="386">
        <v>810000</v>
      </c>
      <c r="AD99" s="331"/>
      <c r="AE99" s="331"/>
      <c r="AF99" s="161">
        <v>100000</v>
      </c>
      <c r="AG99" s="161"/>
      <c r="AH99" s="161"/>
      <c r="AI99" s="161"/>
      <c r="AJ99" s="161">
        <v>50000</v>
      </c>
      <c r="AK99" s="161"/>
      <c r="AL99" s="161">
        <f>350000-50000</f>
        <v>300000</v>
      </c>
      <c r="AM99" s="161">
        <f t="shared" si="27"/>
        <v>450000</v>
      </c>
      <c r="AN99" s="161">
        <f t="shared" si="28"/>
        <v>50000</v>
      </c>
      <c r="AO99" s="161">
        <f t="shared" si="29"/>
        <v>450000</v>
      </c>
      <c r="AP99" s="171"/>
      <c r="AQ99" s="171"/>
      <c r="AR99" s="3"/>
      <c r="AS99" s="3"/>
      <c r="AT99" s="3"/>
      <c r="AU99" s="161">
        <f t="shared" si="31"/>
        <v>50000</v>
      </c>
      <c r="AV99" s="3"/>
      <c r="AW99" s="168">
        <f t="shared" si="34"/>
        <v>300000</v>
      </c>
    </row>
    <row r="100" spans="1:49" s="5" customFormat="1" ht="30" customHeight="1">
      <c r="A100" s="160">
        <f t="shared" si="30"/>
        <v>95</v>
      </c>
      <c r="B100" s="30">
        <v>2206</v>
      </c>
      <c r="C100" s="3" t="s">
        <v>714</v>
      </c>
      <c r="D100" s="4">
        <v>1000000</v>
      </c>
      <c r="E100" s="4"/>
      <c r="F100" s="4">
        <f t="shared" si="20"/>
        <v>1000000</v>
      </c>
      <c r="G100" s="4"/>
      <c r="H100" s="4"/>
      <c r="I100" s="4"/>
      <c r="J100" s="4"/>
      <c r="K100" s="4">
        <f t="shared" si="35"/>
        <v>0</v>
      </c>
      <c r="L100" s="161">
        <f t="shared" si="21"/>
        <v>0</v>
      </c>
      <c r="M100" s="161">
        <f t="shared" si="33"/>
        <v>0</v>
      </c>
      <c r="N100" s="4">
        <v>1000000</v>
      </c>
      <c r="O100" s="4">
        <f t="shared" si="23"/>
        <v>0</v>
      </c>
      <c r="P100" s="4">
        <f t="shared" si="24"/>
        <v>0</v>
      </c>
      <c r="Q100" s="4"/>
      <c r="R100" s="4"/>
      <c r="S100" s="161">
        <f t="shared" si="36"/>
        <v>0</v>
      </c>
      <c r="T100" s="161">
        <f t="shared" si="37"/>
        <v>0</v>
      </c>
      <c r="U100" s="161">
        <f t="shared" si="38"/>
        <v>1000000</v>
      </c>
      <c r="V100" s="161">
        <f t="shared" si="39"/>
        <v>1000000</v>
      </c>
      <c r="W100" s="4"/>
      <c r="X100" s="4"/>
      <c r="Y100" s="4"/>
      <c r="Z100" s="4"/>
      <c r="AA100" s="4"/>
      <c r="AB100" s="32" t="s">
        <v>1977</v>
      </c>
      <c r="AC100" s="386">
        <v>810000</v>
      </c>
      <c r="AD100" s="331"/>
      <c r="AE100" s="331"/>
      <c r="AF100" s="331"/>
      <c r="AG100" s="331"/>
      <c r="AH100" s="161">
        <v>200000</v>
      </c>
      <c r="AI100" s="161"/>
      <c r="AJ100" s="161"/>
      <c r="AK100" s="161"/>
      <c r="AL100" s="161">
        <v>800000</v>
      </c>
      <c r="AM100" s="161">
        <f t="shared" si="27"/>
        <v>1000000</v>
      </c>
      <c r="AN100" s="161">
        <f t="shared" si="28"/>
        <v>0</v>
      </c>
      <c r="AO100" s="161">
        <f t="shared" si="29"/>
        <v>1000000</v>
      </c>
      <c r="AP100" s="171"/>
      <c r="AQ100" s="171"/>
      <c r="AR100" s="3"/>
      <c r="AS100" s="3"/>
      <c r="AT100" s="3"/>
      <c r="AU100" s="161">
        <f t="shared" si="31"/>
        <v>0</v>
      </c>
      <c r="AV100" s="3"/>
      <c r="AW100" s="168">
        <f t="shared" si="34"/>
        <v>800000</v>
      </c>
    </row>
    <row r="101" spans="1:49" s="5" customFormat="1" ht="30" customHeight="1">
      <c r="A101" s="160">
        <f t="shared" si="30"/>
        <v>96</v>
      </c>
      <c r="B101" s="30">
        <v>2207</v>
      </c>
      <c r="C101" s="3" t="s">
        <v>715</v>
      </c>
      <c r="D101" s="4">
        <v>500000</v>
      </c>
      <c r="E101" s="4"/>
      <c r="F101" s="4">
        <f t="shared" si="20"/>
        <v>500000</v>
      </c>
      <c r="G101" s="4">
        <v>0</v>
      </c>
      <c r="H101" s="4">
        <v>0</v>
      </c>
      <c r="I101" s="4">
        <v>0</v>
      </c>
      <c r="J101" s="4">
        <v>0</v>
      </c>
      <c r="K101" s="4">
        <f t="shared" si="35"/>
        <v>0</v>
      </c>
      <c r="L101" s="161">
        <f t="shared" si="21"/>
        <v>0</v>
      </c>
      <c r="M101" s="161">
        <f t="shared" si="33"/>
        <v>0</v>
      </c>
      <c r="N101" s="4">
        <v>500000</v>
      </c>
      <c r="O101" s="4">
        <f t="shared" si="23"/>
        <v>0</v>
      </c>
      <c r="P101" s="4">
        <f t="shared" si="24"/>
        <v>0</v>
      </c>
      <c r="Q101" s="4"/>
      <c r="R101" s="4"/>
      <c r="S101" s="161">
        <f t="shared" si="36"/>
        <v>0</v>
      </c>
      <c r="T101" s="161">
        <f t="shared" si="37"/>
        <v>0</v>
      </c>
      <c r="U101" s="161">
        <f t="shared" si="38"/>
        <v>500000</v>
      </c>
      <c r="V101" s="161">
        <f t="shared" si="39"/>
        <v>500000</v>
      </c>
      <c r="W101" s="4"/>
      <c r="X101" s="4"/>
      <c r="Y101" s="4"/>
      <c r="Z101" s="4"/>
      <c r="AA101" s="4"/>
      <c r="AB101" s="3" t="s">
        <v>839</v>
      </c>
      <c r="AC101" s="397">
        <v>850000</v>
      </c>
      <c r="AD101" s="331"/>
      <c r="AE101" s="331"/>
      <c r="AF101" s="161"/>
      <c r="AG101" s="161"/>
      <c r="AH101" s="161"/>
      <c r="AI101" s="161"/>
      <c r="AJ101" s="161"/>
      <c r="AK101" s="161">
        <v>100000</v>
      </c>
      <c r="AL101" s="161">
        <v>400000</v>
      </c>
      <c r="AM101" s="161">
        <f t="shared" si="27"/>
        <v>500000</v>
      </c>
      <c r="AN101" s="161">
        <f t="shared" si="28"/>
        <v>0</v>
      </c>
      <c r="AO101" s="161">
        <f t="shared" si="29"/>
        <v>500000</v>
      </c>
      <c r="AP101" s="171"/>
      <c r="AQ101" s="171"/>
      <c r="AR101" s="3"/>
      <c r="AS101" s="3"/>
      <c r="AT101" s="3"/>
      <c r="AU101" s="161">
        <f t="shared" si="31"/>
        <v>0</v>
      </c>
      <c r="AV101" s="166" t="s">
        <v>1954</v>
      </c>
      <c r="AW101" s="168">
        <f t="shared" si="34"/>
        <v>400000</v>
      </c>
    </row>
    <row r="102" spans="1:49" s="5" customFormat="1" ht="30" customHeight="1">
      <c r="A102" s="160">
        <f t="shared" si="30"/>
        <v>97</v>
      </c>
      <c r="B102" s="30">
        <v>2208</v>
      </c>
      <c r="C102" s="3" t="s">
        <v>716</v>
      </c>
      <c r="D102" s="4">
        <v>500000</v>
      </c>
      <c r="E102" s="4"/>
      <c r="F102" s="4">
        <f t="shared" si="20"/>
        <v>500000</v>
      </c>
      <c r="G102" s="4">
        <v>0</v>
      </c>
      <c r="H102" s="4">
        <v>0</v>
      </c>
      <c r="I102" s="4">
        <v>0</v>
      </c>
      <c r="J102" s="4">
        <v>0</v>
      </c>
      <c r="K102" s="4">
        <f t="shared" si="35"/>
        <v>0</v>
      </c>
      <c r="L102" s="161">
        <f t="shared" si="21"/>
        <v>0</v>
      </c>
      <c r="M102" s="161">
        <f t="shared" si="33"/>
        <v>0</v>
      </c>
      <c r="N102" s="4">
        <v>500000</v>
      </c>
      <c r="O102" s="4">
        <f t="shared" si="23"/>
        <v>0</v>
      </c>
      <c r="P102" s="4">
        <f t="shared" si="24"/>
        <v>0</v>
      </c>
      <c r="Q102" s="4"/>
      <c r="R102" s="4"/>
      <c r="S102" s="161">
        <f t="shared" si="36"/>
        <v>0</v>
      </c>
      <c r="T102" s="161">
        <f t="shared" si="37"/>
        <v>0</v>
      </c>
      <c r="U102" s="161">
        <f t="shared" si="38"/>
        <v>500000</v>
      </c>
      <c r="V102" s="161">
        <f t="shared" si="39"/>
        <v>500000</v>
      </c>
      <c r="W102" s="4"/>
      <c r="X102" s="4"/>
      <c r="Y102" s="4"/>
      <c r="Z102" s="4"/>
      <c r="AA102" s="4"/>
      <c r="AB102" s="3" t="s">
        <v>840</v>
      </c>
      <c r="AC102" s="397">
        <v>850000</v>
      </c>
      <c r="AD102" s="331"/>
      <c r="AE102" s="331"/>
      <c r="AF102" s="161"/>
      <c r="AG102" s="161"/>
      <c r="AH102" s="161"/>
      <c r="AI102" s="161"/>
      <c r="AJ102" s="161"/>
      <c r="AK102" s="161">
        <v>100000</v>
      </c>
      <c r="AL102" s="161">
        <v>400000</v>
      </c>
      <c r="AM102" s="161">
        <f t="shared" si="27"/>
        <v>500000</v>
      </c>
      <c r="AN102" s="161">
        <f t="shared" si="28"/>
        <v>0</v>
      </c>
      <c r="AO102" s="161">
        <f t="shared" si="29"/>
        <v>500000</v>
      </c>
      <c r="AP102" s="171"/>
      <c r="AQ102" s="171"/>
      <c r="AR102" s="3"/>
      <c r="AS102" s="3"/>
      <c r="AT102" s="3"/>
      <c r="AU102" s="161">
        <f t="shared" si="31"/>
        <v>0</v>
      </c>
      <c r="AV102" s="166" t="s">
        <v>1954</v>
      </c>
      <c r="AW102" s="168">
        <f t="shared" si="34"/>
        <v>400000</v>
      </c>
    </row>
    <row r="103" spans="1:49" s="5" customFormat="1" ht="30" customHeight="1">
      <c r="A103" s="160">
        <f t="shared" si="30"/>
        <v>98</v>
      </c>
      <c r="B103" s="30">
        <v>2209</v>
      </c>
      <c r="C103" s="3" t="s">
        <v>717</v>
      </c>
      <c r="D103" s="4">
        <v>500000</v>
      </c>
      <c r="E103" s="4"/>
      <c r="F103" s="4">
        <f t="shared" si="20"/>
        <v>500000</v>
      </c>
      <c r="G103" s="4">
        <v>0</v>
      </c>
      <c r="H103" s="4">
        <v>0</v>
      </c>
      <c r="I103" s="4">
        <v>0</v>
      </c>
      <c r="J103" s="4">
        <v>0</v>
      </c>
      <c r="K103" s="4">
        <f t="shared" si="35"/>
        <v>0</v>
      </c>
      <c r="L103" s="161">
        <f t="shared" si="21"/>
        <v>0</v>
      </c>
      <c r="M103" s="161">
        <f t="shared" si="33"/>
        <v>0</v>
      </c>
      <c r="N103" s="4">
        <v>500000</v>
      </c>
      <c r="O103" s="4">
        <f t="shared" si="23"/>
        <v>0</v>
      </c>
      <c r="P103" s="4">
        <f t="shared" si="24"/>
        <v>0</v>
      </c>
      <c r="Q103" s="4"/>
      <c r="R103" s="4"/>
      <c r="S103" s="161">
        <f t="shared" si="36"/>
        <v>0</v>
      </c>
      <c r="T103" s="161">
        <f t="shared" si="37"/>
        <v>0</v>
      </c>
      <c r="U103" s="161">
        <f t="shared" si="38"/>
        <v>500000</v>
      </c>
      <c r="V103" s="161">
        <f t="shared" si="39"/>
        <v>500000</v>
      </c>
      <c r="W103" s="4"/>
      <c r="X103" s="4"/>
      <c r="Y103" s="4"/>
      <c r="Z103" s="4"/>
      <c r="AA103" s="4"/>
      <c r="AB103" s="569" t="s">
        <v>1978</v>
      </c>
      <c r="AC103" s="386">
        <v>810000</v>
      </c>
      <c r="AD103" s="331"/>
      <c r="AE103" s="331"/>
      <c r="AF103" s="161">
        <v>100000</v>
      </c>
      <c r="AG103" s="161"/>
      <c r="AH103" s="161"/>
      <c r="AI103" s="161"/>
      <c r="AJ103" s="161">
        <v>50000</v>
      </c>
      <c r="AK103" s="161"/>
      <c r="AL103" s="161">
        <v>350000</v>
      </c>
      <c r="AM103" s="161">
        <f t="shared" si="27"/>
        <v>500000</v>
      </c>
      <c r="AN103" s="161">
        <f t="shared" si="28"/>
        <v>0</v>
      </c>
      <c r="AO103" s="161">
        <f t="shared" si="29"/>
        <v>500000</v>
      </c>
      <c r="AP103" s="171"/>
      <c r="AQ103" s="171"/>
      <c r="AR103" s="3"/>
      <c r="AS103" s="3"/>
      <c r="AT103" s="3"/>
      <c r="AU103" s="161">
        <f t="shared" si="31"/>
        <v>0</v>
      </c>
      <c r="AV103" s="166" t="s">
        <v>1960</v>
      </c>
      <c r="AW103" s="168">
        <f t="shared" si="34"/>
        <v>350000</v>
      </c>
    </row>
    <row r="104" spans="1:49" s="5" customFormat="1" ht="30" customHeight="1">
      <c r="A104" s="160">
        <f t="shared" si="30"/>
        <v>99</v>
      </c>
      <c r="B104" s="30">
        <v>2210</v>
      </c>
      <c r="C104" s="3" t="s">
        <v>2263</v>
      </c>
      <c r="D104" s="4">
        <v>1000000</v>
      </c>
      <c r="E104" s="4"/>
      <c r="F104" s="4">
        <f t="shared" si="20"/>
        <v>1000000</v>
      </c>
      <c r="G104" s="4">
        <v>0</v>
      </c>
      <c r="H104" s="4">
        <v>0</v>
      </c>
      <c r="I104" s="4">
        <v>0</v>
      </c>
      <c r="J104" s="4">
        <v>0</v>
      </c>
      <c r="K104" s="4">
        <f t="shared" si="35"/>
        <v>0</v>
      </c>
      <c r="L104" s="161">
        <f t="shared" si="21"/>
        <v>0</v>
      </c>
      <c r="M104" s="161">
        <f t="shared" si="33"/>
        <v>0</v>
      </c>
      <c r="N104" s="4">
        <f>1000000-500000</f>
        <v>500000</v>
      </c>
      <c r="O104" s="4">
        <f t="shared" si="23"/>
        <v>500000</v>
      </c>
      <c r="P104" s="4">
        <f t="shared" si="24"/>
        <v>0</v>
      </c>
      <c r="Q104" s="4"/>
      <c r="R104" s="4"/>
      <c r="S104" s="161">
        <f t="shared" si="36"/>
        <v>0</v>
      </c>
      <c r="T104" s="161">
        <f t="shared" si="37"/>
        <v>0</v>
      </c>
      <c r="U104" s="161">
        <f t="shared" si="38"/>
        <v>500000</v>
      </c>
      <c r="V104" s="161">
        <f t="shared" si="39"/>
        <v>500000</v>
      </c>
      <c r="W104" s="4"/>
      <c r="X104" s="4"/>
      <c r="Y104" s="4"/>
      <c r="Z104" s="4"/>
      <c r="AA104" s="4"/>
      <c r="AB104" s="3" t="s">
        <v>1979</v>
      </c>
      <c r="AC104" s="386">
        <v>810000</v>
      </c>
      <c r="AD104" s="331"/>
      <c r="AE104" s="331"/>
      <c r="AF104" s="161">
        <v>100000</v>
      </c>
      <c r="AG104" s="161"/>
      <c r="AH104" s="161"/>
      <c r="AI104" s="161"/>
      <c r="AJ104" s="161"/>
      <c r="AK104" s="161"/>
      <c r="AL104" s="161"/>
      <c r="AM104" s="161">
        <f t="shared" si="27"/>
        <v>100000</v>
      </c>
      <c r="AN104" s="161">
        <f t="shared" si="28"/>
        <v>400000</v>
      </c>
      <c r="AO104" s="161">
        <f t="shared" si="29"/>
        <v>100000</v>
      </c>
      <c r="AP104" s="171"/>
      <c r="AQ104" s="171"/>
      <c r="AR104" s="3"/>
      <c r="AS104" s="3"/>
      <c r="AT104" s="3"/>
      <c r="AU104" s="161">
        <f t="shared" si="31"/>
        <v>400000</v>
      </c>
      <c r="AV104" s="3" t="s">
        <v>1980</v>
      </c>
      <c r="AW104" s="168">
        <f t="shared" si="34"/>
        <v>0</v>
      </c>
    </row>
    <row r="105" spans="1:49" s="271" customFormat="1" ht="30" customHeight="1">
      <c r="A105" s="166"/>
      <c r="B105" s="270"/>
      <c r="C105" s="166" t="s">
        <v>204</v>
      </c>
      <c r="D105" s="168">
        <f>SUM(D6:D104)</f>
        <v>1995546982</v>
      </c>
      <c r="E105" s="168">
        <f t="shared" ref="E105:AT105" si="40">SUM(E6:E104)</f>
        <v>1793014125</v>
      </c>
      <c r="F105" s="168">
        <f t="shared" si="40"/>
        <v>202532857</v>
      </c>
      <c r="G105" s="168">
        <f t="shared" si="40"/>
        <v>946006287</v>
      </c>
      <c r="H105" s="168">
        <f t="shared" si="40"/>
        <v>710389355</v>
      </c>
      <c r="I105" s="168">
        <f t="shared" si="40"/>
        <v>2556499</v>
      </c>
      <c r="J105" s="168">
        <f t="shared" si="40"/>
        <v>29563032</v>
      </c>
      <c r="K105" s="168">
        <f t="shared" si="40"/>
        <v>32119531</v>
      </c>
      <c r="L105" s="168">
        <f t="shared" si="40"/>
        <v>742508886</v>
      </c>
      <c r="M105" s="168">
        <f t="shared" si="40"/>
        <v>194548401</v>
      </c>
      <c r="N105" s="168">
        <f t="shared" si="40"/>
        <v>206220160</v>
      </c>
      <c r="O105" s="168">
        <f t="shared" si="40"/>
        <v>852269535</v>
      </c>
      <c r="P105" s="168">
        <f t="shared" si="40"/>
        <v>203497401</v>
      </c>
      <c r="Q105" s="168">
        <f t="shared" si="40"/>
        <v>0</v>
      </c>
      <c r="R105" s="168">
        <f t="shared" si="40"/>
        <v>0</v>
      </c>
      <c r="S105" s="168">
        <f t="shared" si="40"/>
        <v>0</v>
      </c>
      <c r="T105" s="168">
        <f t="shared" si="40"/>
        <v>8949000</v>
      </c>
      <c r="U105" s="168">
        <f t="shared" si="40"/>
        <v>197271160</v>
      </c>
      <c r="V105" s="168">
        <f t="shared" si="40"/>
        <v>172621888</v>
      </c>
      <c r="W105" s="168">
        <f t="shared" si="40"/>
        <v>0</v>
      </c>
      <c r="X105" s="168">
        <f t="shared" si="40"/>
        <v>0</v>
      </c>
      <c r="Y105" s="168">
        <f t="shared" si="40"/>
        <v>0</v>
      </c>
      <c r="Z105" s="168">
        <f t="shared" si="40"/>
        <v>0</v>
      </c>
      <c r="AA105" s="168">
        <f t="shared" si="40"/>
        <v>24649272</v>
      </c>
      <c r="AB105" s="168">
        <f t="shared" si="40"/>
        <v>0</v>
      </c>
      <c r="AC105" s="168">
        <f t="shared" si="40"/>
        <v>77423000</v>
      </c>
      <c r="AD105" s="168">
        <f t="shared" si="40"/>
        <v>0</v>
      </c>
      <c r="AE105" s="168">
        <f>SUM(AE6:AE104)</f>
        <v>0</v>
      </c>
      <c r="AF105" s="168">
        <f>SUM(AF6:AF104)</f>
        <v>4102160</v>
      </c>
      <c r="AG105" s="168">
        <f t="shared" si="40"/>
        <v>-1550000</v>
      </c>
      <c r="AH105" s="168">
        <f>SUM(AH6:AH104)</f>
        <v>7700000</v>
      </c>
      <c r="AI105" s="168">
        <f>SUM(AI6:AI104)</f>
        <v>0</v>
      </c>
      <c r="AJ105" s="168">
        <f>SUM(AJ6:AJ104)</f>
        <v>2100000</v>
      </c>
      <c r="AK105" s="168">
        <f>SUM(AK6:AK104)</f>
        <v>5914328</v>
      </c>
      <c r="AL105" s="168">
        <f>SUM(AL6:AL104)</f>
        <v>125060000</v>
      </c>
      <c r="AM105" s="168">
        <f t="shared" si="40"/>
        <v>143326488</v>
      </c>
      <c r="AN105" s="168">
        <f t="shared" si="40"/>
        <v>53944672</v>
      </c>
      <c r="AO105" s="168">
        <f t="shared" si="40"/>
        <v>143161152</v>
      </c>
      <c r="AP105" s="168">
        <f t="shared" si="40"/>
        <v>0</v>
      </c>
      <c r="AQ105" s="168">
        <f t="shared" si="40"/>
        <v>0</v>
      </c>
      <c r="AR105" s="168">
        <f t="shared" si="40"/>
        <v>0</v>
      </c>
      <c r="AS105" s="168">
        <f t="shared" si="40"/>
        <v>0</v>
      </c>
      <c r="AT105" s="168">
        <f t="shared" si="40"/>
        <v>165336</v>
      </c>
      <c r="AU105" s="376"/>
      <c r="AV105" s="376"/>
      <c r="AW105" s="168">
        <f>SUM(AW6:AW104)</f>
        <v>125060000</v>
      </c>
    </row>
    <row r="106" spans="1:49" s="271" customFormat="1" ht="30" customHeight="1">
      <c r="A106" s="166"/>
      <c r="B106" s="270"/>
      <c r="C106" s="166"/>
      <c r="D106" s="168"/>
      <c r="E106" s="168"/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  <c r="P106" s="161">
        <f t="shared" si="24"/>
        <v>0</v>
      </c>
      <c r="Q106" s="168"/>
      <c r="R106" s="168"/>
      <c r="S106" s="168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375"/>
      <c r="AD106" s="331"/>
      <c r="AE106" s="331"/>
      <c r="AF106" s="331"/>
      <c r="AG106" s="331"/>
      <c r="AH106" s="331"/>
      <c r="AI106" s="331"/>
      <c r="AJ106" s="331"/>
      <c r="AK106" s="331"/>
      <c r="AL106" s="570"/>
      <c r="AM106" s="171"/>
      <c r="AN106" s="171"/>
      <c r="AO106" s="171"/>
      <c r="AP106" s="171"/>
      <c r="AQ106" s="171"/>
      <c r="AR106" s="376"/>
      <c r="AS106" s="376"/>
      <c r="AT106" s="376"/>
      <c r="AU106" s="376"/>
      <c r="AV106" s="376"/>
      <c r="AW106" s="376"/>
    </row>
    <row r="107" spans="1:49" s="271" customFormat="1" ht="30" customHeight="1">
      <c r="A107" s="166"/>
      <c r="B107" s="270"/>
      <c r="C107" s="166" t="s">
        <v>150</v>
      </c>
      <c r="D107" s="168"/>
      <c r="E107" s="168"/>
      <c r="F107" s="168"/>
      <c r="G107" s="168"/>
      <c r="H107" s="168"/>
      <c r="I107" s="168"/>
      <c r="J107" s="168"/>
      <c r="K107" s="168"/>
      <c r="L107" s="168"/>
      <c r="M107" s="168"/>
      <c r="N107" s="168"/>
      <c r="O107" s="168"/>
      <c r="P107" s="161">
        <f t="shared" si="24"/>
        <v>0</v>
      </c>
      <c r="Q107" s="168"/>
      <c r="R107" s="168"/>
      <c r="S107" s="168"/>
      <c r="T107" s="168"/>
      <c r="U107" s="168"/>
      <c r="V107" s="168"/>
      <c r="W107" s="168"/>
      <c r="X107" s="168"/>
      <c r="Y107" s="168"/>
      <c r="Z107" s="168"/>
      <c r="AA107" s="168"/>
      <c r="AB107" s="157"/>
      <c r="AC107" s="396"/>
      <c r="AD107" s="331"/>
      <c r="AE107" s="331"/>
      <c r="AF107" s="331"/>
      <c r="AG107" s="331"/>
      <c r="AH107" s="331"/>
      <c r="AI107" s="331"/>
      <c r="AJ107" s="331"/>
      <c r="AK107" s="331"/>
      <c r="AL107" s="570"/>
      <c r="AM107" s="171"/>
      <c r="AN107" s="171"/>
      <c r="AO107" s="171"/>
      <c r="AP107" s="171"/>
      <c r="AQ107" s="171"/>
      <c r="AR107" s="376"/>
      <c r="AS107" s="376"/>
      <c r="AT107" s="376"/>
      <c r="AU107" s="376"/>
      <c r="AV107" s="571"/>
      <c r="AW107" s="376"/>
    </row>
    <row r="108" spans="1:49" s="164" customFormat="1" ht="30" customHeight="1">
      <c r="A108" s="160">
        <f>A104+1</f>
        <v>100</v>
      </c>
      <c r="B108" s="160">
        <v>1547</v>
      </c>
      <c r="C108" s="160" t="s">
        <v>526</v>
      </c>
      <c r="D108" s="161">
        <v>144000000</v>
      </c>
      <c r="E108" s="161">
        <v>144000000</v>
      </c>
      <c r="F108" s="161">
        <f t="shared" ref="F108:F120" si="41">D108-E108</f>
        <v>0</v>
      </c>
      <c r="G108" s="161">
        <v>144000000</v>
      </c>
      <c r="H108" s="161">
        <v>103040054</v>
      </c>
      <c r="I108" s="161">
        <v>941728</v>
      </c>
      <c r="J108" s="161">
        <v>243985</v>
      </c>
      <c r="K108" s="161">
        <f t="shared" ref="K108:K120" si="42">SUM(I108:J108)</f>
        <v>1185713</v>
      </c>
      <c r="L108" s="161">
        <f t="shared" ref="L108:L120" si="43">K108+H108</f>
        <v>104225767</v>
      </c>
      <c r="M108" s="161">
        <f>P108+S108-30000000</f>
        <v>9774233</v>
      </c>
      <c r="N108" s="161"/>
      <c r="O108" s="161">
        <f t="shared" ref="O108:O120" si="44">D108-L108-M108-N108</f>
        <v>30000000</v>
      </c>
      <c r="P108" s="161">
        <f t="shared" si="24"/>
        <v>39774233</v>
      </c>
      <c r="Q108" s="161"/>
      <c r="R108" s="161"/>
      <c r="S108" s="161">
        <f>SUM(Q108:R108)</f>
        <v>0</v>
      </c>
      <c r="T108" s="161">
        <f>P108-M108+S108</f>
        <v>30000000</v>
      </c>
      <c r="U108" s="161">
        <f>N108-T108</f>
        <v>-30000000</v>
      </c>
      <c r="V108" s="161">
        <f>U108-Z108-X108-AA108-W108-Y108</f>
        <v>-15000000</v>
      </c>
      <c r="W108" s="161"/>
      <c r="X108" s="161"/>
      <c r="Y108" s="161">
        <v>-15000000</v>
      </c>
      <c r="Z108" s="161"/>
      <c r="AA108" s="336"/>
      <c r="AB108" s="160" t="s">
        <v>429</v>
      </c>
      <c r="AC108" s="394">
        <v>742000</v>
      </c>
      <c r="AD108" s="331"/>
      <c r="AE108" s="331"/>
      <c r="AF108" s="331"/>
      <c r="AG108" s="331"/>
      <c r="AH108" s="161">
        <v>-30000000</v>
      </c>
      <c r="AI108" s="331"/>
      <c r="AJ108" s="331"/>
      <c r="AK108" s="331"/>
      <c r="AL108" s="331"/>
      <c r="AM108" s="161">
        <f t="shared" ref="AM108:AM120" si="45">SUM(AD108:AL108)</f>
        <v>-30000000</v>
      </c>
      <c r="AN108" s="161">
        <f>U108-AM108</f>
        <v>0</v>
      </c>
      <c r="AO108" s="161">
        <f t="shared" ref="AO108:AO120" si="46">AM108-AP108-AQ108-AR108-AS108-AT108</f>
        <v>-15000000</v>
      </c>
      <c r="AP108" s="171"/>
      <c r="AQ108" s="171"/>
      <c r="AR108" s="161">
        <v>-15000000</v>
      </c>
      <c r="AS108" s="160"/>
      <c r="AT108" s="160"/>
      <c r="AU108" s="161">
        <f t="shared" ref="AU108:AU120" si="47">AN108</f>
        <v>0</v>
      </c>
      <c r="AV108" s="161"/>
      <c r="AW108" s="160"/>
    </row>
    <row r="109" spans="1:49" ht="30" customHeight="1">
      <c r="A109" s="160">
        <f>A108+1</f>
        <v>101</v>
      </c>
      <c r="B109" s="267">
        <v>1827</v>
      </c>
      <c r="C109" s="160" t="s">
        <v>527</v>
      </c>
      <c r="D109" s="161">
        <v>100000000</v>
      </c>
      <c r="E109" s="161">
        <v>100000000</v>
      </c>
      <c r="F109" s="161">
        <f t="shared" si="41"/>
        <v>0</v>
      </c>
      <c r="G109" s="161">
        <f>68454164+15317465</f>
        <v>83771629</v>
      </c>
      <c r="H109" s="161">
        <v>69667842</v>
      </c>
      <c r="I109" s="161">
        <v>0</v>
      </c>
      <c r="J109" s="161">
        <v>4975071</v>
      </c>
      <c r="K109" s="161">
        <f t="shared" si="42"/>
        <v>4975071</v>
      </c>
      <c r="L109" s="161">
        <f t="shared" si="43"/>
        <v>74642913</v>
      </c>
      <c r="M109" s="161">
        <f t="shared" ref="M109:M120" si="48">P109+S109</f>
        <v>9128716</v>
      </c>
      <c r="N109" s="161">
        <f>16228375-4</f>
        <v>16228371</v>
      </c>
      <c r="O109" s="161">
        <f t="shared" si="44"/>
        <v>0</v>
      </c>
      <c r="P109" s="161">
        <f t="shared" si="24"/>
        <v>9128716</v>
      </c>
      <c r="Q109" s="161"/>
      <c r="R109" s="161"/>
      <c r="S109" s="161">
        <f t="shared" ref="S109:S120" si="49">SUM(Q109:R109)</f>
        <v>0</v>
      </c>
      <c r="T109" s="161">
        <f t="shared" ref="T109:T120" si="50">P109-M109+S109</f>
        <v>0</v>
      </c>
      <c r="U109" s="161">
        <f t="shared" ref="U109:U120" si="51">N109-T109</f>
        <v>16228371</v>
      </c>
      <c r="V109" s="161">
        <f t="shared" ref="V109:V120" si="52">U109-Z109-X109-AA109-W109-Y109</f>
        <v>0</v>
      </c>
      <c r="W109" s="161"/>
      <c r="X109" s="161"/>
      <c r="Y109" s="161"/>
      <c r="Z109" s="161"/>
      <c r="AA109" s="161">
        <v>16228371</v>
      </c>
      <c r="AB109" s="160" t="s">
        <v>429</v>
      </c>
      <c r="AC109" s="394">
        <v>746000</v>
      </c>
      <c r="AD109" s="331"/>
      <c r="AE109" s="331"/>
      <c r="AF109" s="331"/>
      <c r="AG109" s="331"/>
      <c r="AH109" s="331"/>
      <c r="AI109" s="331"/>
      <c r="AJ109" s="331"/>
      <c r="AK109" s="161">
        <v>12548673</v>
      </c>
      <c r="AL109" s="161"/>
      <c r="AM109" s="161">
        <f t="shared" si="45"/>
        <v>12548673</v>
      </c>
      <c r="AN109" s="161">
        <f t="shared" ref="AN109:AN120" si="53">U109-AM109</f>
        <v>3679698</v>
      </c>
      <c r="AO109" s="161">
        <f t="shared" si="46"/>
        <v>0</v>
      </c>
      <c r="AP109" s="171"/>
      <c r="AQ109" s="171"/>
      <c r="AR109" s="171"/>
      <c r="AS109" s="171"/>
      <c r="AT109" s="161">
        <v>12548673</v>
      </c>
      <c r="AU109" s="161">
        <f t="shared" si="47"/>
        <v>3679698</v>
      </c>
      <c r="AV109" s="171" t="s">
        <v>1981</v>
      </c>
      <c r="AW109" s="171"/>
    </row>
    <row r="110" spans="1:49" s="164" customFormat="1" ht="30" customHeight="1">
      <c r="A110" s="160">
        <f>A109+1</f>
        <v>102</v>
      </c>
      <c r="B110" s="160">
        <v>1905</v>
      </c>
      <c r="C110" s="160" t="s">
        <v>117</v>
      </c>
      <c r="D110" s="161">
        <v>3366000</v>
      </c>
      <c r="E110" s="161">
        <v>3366000</v>
      </c>
      <c r="F110" s="161">
        <f t="shared" si="41"/>
        <v>0</v>
      </c>
      <c r="G110" s="161">
        <v>3366000</v>
      </c>
      <c r="H110" s="161">
        <v>0</v>
      </c>
      <c r="I110" s="161">
        <v>0</v>
      </c>
      <c r="J110" s="161">
        <v>0</v>
      </c>
      <c r="K110" s="161">
        <f t="shared" si="42"/>
        <v>0</v>
      </c>
      <c r="L110" s="161">
        <f t="shared" si="43"/>
        <v>0</v>
      </c>
      <c r="M110" s="161">
        <f t="shared" si="48"/>
        <v>3366000</v>
      </c>
      <c r="N110" s="161"/>
      <c r="O110" s="161">
        <f t="shared" si="44"/>
        <v>0</v>
      </c>
      <c r="P110" s="161">
        <f t="shared" si="24"/>
        <v>3366000</v>
      </c>
      <c r="Q110" s="161"/>
      <c r="R110" s="161"/>
      <c r="S110" s="161">
        <f t="shared" si="49"/>
        <v>0</v>
      </c>
      <c r="T110" s="161">
        <f t="shared" si="50"/>
        <v>0</v>
      </c>
      <c r="U110" s="161">
        <f t="shared" si="51"/>
        <v>0</v>
      </c>
      <c r="V110" s="161">
        <f t="shared" si="52"/>
        <v>0</v>
      </c>
      <c r="W110" s="161"/>
      <c r="X110" s="161"/>
      <c r="Y110" s="161"/>
      <c r="Z110" s="161"/>
      <c r="AA110" s="161"/>
      <c r="AB110" s="160" t="s">
        <v>435</v>
      </c>
      <c r="AC110" s="394">
        <v>746000</v>
      </c>
      <c r="AD110" s="331"/>
      <c r="AE110" s="331"/>
      <c r="AF110" s="331"/>
      <c r="AG110" s="331"/>
      <c r="AH110" s="331"/>
      <c r="AI110" s="331"/>
      <c r="AJ110" s="331"/>
      <c r="AK110" s="331"/>
      <c r="AL110" s="331"/>
      <c r="AM110" s="161">
        <f t="shared" si="45"/>
        <v>0</v>
      </c>
      <c r="AN110" s="161">
        <f t="shared" si="53"/>
        <v>0</v>
      </c>
      <c r="AO110" s="161">
        <f t="shared" si="46"/>
        <v>0</v>
      </c>
      <c r="AP110" s="171"/>
      <c r="AQ110" s="171"/>
      <c r="AR110" s="160"/>
      <c r="AS110" s="160"/>
      <c r="AT110" s="160"/>
      <c r="AU110" s="161">
        <f t="shared" si="47"/>
        <v>0</v>
      </c>
      <c r="AV110" s="160"/>
      <c r="AW110" s="160"/>
    </row>
    <row r="111" spans="1:49" s="164" customFormat="1" ht="45">
      <c r="A111" s="160">
        <f t="shared" ref="A111:A120" si="54">A110+1</f>
        <v>103</v>
      </c>
      <c r="B111" s="160">
        <v>1908</v>
      </c>
      <c r="C111" s="160" t="s">
        <v>136</v>
      </c>
      <c r="D111" s="161">
        <v>19080000</v>
      </c>
      <c r="E111" s="161">
        <v>19080000</v>
      </c>
      <c r="F111" s="161">
        <f t="shared" si="41"/>
        <v>0</v>
      </c>
      <c r="G111" s="161">
        <v>10943329</v>
      </c>
      <c r="H111" s="161">
        <v>674770</v>
      </c>
      <c r="I111" s="161">
        <v>0</v>
      </c>
      <c r="J111" s="161">
        <v>655530</v>
      </c>
      <c r="K111" s="161">
        <f t="shared" si="42"/>
        <v>655530</v>
      </c>
      <c r="L111" s="161">
        <f t="shared" si="43"/>
        <v>1330300</v>
      </c>
      <c r="M111" s="161">
        <f t="shared" si="48"/>
        <v>9613029</v>
      </c>
      <c r="N111" s="161">
        <v>8136671</v>
      </c>
      <c r="O111" s="161">
        <f t="shared" si="44"/>
        <v>0</v>
      </c>
      <c r="P111" s="161">
        <f t="shared" si="24"/>
        <v>9613029</v>
      </c>
      <c r="Q111" s="161"/>
      <c r="R111" s="161"/>
      <c r="S111" s="161">
        <f t="shared" si="49"/>
        <v>0</v>
      </c>
      <c r="T111" s="161">
        <f t="shared" si="50"/>
        <v>0</v>
      </c>
      <c r="U111" s="161">
        <f t="shared" si="51"/>
        <v>8136671</v>
      </c>
      <c r="V111" s="161">
        <f t="shared" si="52"/>
        <v>6611167</v>
      </c>
      <c r="W111" s="161"/>
      <c r="X111" s="161"/>
      <c r="Y111" s="161"/>
      <c r="Z111" s="161"/>
      <c r="AA111" s="161">
        <v>1525504</v>
      </c>
      <c r="AB111" s="266" t="s">
        <v>879</v>
      </c>
      <c r="AC111" s="394">
        <v>810000</v>
      </c>
      <c r="AD111" s="331"/>
      <c r="AE111" s="331"/>
      <c r="AF111" s="331"/>
      <c r="AG111" s="331"/>
      <c r="AH111" s="161">
        <v>1136671</v>
      </c>
      <c r="AI111" s="331"/>
      <c r="AJ111" s="161">
        <v>1500000</v>
      </c>
      <c r="AK111" s="161">
        <f>1500000+1000000</f>
        <v>2500000</v>
      </c>
      <c r="AL111" s="161">
        <f>3000000-1525504</f>
        <v>1474496</v>
      </c>
      <c r="AM111" s="161">
        <f t="shared" si="45"/>
        <v>6611167</v>
      </c>
      <c r="AN111" s="161">
        <f t="shared" si="53"/>
        <v>1525504</v>
      </c>
      <c r="AO111" s="161">
        <f t="shared" si="46"/>
        <v>6611167</v>
      </c>
      <c r="AP111" s="171"/>
      <c r="AQ111" s="171"/>
      <c r="AR111" s="160"/>
      <c r="AS111" s="160"/>
      <c r="AT111" s="161"/>
      <c r="AU111" s="161">
        <f t="shared" si="47"/>
        <v>1525504</v>
      </c>
      <c r="AV111" s="160" t="s">
        <v>1969</v>
      </c>
      <c r="AW111" s="166" t="s">
        <v>1982</v>
      </c>
    </row>
    <row r="112" spans="1:49" ht="30" customHeight="1">
      <c r="A112" s="160">
        <f t="shared" si="54"/>
        <v>104</v>
      </c>
      <c r="B112" s="267">
        <v>1909</v>
      </c>
      <c r="C112" s="160" t="s">
        <v>585</v>
      </c>
      <c r="D112" s="161">
        <v>184500000</v>
      </c>
      <c r="E112" s="161">
        <v>184500000</v>
      </c>
      <c r="F112" s="161">
        <f t="shared" si="41"/>
        <v>0</v>
      </c>
      <c r="G112" s="161">
        <v>10150000</v>
      </c>
      <c r="H112" s="161">
        <v>6040958</v>
      </c>
      <c r="I112" s="161">
        <v>0</v>
      </c>
      <c r="J112" s="161">
        <v>149036</v>
      </c>
      <c r="K112" s="161">
        <f t="shared" si="42"/>
        <v>149036</v>
      </c>
      <c r="L112" s="161">
        <f t="shared" si="43"/>
        <v>6189994</v>
      </c>
      <c r="M112" s="161">
        <f t="shared" si="48"/>
        <v>35460006</v>
      </c>
      <c r="N112" s="161">
        <v>40000000</v>
      </c>
      <c r="O112" s="161">
        <f t="shared" si="44"/>
        <v>102850000</v>
      </c>
      <c r="P112" s="161">
        <f t="shared" si="24"/>
        <v>3960006</v>
      </c>
      <c r="Q112" s="161">
        <v>31500000</v>
      </c>
      <c r="R112" s="161"/>
      <c r="S112" s="161">
        <f t="shared" si="49"/>
        <v>31500000</v>
      </c>
      <c r="T112" s="161">
        <f t="shared" si="50"/>
        <v>0</v>
      </c>
      <c r="U112" s="161">
        <f t="shared" si="51"/>
        <v>40000000</v>
      </c>
      <c r="V112" s="161">
        <f t="shared" si="52"/>
        <v>6105210</v>
      </c>
      <c r="W112" s="161"/>
      <c r="X112" s="161"/>
      <c r="Y112" s="161">
        <v>15000000</v>
      </c>
      <c r="Z112" s="161"/>
      <c r="AA112" s="161">
        <f>15081030+3813760</f>
        <v>18894790</v>
      </c>
      <c r="AB112" s="268" t="s">
        <v>1983</v>
      </c>
      <c r="AC112" s="394">
        <v>810000</v>
      </c>
      <c r="AD112" s="331"/>
      <c r="AE112" s="331"/>
      <c r="AF112" s="331"/>
      <c r="AG112" s="331"/>
      <c r="AH112" s="331"/>
      <c r="AI112" s="331"/>
      <c r="AJ112" s="161">
        <v>4000000</v>
      </c>
      <c r="AK112" s="161"/>
      <c r="AL112" s="161">
        <f>36000000-18894790</f>
        <v>17105210</v>
      </c>
      <c r="AM112" s="161">
        <f t="shared" si="45"/>
        <v>21105210</v>
      </c>
      <c r="AN112" s="161">
        <f t="shared" si="53"/>
        <v>18894790</v>
      </c>
      <c r="AO112" s="161">
        <f t="shared" si="46"/>
        <v>6105210</v>
      </c>
      <c r="AP112" s="171"/>
      <c r="AQ112" s="171"/>
      <c r="AR112" s="161">
        <v>15000000</v>
      </c>
      <c r="AS112" s="171"/>
      <c r="AT112" s="161"/>
      <c r="AU112" s="161">
        <f t="shared" si="47"/>
        <v>18894790</v>
      </c>
      <c r="AV112" s="160" t="s">
        <v>1969</v>
      </c>
      <c r="AW112" s="166" t="s">
        <v>1942</v>
      </c>
    </row>
    <row r="113" spans="1:49" ht="30" customHeight="1">
      <c r="A113" s="160">
        <f t="shared" si="54"/>
        <v>105</v>
      </c>
      <c r="B113" s="267">
        <v>1911</v>
      </c>
      <c r="C113" s="160" t="s">
        <v>335</v>
      </c>
      <c r="D113" s="161">
        <v>29050000</v>
      </c>
      <c r="E113" s="161">
        <v>29050000</v>
      </c>
      <c r="F113" s="161">
        <f t="shared" si="41"/>
        <v>0</v>
      </c>
      <c r="G113" s="161">
        <v>9182067</v>
      </c>
      <c r="H113" s="161">
        <v>859093</v>
      </c>
      <c r="I113" s="161">
        <v>0</v>
      </c>
      <c r="J113" s="161">
        <v>280171</v>
      </c>
      <c r="K113" s="161">
        <f t="shared" si="42"/>
        <v>280171</v>
      </c>
      <c r="L113" s="161">
        <f t="shared" si="43"/>
        <v>1139264</v>
      </c>
      <c r="M113" s="161">
        <f t="shared" si="48"/>
        <v>8042803</v>
      </c>
      <c r="N113" s="161">
        <v>19867933</v>
      </c>
      <c r="O113" s="161">
        <f t="shared" si="44"/>
        <v>0</v>
      </c>
      <c r="P113" s="161">
        <f t="shared" si="24"/>
        <v>8042803</v>
      </c>
      <c r="Q113" s="161"/>
      <c r="R113" s="161"/>
      <c r="S113" s="161">
        <f t="shared" si="49"/>
        <v>0</v>
      </c>
      <c r="T113" s="161">
        <f t="shared" si="50"/>
        <v>0</v>
      </c>
      <c r="U113" s="161">
        <f t="shared" si="51"/>
        <v>19867933</v>
      </c>
      <c r="V113" s="161">
        <f t="shared" si="52"/>
        <v>16054173</v>
      </c>
      <c r="W113" s="161"/>
      <c r="X113" s="161"/>
      <c r="Y113" s="161"/>
      <c r="Z113" s="161"/>
      <c r="AA113" s="161">
        <v>3813760</v>
      </c>
      <c r="AB113" s="268" t="s">
        <v>878</v>
      </c>
      <c r="AC113" s="394">
        <v>810000</v>
      </c>
      <c r="AD113" s="331"/>
      <c r="AE113" s="331"/>
      <c r="AF113" s="331"/>
      <c r="AG113" s="161">
        <v>5150000</v>
      </c>
      <c r="AH113" s="161"/>
      <c r="AI113" s="161">
        <v>4000000</v>
      </c>
      <c r="AJ113" s="161">
        <v>4000000</v>
      </c>
      <c r="AK113" s="161">
        <v>1717933</v>
      </c>
      <c r="AL113" s="161">
        <f>5000000-3813760</f>
        <v>1186240</v>
      </c>
      <c r="AM113" s="161">
        <f t="shared" si="45"/>
        <v>16054173</v>
      </c>
      <c r="AN113" s="161">
        <f t="shared" si="53"/>
        <v>3813760</v>
      </c>
      <c r="AO113" s="161">
        <f t="shared" si="46"/>
        <v>16054173</v>
      </c>
      <c r="AP113" s="171"/>
      <c r="AQ113" s="171"/>
      <c r="AR113" s="171"/>
      <c r="AS113" s="171"/>
      <c r="AT113" s="161"/>
      <c r="AU113" s="161">
        <f t="shared" si="47"/>
        <v>3813760</v>
      </c>
      <c r="AV113" s="160" t="s">
        <v>1969</v>
      </c>
      <c r="AW113" s="166" t="s">
        <v>1982</v>
      </c>
    </row>
    <row r="114" spans="1:49" ht="36" customHeight="1">
      <c r="A114" s="160">
        <f t="shared" si="54"/>
        <v>106</v>
      </c>
      <c r="B114" s="267">
        <v>1912</v>
      </c>
      <c r="C114" s="160" t="s">
        <v>528</v>
      </c>
      <c r="D114" s="161">
        <v>310000000</v>
      </c>
      <c r="E114" s="161">
        <v>310000000</v>
      </c>
      <c r="F114" s="161">
        <f t="shared" si="41"/>
        <v>0</v>
      </c>
      <c r="G114" s="161">
        <f>8000000+3500000</f>
        <v>11500000</v>
      </c>
      <c r="H114" s="161">
        <v>8515795</v>
      </c>
      <c r="I114" s="161">
        <v>0</v>
      </c>
      <c r="J114" s="161">
        <v>2967182</v>
      </c>
      <c r="K114" s="161">
        <f t="shared" si="42"/>
        <v>2967182</v>
      </c>
      <c r="L114" s="161">
        <f t="shared" si="43"/>
        <v>11482977</v>
      </c>
      <c r="M114" s="161">
        <f t="shared" si="48"/>
        <v>32017023</v>
      </c>
      <c r="N114" s="161">
        <v>45000000</v>
      </c>
      <c r="O114" s="161">
        <f t="shared" si="44"/>
        <v>221500000</v>
      </c>
      <c r="P114" s="161">
        <f t="shared" si="24"/>
        <v>17023</v>
      </c>
      <c r="Q114" s="161">
        <v>32000000</v>
      </c>
      <c r="R114" s="161"/>
      <c r="S114" s="161">
        <f t="shared" si="49"/>
        <v>32000000</v>
      </c>
      <c r="T114" s="161">
        <f t="shared" si="50"/>
        <v>0</v>
      </c>
      <c r="U114" s="161">
        <f t="shared" si="51"/>
        <v>45000000</v>
      </c>
      <c r="V114" s="161">
        <f t="shared" si="52"/>
        <v>11792920</v>
      </c>
      <c r="W114" s="161"/>
      <c r="X114" s="161"/>
      <c r="Y114" s="161">
        <v>18000000</v>
      </c>
      <c r="Z114" s="161"/>
      <c r="AA114" s="161">
        <v>15207080</v>
      </c>
      <c r="AB114" s="268" t="s">
        <v>1984</v>
      </c>
      <c r="AC114" s="394">
        <v>810000</v>
      </c>
      <c r="AD114" s="331"/>
      <c r="AE114" s="331"/>
      <c r="AF114" s="331"/>
      <c r="AG114" s="161"/>
      <c r="AH114" s="161"/>
      <c r="AI114" s="161"/>
      <c r="AJ114" s="161">
        <v>10000000</v>
      </c>
      <c r="AK114" s="161">
        <v>5000000</v>
      </c>
      <c r="AL114" s="161">
        <f>30000000-15207080</f>
        <v>14792920</v>
      </c>
      <c r="AM114" s="161">
        <f t="shared" si="45"/>
        <v>29792920</v>
      </c>
      <c r="AN114" s="161">
        <f t="shared" si="53"/>
        <v>15207080</v>
      </c>
      <c r="AO114" s="161">
        <f t="shared" si="46"/>
        <v>11792920</v>
      </c>
      <c r="AP114" s="171"/>
      <c r="AQ114" s="171"/>
      <c r="AR114" s="161">
        <v>18000000</v>
      </c>
      <c r="AS114" s="171"/>
      <c r="AT114" s="161"/>
      <c r="AU114" s="161">
        <f t="shared" si="47"/>
        <v>15207080</v>
      </c>
      <c r="AV114" s="160" t="s">
        <v>1969</v>
      </c>
      <c r="AW114" s="166" t="s">
        <v>1982</v>
      </c>
    </row>
    <row r="115" spans="1:49" ht="30" customHeight="1">
      <c r="A115" s="160">
        <f t="shared" si="54"/>
        <v>107</v>
      </c>
      <c r="B115" s="267">
        <v>1914</v>
      </c>
      <c r="C115" s="160" t="s">
        <v>135</v>
      </c>
      <c r="D115" s="161">
        <v>8100000</v>
      </c>
      <c r="E115" s="161">
        <v>8100000</v>
      </c>
      <c r="F115" s="161">
        <f t="shared" si="41"/>
        <v>0</v>
      </c>
      <c r="G115" s="161">
        <v>8100000</v>
      </c>
      <c r="H115" s="161">
        <v>6285512</v>
      </c>
      <c r="I115" s="161">
        <v>0</v>
      </c>
      <c r="J115" s="161">
        <v>915534</v>
      </c>
      <c r="K115" s="161">
        <f t="shared" si="42"/>
        <v>915534</v>
      </c>
      <c r="L115" s="161">
        <f t="shared" si="43"/>
        <v>7201046</v>
      </c>
      <c r="M115" s="161">
        <f t="shared" si="48"/>
        <v>898954</v>
      </c>
      <c r="N115" s="161"/>
      <c r="O115" s="161">
        <f t="shared" si="44"/>
        <v>0</v>
      </c>
      <c r="P115" s="161">
        <f t="shared" si="24"/>
        <v>898954</v>
      </c>
      <c r="Q115" s="161"/>
      <c r="R115" s="161"/>
      <c r="S115" s="161">
        <f t="shared" si="49"/>
        <v>0</v>
      </c>
      <c r="T115" s="161">
        <f t="shared" si="50"/>
        <v>0</v>
      </c>
      <c r="U115" s="161">
        <f t="shared" si="51"/>
        <v>0</v>
      </c>
      <c r="V115" s="161">
        <f t="shared" si="52"/>
        <v>0</v>
      </c>
      <c r="W115" s="161"/>
      <c r="X115" s="161"/>
      <c r="Y115" s="161"/>
      <c r="Z115" s="161"/>
      <c r="AA115" s="160"/>
      <c r="AB115" s="357" t="s">
        <v>877</v>
      </c>
      <c r="AC115" s="394">
        <v>810000</v>
      </c>
      <c r="AD115" s="331"/>
      <c r="AE115" s="331"/>
      <c r="AF115" s="331"/>
      <c r="AG115" s="331"/>
      <c r="AH115" s="331"/>
      <c r="AI115" s="331"/>
      <c r="AJ115" s="331"/>
      <c r="AK115" s="161"/>
      <c r="AL115" s="161"/>
      <c r="AM115" s="161">
        <f t="shared" si="45"/>
        <v>0</v>
      </c>
      <c r="AN115" s="161">
        <f t="shared" si="53"/>
        <v>0</v>
      </c>
      <c r="AO115" s="161">
        <f t="shared" si="46"/>
        <v>0</v>
      </c>
      <c r="AP115" s="171"/>
      <c r="AQ115" s="171"/>
      <c r="AR115" s="171"/>
      <c r="AS115" s="171"/>
      <c r="AT115" s="171"/>
      <c r="AU115" s="161">
        <f t="shared" si="47"/>
        <v>0</v>
      </c>
      <c r="AV115" s="171"/>
      <c r="AW115" s="171"/>
    </row>
    <row r="116" spans="1:49" ht="30" customHeight="1">
      <c r="A116" s="160">
        <f t="shared" si="54"/>
        <v>108</v>
      </c>
      <c r="B116" s="267">
        <v>1919</v>
      </c>
      <c r="C116" s="160" t="s">
        <v>120</v>
      </c>
      <c r="D116" s="161">
        <v>135100000</v>
      </c>
      <c r="E116" s="161">
        <v>135100000</v>
      </c>
      <c r="F116" s="161">
        <f t="shared" si="41"/>
        <v>0</v>
      </c>
      <c r="G116" s="161">
        <f>68458136+1901605</f>
        <v>70359741</v>
      </c>
      <c r="H116" s="161">
        <v>48115329</v>
      </c>
      <c r="I116" s="161">
        <v>0</v>
      </c>
      <c r="J116" s="161">
        <v>5704221</v>
      </c>
      <c r="K116" s="161">
        <f t="shared" si="42"/>
        <v>5704221</v>
      </c>
      <c r="L116" s="161">
        <f t="shared" si="43"/>
        <v>53819550</v>
      </c>
      <c r="M116" s="161">
        <f t="shared" si="48"/>
        <v>16540191</v>
      </c>
      <c r="N116" s="161"/>
      <c r="O116" s="161">
        <f t="shared" si="44"/>
        <v>64740259</v>
      </c>
      <c r="P116" s="161">
        <f t="shared" si="24"/>
        <v>16540191</v>
      </c>
      <c r="Q116" s="161"/>
      <c r="R116" s="161"/>
      <c r="S116" s="161">
        <f t="shared" si="49"/>
        <v>0</v>
      </c>
      <c r="T116" s="161">
        <f t="shared" si="50"/>
        <v>0</v>
      </c>
      <c r="U116" s="161">
        <f t="shared" si="51"/>
        <v>0</v>
      </c>
      <c r="V116" s="161">
        <f t="shared" si="52"/>
        <v>0</v>
      </c>
      <c r="W116" s="161"/>
      <c r="X116" s="161"/>
      <c r="Y116" s="161"/>
      <c r="Z116" s="161"/>
      <c r="AA116" s="161"/>
      <c r="AB116" s="160" t="s">
        <v>708</v>
      </c>
      <c r="AC116" s="394">
        <v>742000</v>
      </c>
      <c r="AD116" s="331"/>
      <c r="AE116" s="331"/>
      <c r="AF116" s="331"/>
      <c r="AG116" s="331"/>
      <c r="AH116" s="331"/>
      <c r="AI116" s="331"/>
      <c r="AJ116" s="331"/>
      <c r="AK116" s="161"/>
      <c r="AL116" s="161"/>
      <c r="AM116" s="161">
        <f t="shared" si="45"/>
        <v>0</v>
      </c>
      <c r="AN116" s="161">
        <f t="shared" si="53"/>
        <v>0</v>
      </c>
      <c r="AO116" s="161">
        <f t="shared" si="46"/>
        <v>0</v>
      </c>
      <c r="AP116" s="171"/>
      <c r="AQ116" s="171"/>
      <c r="AR116" s="171"/>
      <c r="AS116" s="171"/>
      <c r="AT116" s="171"/>
      <c r="AU116" s="161">
        <f t="shared" si="47"/>
        <v>0</v>
      </c>
      <c r="AV116" s="171"/>
      <c r="AW116" s="171"/>
    </row>
    <row r="117" spans="1:49" ht="30" customHeight="1">
      <c r="A117" s="160">
        <f t="shared" si="54"/>
        <v>109</v>
      </c>
      <c r="B117" s="267">
        <v>1960</v>
      </c>
      <c r="C117" s="160" t="s">
        <v>336</v>
      </c>
      <c r="D117" s="161">
        <f>24710000</f>
        <v>24710000</v>
      </c>
      <c r="E117" s="161">
        <v>24710000</v>
      </c>
      <c r="F117" s="161">
        <f t="shared" si="41"/>
        <v>0</v>
      </c>
      <c r="G117" s="161">
        <v>1250000</v>
      </c>
      <c r="H117" s="161">
        <v>694659</v>
      </c>
      <c r="I117" s="161">
        <v>0</v>
      </c>
      <c r="J117" s="161">
        <v>548120</v>
      </c>
      <c r="K117" s="161">
        <f t="shared" si="42"/>
        <v>548120</v>
      </c>
      <c r="L117" s="161">
        <f t="shared" si="43"/>
        <v>1242779</v>
      </c>
      <c r="M117" s="161">
        <f t="shared" si="48"/>
        <v>9779317</v>
      </c>
      <c r="N117" s="161">
        <f>18070000-4382096</f>
        <v>13687904</v>
      </c>
      <c r="O117" s="161">
        <f t="shared" si="44"/>
        <v>0</v>
      </c>
      <c r="P117" s="161">
        <f t="shared" si="24"/>
        <v>7221</v>
      </c>
      <c r="Q117" s="161">
        <f>4540000+850000+4382096</f>
        <v>9772096</v>
      </c>
      <c r="R117" s="161"/>
      <c r="S117" s="161">
        <f t="shared" si="49"/>
        <v>9772096</v>
      </c>
      <c r="T117" s="161">
        <f t="shared" si="50"/>
        <v>0</v>
      </c>
      <c r="U117" s="161">
        <f t="shared" si="51"/>
        <v>13687904</v>
      </c>
      <c r="V117" s="161">
        <f t="shared" si="52"/>
        <v>3551505</v>
      </c>
      <c r="W117" s="161"/>
      <c r="X117" s="161"/>
      <c r="Y117" s="161"/>
      <c r="Z117" s="161"/>
      <c r="AA117" s="161">
        <f>2288256+13080239-850000-4382096</f>
        <v>10136399</v>
      </c>
      <c r="AB117" s="268" t="s">
        <v>794</v>
      </c>
      <c r="AC117" s="394">
        <v>810000</v>
      </c>
      <c r="AD117" s="331"/>
      <c r="AE117" s="331"/>
      <c r="AF117" s="331"/>
      <c r="AG117" s="331"/>
      <c r="AH117" s="161">
        <v>1687904</v>
      </c>
      <c r="AI117" s="331"/>
      <c r="AJ117" s="161">
        <f>2000000-3687904+3551505</f>
        <v>1863601</v>
      </c>
      <c r="AK117" s="161">
        <v>1136399</v>
      </c>
      <c r="AL117" s="161">
        <f>9000000-2288256</f>
        <v>6711744</v>
      </c>
      <c r="AM117" s="161">
        <f t="shared" si="45"/>
        <v>11399648</v>
      </c>
      <c r="AN117" s="161">
        <f t="shared" si="53"/>
        <v>2288256</v>
      </c>
      <c r="AO117" s="161">
        <f t="shared" si="46"/>
        <v>3551505</v>
      </c>
      <c r="AP117" s="171"/>
      <c r="AQ117" s="171"/>
      <c r="AR117" s="171"/>
      <c r="AS117" s="171"/>
      <c r="AT117" s="161">
        <v>7848143</v>
      </c>
      <c r="AU117" s="161">
        <f t="shared" si="47"/>
        <v>2288256</v>
      </c>
      <c r="AV117" s="160" t="s">
        <v>1969</v>
      </c>
      <c r="AW117" s="166" t="s">
        <v>1982</v>
      </c>
    </row>
    <row r="118" spans="1:49" ht="30" customHeight="1">
      <c r="A118" s="160">
        <f t="shared" si="54"/>
        <v>110</v>
      </c>
      <c r="B118" s="267">
        <v>1962</v>
      </c>
      <c r="C118" s="160" t="s">
        <v>148</v>
      </c>
      <c r="D118" s="161">
        <v>20000000</v>
      </c>
      <c r="E118" s="161">
        <v>20000000</v>
      </c>
      <c r="F118" s="161">
        <f t="shared" si="41"/>
        <v>0</v>
      </c>
      <c r="G118" s="161">
        <v>1000000</v>
      </c>
      <c r="H118" s="161">
        <v>0</v>
      </c>
      <c r="I118" s="161">
        <v>0</v>
      </c>
      <c r="J118" s="161">
        <v>0</v>
      </c>
      <c r="K118" s="161">
        <f t="shared" si="42"/>
        <v>0</v>
      </c>
      <c r="L118" s="161">
        <f t="shared" si="43"/>
        <v>0</v>
      </c>
      <c r="M118" s="161">
        <f t="shared" si="48"/>
        <v>1000000</v>
      </c>
      <c r="N118" s="161"/>
      <c r="O118" s="161">
        <f t="shared" si="44"/>
        <v>19000000</v>
      </c>
      <c r="P118" s="161">
        <f t="shared" si="24"/>
        <v>1000000</v>
      </c>
      <c r="Q118" s="161"/>
      <c r="R118" s="161"/>
      <c r="S118" s="161">
        <f t="shared" si="49"/>
        <v>0</v>
      </c>
      <c r="T118" s="161">
        <f t="shared" si="50"/>
        <v>0</v>
      </c>
      <c r="U118" s="161">
        <f t="shared" si="51"/>
        <v>0</v>
      </c>
      <c r="V118" s="161">
        <f t="shared" si="52"/>
        <v>0</v>
      </c>
      <c r="W118" s="161"/>
      <c r="X118" s="161"/>
      <c r="Y118" s="161"/>
      <c r="Z118" s="161"/>
      <c r="AA118" s="160"/>
      <c r="AB118" s="268" t="s">
        <v>709</v>
      </c>
      <c r="AC118" s="394">
        <v>742000</v>
      </c>
      <c r="AD118" s="331"/>
      <c r="AE118" s="331"/>
      <c r="AF118" s="331"/>
      <c r="AG118" s="331"/>
      <c r="AH118" s="331"/>
      <c r="AI118" s="331"/>
      <c r="AJ118" s="331"/>
      <c r="AK118" s="161"/>
      <c r="AL118" s="161"/>
      <c r="AM118" s="161">
        <f t="shared" si="45"/>
        <v>0</v>
      </c>
      <c r="AN118" s="161">
        <f t="shared" si="53"/>
        <v>0</v>
      </c>
      <c r="AO118" s="161">
        <f t="shared" si="46"/>
        <v>0</v>
      </c>
      <c r="AP118" s="171"/>
      <c r="AQ118" s="171"/>
      <c r="AR118" s="171"/>
      <c r="AS118" s="171"/>
      <c r="AT118" s="171"/>
      <c r="AU118" s="161">
        <f t="shared" si="47"/>
        <v>0</v>
      </c>
      <c r="AV118" s="171"/>
      <c r="AW118" s="171"/>
    </row>
    <row r="119" spans="1:49" ht="30" customHeight="1">
      <c r="A119" s="160">
        <f t="shared" si="54"/>
        <v>111</v>
      </c>
      <c r="B119" s="160">
        <v>1965</v>
      </c>
      <c r="C119" s="160" t="s">
        <v>337</v>
      </c>
      <c r="D119" s="161">
        <v>35000000</v>
      </c>
      <c r="E119" s="161">
        <v>35000000</v>
      </c>
      <c r="F119" s="161">
        <f t="shared" si="41"/>
        <v>0</v>
      </c>
      <c r="G119" s="161">
        <v>100000</v>
      </c>
      <c r="H119" s="161">
        <v>54243</v>
      </c>
      <c r="I119" s="161">
        <v>0</v>
      </c>
      <c r="J119" s="161">
        <v>45755</v>
      </c>
      <c r="K119" s="161">
        <f t="shared" si="42"/>
        <v>45755</v>
      </c>
      <c r="L119" s="161">
        <f t="shared" si="43"/>
        <v>99998</v>
      </c>
      <c r="M119" s="161">
        <f t="shared" si="48"/>
        <v>1000002</v>
      </c>
      <c r="N119" s="161">
        <f>2000000-1000000</f>
        <v>1000000</v>
      </c>
      <c r="O119" s="161">
        <f t="shared" si="44"/>
        <v>32900000</v>
      </c>
      <c r="P119" s="161">
        <f t="shared" si="24"/>
        <v>2</v>
      </c>
      <c r="Q119" s="161">
        <v>1000000</v>
      </c>
      <c r="R119" s="161"/>
      <c r="S119" s="161">
        <f t="shared" si="49"/>
        <v>1000000</v>
      </c>
      <c r="T119" s="161">
        <f t="shared" si="50"/>
        <v>0</v>
      </c>
      <c r="U119" s="161">
        <f t="shared" si="51"/>
        <v>1000000</v>
      </c>
      <c r="V119" s="161">
        <f t="shared" si="52"/>
        <v>1000000</v>
      </c>
      <c r="W119" s="161"/>
      <c r="X119" s="161"/>
      <c r="Y119" s="161"/>
      <c r="Z119" s="161"/>
      <c r="AA119" s="160"/>
      <c r="AB119" s="357" t="s">
        <v>795</v>
      </c>
      <c r="AC119" s="394">
        <v>810000</v>
      </c>
      <c r="AD119" s="331"/>
      <c r="AE119" s="331"/>
      <c r="AF119" s="331"/>
      <c r="AG119" s="331"/>
      <c r="AH119" s="331"/>
      <c r="AI119" s="331"/>
      <c r="AJ119" s="331"/>
      <c r="AK119" s="161"/>
      <c r="AL119" s="161">
        <v>1000000</v>
      </c>
      <c r="AM119" s="161">
        <f t="shared" si="45"/>
        <v>1000000</v>
      </c>
      <c r="AN119" s="161">
        <f t="shared" si="53"/>
        <v>0</v>
      </c>
      <c r="AO119" s="161">
        <f t="shared" si="46"/>
        <v>1000000</v>
      </c>
      <c r="AP119" s="171"/>
      <c r="AQ119" s="171"/>
      <c r="AR119" s="171"/>
      <c r="AS119" s="171"/>
      <c r="AT119" s="171"/>
      <c r="AU119" s="161">
        <f t="shared" si="47"/>
        <v>0</v>
      </c>
      <c r="AV119" s="171"/>
      <c r="AW119" s="171"/>
    </row>
    <row r="120" spans="1:49" s="5" customFormat="1" ht="30" customHeight="1">
      <c r="A120" s="160">
        <f t="shared" si="54"/>
        <v>112</v>
      </c>
      <c r="B120" s="30">
        <v>2186</v>
      </c>
      <c r="C120" s="3" t="s">
        <v>631</v>
      </c>
      <c r="D120" s="4">
        <f>500000+7600000</f>
        <v>8100000</v>
      </c>
      <c r="E120" s="4">
        <v>8100000</v>
      </c>
      <c r="F120" s="161">
        <f t="shared" si="41"/>
        <v>0</v>
      </c>
      <c r="G120" s="4">
        <f>500000+2700000</f>
        <v>3200000</v>
      </c>
      <c r="H120" s="4">
        <v>0</v>
      </c>
      <c r="I120" s="4">
        <v>0</v>
      </c>
      <c r="J120" s="4">
        <v>0</v>
      </c>
      <c r="K120" s="161">
        <f t="shared" si="42"/>
        <v>0</v>
      </c>
      <c r="L120" s="161">
        <f t="shared" si="43"/>
        <v>0</v>
      </c>
      <c r="M120" s="161">
        <f t="shared" si="48"/>
        <v>3200000</v>
      </c>
      <c r="N120" s="161">
        <v>4900000</v>
      </c>
      <c r="O120" s="161">
        <f t="shared" si="44"/>
        <v>0</v>
      </c>
      <c r="P120" s="161">
        <f t="shared" si="24"/>
        <v>3200000</v>
      </c>
      <c r="Q120" s="161"/>
      <c r="R120" s="161"/>
      <c r="S120" s="161">
        <f t="shared" si="49"/>
        <v>0</v>
      </c>
      <c r="T120" s="161">
        <f t="shared" si="50"/>
        <v>0</v>
      </c>
      <c r="U120" s="161">
        <f t="shared" si="51"/>
        <v>4900000</v>
      </c>
      <c r="V120" s="161">
        <f t="shared" si="52"/>
        <v>2611744</v>
      </c>
      <c r="W120" s="161"/>
      <c r="X120" s="161"/>
      <c r="Y120" s="161"/>
      <c r="Z120" s="161"/>
      <c r="AA120" s="161">
        <v>2288256</v>
      </c>
      <c r="AB120" s="3" t="s">
        <v>796</v>
      </c>
      <c r="AC120" s="386">
        <v>810000</v>
      </c>
      <c r="AD120" s="331"/>
      <c r="AE120" s="331"/>
      <c r="AF120" s="331"/>
      <c r="AG120" s="331"/>
      <c r="AH120" s="161">
        <v>2611744</v>
      </c>
      <c r="AI120" s="331"/>
      <c r="AJ120" s="331"/>
      <c r="AK120" s="161"/>
      <c r="AL120" s="161"/>
      <c r="AM120" s="161">
        <f t="shared" si="45"/>
        <v>2611744</v>
      </c>
      <c r="AN120" s="161">
        <f t="shared" si="53"/>
        <v>2288256</v>
      </c>
      <c r="AO120" s="161">
        <f t="shared" si="46"/>
        <v>2611744</v>
      </c>
      <c r="AP120" s="171"/>
      <c r="AQ120" s="171"/>
      <c r="AR120" s="3"/>
      <c r="AS120" s="3"/>
      <c r="AT120" s="161"/>
      <c r="AU120" s="161">
        <f t="shared" si="47"/>
        <v>2288256</v>
      </c>
      <c r="AV120" s="160" t="s">
        <v>1969</v>
      </c>
      <c r="AW120" s="3"/>
    </row>
    <row r="121" spans="1:49" s="271" customFormat="1" ht="30" customHeight="1">
      <c r="A121" s="166"/>
      <c r="B121" s="270"/>
      <c r="C121" s="166" t="s">
        <v>338</v>
      </c>
      <c r="D121" s="168">
        <f>SUM(D108:D120)</f>
        <v>1021006000</v>
      </c>
      <c r="E121" s="168">
        <f t="shared" ref="E121:AT121" si="55">SUM(E108:E120)</f>
        <v>1021006000</v>
      </c>
      <c r="F121" s="168">
        <f t="shared" si="55"/>
        <v>0</v>
      </c>
      <c r="G121" s="168">
        <f t="shared" si="55"/>
        <v>356922766</v>
      </c>
      <c r="H121" s="168">
        <f t="shared" si="55"/>
        <v>243948255</v>
      </c>
      <c r="I121" s="168">
        <f t="shared" si="55"/>
        <v>941728</v>
      </c>
      <c r="J121" s="168">
        <f t="shared" si="55"/>
        <v>16484605</v>
      </c>
      <c r="K121" s="168">
        <f t="shared" si="55"/>
        <v>17426333</v>
      </c>
      <c r="L121" s="168">
        <f t="shared" si="55"/>
        <v>261374588</v>
      </c>
      <c r="M121" s="168">
        <f t="shared" si="55"/>
        <v>139820274</v>
      </c>
      <c r="N121" s="168">
        <f t="shared" si="55"/>
        <v>148820879</v>
      </c>
      <c r="O121" s="168">
        <f t="shared" si="55"/>
        <v>470990259</v>
      </c>
      <c r="P121" s="168">
        <f t="shared" si="55"/>
        <v>95548178</v>
      </c>
      <c r="Q121" s="168">
        <f t="shared" si="55"/>
        <v>74272096</v>
      </c>
      <c r="R121" s="168">
        <f t="shared" si="55"/>
        <v>0</v>
      </c>
      <c r="S121" s="168">
        <f t="shared" si="55"/>
        <v>74272096</v>
      </c>
      <c r="T121" s="168">
        <f t="shared" si="55"/>
        <v>30000000</v>
      </c>
      <c r="U121" s="168">
        <f t="shared" si="55"/>
        <v>118820879</v>
      </c>
      <c r="V121" s="168">
        <f t="shared" si="55"/>
        <v>32726719</v>
      </c>
      <c r="W121" s="168">
        <f t="shared" si="55"/>
        <v>0</v>
      </c>
      <c r="X121" s="168">
        <f t="shared" si="55"/>
        <v>0</v>
      </c>
      <c r="Y121" s="168">
        <f t="shared" si="55"/>
        <v>18000000</v>
      </c>
      <c r="Z121" s="168">
        <f t="shared" si="55"/>
        <v>0</v>
      </c>
      <c r="AA121" s="168">
        <f t="shared" si="55"/>
        <v>68094160</v>
      </c>
      <c r="AB121" s="168">
        <f t="shared" si="55"/>
        <v>0</v>
      </c>
      <c r="AC121" s="168">
        <f t="shared" si="55"/>
        <v>10198000</v>
      </c>
      <c r="AD121" s="168">
        <f t="shared" si="55"/>
        <v>0</v>
      </c>
      <c r="AE121" s="168">
        <f t="shared" si="55"/>
        <v>0</v>
      </c>
      <c r="AF121" s="168">
        <f>SUM(AF108:AF120)</f>
        <v>0</v>
      </c>
      <c r="AG121" s="168">
        <f t="shared" si="55"/>
        <v>5150000</v>
      </c>
      <c r="AH121" s="168">
        <f>SUM(AH108:AH120)</f>
        <v>-24563681</v>
      </c>
      <c r="AI121" s="168">
        <f>SUM(AI108:AI120)</f>
        <v>4000000</v>
      </c>
      <c r="AJ121" s="168">
        <f>SUM(AJ108:AJ120)</f>
        <v>21363601</v>
      </c>
      <c r="AK121" s="168">
        <f>SUM(AK108:AK120)</f>
        <v>22903005</v>
      </c>
      <c r="AL121" s="168">
        <f>SUM(AL108:AL120)</f>
        <v>42270610</v>
      </c>
      <c r="AM121" s="168">
        <f t="shared" si="55"/>
        <v>71123535</v>
      </c>
      <c r="AN121" s="168">
        <f t="shared" si="55"/>
        <v>47697344</v>
      </c>
      <c r="AO121" s="168">
        <f t="shared" si="55"/>
        <v>32726719</v>
      </c>
      <c r="AP121" s="168">
        <f t="shared" si="55"/>
        <v>0</v>
      </c>
      <c r="AQ121" s="168">
        <f t="shared" si="55"/>
        <v>0</v>
      </c>
      <c r="AR121" s="168">
        <f t="shared" si="55"/>
        <v>18000000</v>
      </c>
      <c r="AS121" s="168">
        <f t="shared" si="55"/>
        <v>0</v>
      </c>
      <c r="AT121" s="168">
        <f t="shared" si="55"/>
        <v>20396816</v>
      </c>
      <c r="AU121" s="376"/>
      <c r="AV121" s="376"/>
      <c r="AW121" s="376"/>
    </row>
    <row r="122" spans="1:49" s="370" customFormat="1" ht="30" customHeight="1">
      <c r="A122" s="302">
        <f>A120</f>
        <v>112</v>
      </c>
      <c r="B122" s="302"/>
      <c r="C122" s="32" t="s">
        <v>638</v>
      </c>
      <c r="D122" s="369">
        <f t="shared" ref="D122:AT122" si="56">D121+D105</f>
        <v>3016552982</v>
      </c>
      <c r="E122" s="369">
        <f t="shared" si="56"/>
        <v>2814020125</v>
      </c>
      <c r="F122" s="369">
        <f t="shared" si="56"/>
        <v>202532857</v>
      </c>
      <c r="G122" s="369">
        <f t="shared" si="56"/>
        <v>1302929053</v>
      </c>
      <c r="H122" s="369">
        <f t="shared" si="56"/>
        <v>954337610</v>
      </c>
      <c r="I122" s="369">
        <f t="shared" si="56"/>
        <v>3498227</v>
      </c>
      <c r="J122" s="369">
        <f t="shared" si="56"/>
        <v>46047637</v>
      </c>
      <c r="K122" s="369">
        <f t="shared" si="56"/>
        <v>49545864</v>
      </c>
      <c r="L122" s="369">
        <f t="shared" si="56"/>
        <v>1003883474</v>
      </c>
      <c r="M122" s="369">
        <f t="shared" si="56"/>
        <v>334368675</v>
      </c>
      <c r="N122" s="369">
        <f t="shared" si="56"/>
        <v>355041039</v>
      </c>
      <c r="O122" s="369">
        <f t="shared" si="56"/>
        <v>1323259794</v>
      </c>
      <c r="P122" s="369">
        <f t="shared" si="56"/>
        <v>299045579</v>
      </c>
      <c r="Q122" s="369">
        <f t="shared" si="56"/>
        <v>74272096</v>
      </c>
      <c r="R122" s="369">
        <f t="shared" si="56"/>
        <v>0</v>
      </c>
      <c r="S122" s="369">
        <f t="shared" si="56"/>
        <v>74272096</v>
      </c>
      <c r="T122" s="369">
        <f t="shared" si="56"/>
        <v>38949000</v>
      </c>
      <c r="U122" s="369">
        <f t="shared" si="56"/>
        <v>316092039</v>
      </c>
      <c r="V122" s="369">
        <f t="shared" si="56"/>
        <v>205348607</v>
      </c>
      <c r="W122" s="369">
        <f t="shared" si="56"/>
        <v>0</v>
      </c>
      <c r="X122" s="369">
        <f t="shared" si="56"/>
        <v>0</v>
      </c>
      <c r="Y122" s="369">
        <f t="shared" si="56"/>
        <v>18000000</v>
      </c>
      <c r="Z122" s="369">
        <f t="shared" si="56"/>
        <v>0</v>
      </c>
      <c r="AA122" s="369">
        <f t="shared" si="56"/>
        <v>92743432</v>
      </c>
      <c r="AB122" s="369">
        <f t="shared" si="56"/>
        <v>0</v>
      </c>
      <c r="AC122" s="369">
        <f t="shared" si="56"/>
        <v>87621000</v>
      </c>
      <c r="AD122" s="369">
        <f t="shared" si="56"/>
        <v>0</v>
      </c>
      <c r="AE122" s="369">
        <f t="shared" si="56"/>
        <v>0</v>
      </c>
      <c r="AF122" s="369">
        <f t="shared" si="56"/>
        <v>4102160</v>
      </c>
      <c r="AG122" s="369">
        <f t="shared" si="56"/>
        <v>3600000</v>
      </c>
      <c r="AH122" s="369">
        <f t="shared" si="56"/>
        <v>-16863681</v>
      </c>
      <c r="AI122" s="369">
        <f t="shared" si="56"/>
        <v>4000000</v>
      </c>
      <c r="AJ122" s="369">
        <f t="shared" si="56"/>
        <v>23463601</v>
      </c>
      <c r="AK122" s="369">
        <f t="shared" si="56"/>
        <v>28817333</v>
      </c>
      <c r="AL122" s="369">
        <f t="shared" si="56"/>
        <v>167330610</v>
      </c>
      <c r="AM122" s="369">
        <f t="shared" si="56"/>
        <v>214450023</v>
      </c>
      <c r="AN122" s="369">
        <f t="shared" si="56"/>
        <v>101642016</v>
      </c>
      <c r="AO122" s="369">
        <f t="shared" si="56"/>
        <v>175887871</v>
      </c>
      <c r="AP122" s="369">
        <f t="shared" si="56"/>
        <v>0</v>
      </c>
      <c r="AQ122" s="369">
        <f t="shared" si="56"/>
        <v>0</v>
      </c>
      <c r="AR122" s="369">
        <f t="shared" si="56"/>
        <v>18000000</v>
      </c>
      <c r="AS122" s="369">
        <f t="shared" si="56"/>
        <v>0</v>
      </c>
      <c r="AT122" s="369">
        <f t="shared" si="56"/>
        <v>20562152</v>
      </c>
      <c r="AU122" s="302"/>
      <c r="AV122" s="302"/>
      <c r="AW122" s="302"/>
    </row>
    <row r="123" spans="1:49">
      <c r="F123" s="274"/>
      <c r="G123" s="274"/>
      <c r="H123" s="274"/>
      <c r="I123" s="274"/>
      <c r="J123" s="274"/>
      <c r="K123" s="274"/>
      <c r="L123" s="274">
        <f>K122+H122</f>
        <v>1003883474</v>
      </c>
      <c r="M123" s="274">
        <f>P123+S122-T122</f>
        <v>334368675</v>
      </c>
      <c r="N123" s="274"/>
      <c r="O123" s="274"/>
      <c r="P123" s="274">
        <f>G122-L123</f>
        <v>299045579</v>
      </c>
      <c r="Q123" s="274"/>
      <c r="R123" s="273"/>
      <c r="S123" s="274"/>
      <c r="T123" s="274"/>
    </row>
    <row r="124" spans="1:49">
      <c r="F124" s="274"/>
      <c r="G124" s="274"/>
      <c r="H124" s="274"/>
      <c r="I124" s="274"/>
      <c r="J124" s="274"/>
      <c r="K124" s="274"/>
      <c r="L124" s="274"/>
      <c r="M124" s="274"/>
      <c r="N124" s="274"/>
      <c r="O124" s="274"/>
      <c r="P124" s="274"/>
      <c r="Q124" s="274">
        <v>74272096</v>
      </c>
      <c r="R124" s="273"/>
      <c r="S124" s="274"/>
      <c r="T124" s="274"/>
    </row>
    <row r="125" spans="1:49">
      <c r="F125" s="274"/>
      <c r="G125" s="274"/>
      <c r="H125" s="274"/>
      <c r="I125" s="274"/>
      <c r="J125" s="274"/>
      <c r="K125" s="274"/>
      <c r="L125" s="274"/>
      <c r="M125" s="274"/>
      <c r="N125" s="274"/>
      <c r="O125" s="274"/>
      <c r="P125" s="274"/>
      <c r="Q125" s="274"/>
      <c r="R125" s="273"/>
      <c r="S125" s="274"/>
      <c r="T125" s="274"/>
      <c r="AF125" s="280"/>
      <c r="AG125" s="280"/>
      <c r="AH125" s="280"/>
      <c r="AI125" s="280"/>
      <c r="AJ125" s="280"/>
      <c r="AK125" s="280"/>
      <c r="AL125" s="280"/>
    </row>
    <row r="126" spans="1:49">
      <c r="F126" s="274"/>
      <c r="G126" s="274"/>
      <c r="H126" s="274"/>
      <c r="I126" s="274"/>
      <c r="J126" s="274"/>
      <c r="K126" s="274"/>
      <c r="L126" s="274"/>
      <c r="M126" s="274"/>
      <c r="N126" s="274"/>
      <c r="O126" s="274"/>
      <c r="P126" s="274"/>
      <c r="Q126" s="274"/>
      <c r="R126" s="274"/>
      <c r="S126" s="274"/>
      <c r="T126" s="274"/>
      <c r="AF126" s="280"/>
      <c r="AG126" s="280"/>
      <c r="AH126" s="280"/>
      <c r="AI126" s="280"/>
      <c r="AJ126" s="280"/>
      <c r="AK126" s="280"/>
      <c r="AL126" s="280"/>
    </row>
    <row r="127" spans="1:49">
      <c r="F127" s="274"/>
      <c r="G127" s="274"/>
      <c r="H127" s="274"/>
      <c r="I127" s="274"/>
      <c r="J127" s="274"/>
      <c r="K127" s="274"/>
      <c r="L127" s="274"/>
      <c r="M127" s="274"/>
      <c r="N127" s="274"/>
      <c r="O127" s="274"/>
      <c r="P127" s="274"/>
      <c r="Q127" s="274"/>
      <c r="R127" s="274"/>
      <c r="S127" s="274"/>
      <c r="T127" s="274"/>
      <c r="AF127" s="280"/>
      <c r="AG127" s="280"/>
      <c r="AH127" s="280"/>
      <c r="AI127" s="280"/>
      <c r="AJ127" s="280"/>
      <c r="AK127" s="280"/>
      <c r="AL127" s="280"/>
    </row>
    <row r="128" spans="1:49">
      <c r="F128" s="274"/>
      <c r="G128" s="274"/>
      <c r="H128" s="274"/>
      <c r="I128" s="274"/>
      <c r="J128" s="274"/>
      <c r="K128" s="274"/>
      <c r="L128" s="274"/>
      <c r="M128" s="274"/>
      <c r="N128" s="274"/>
      <c r="O128" s="274"/>
      <c r="P128" s="274"/>
      <c r="Q128" s="274"/>
      <c r="R128" s="274"/>
      <c r="S128" s="274"/>
      <c r="T128" s="274"/>
      <c r="AL128" s="280"/>
    </row>
    <row r="129" spans="6:38">
      <c r="F129" s="274"/>
      <c r="G129" s="274"/>
      <c r="H129" s="274"/>
      <c r="I129" s="274"/>
      <c r="J129" s="274"/>
      <c r="K129" s="274"/>
      <c r="L129" s="274"/>
      <c r="M129" s="274"/>
      <c r="N129" s="274"/>
      <c r="O129" s="274"/>
      <c r="P129" s="274"/>
      <c r="Q129" s="167"/>
      <c r="R129" s="274"/>
      <c r="S129" s="274"/>
      <c r="T129" s="274"/>
      <c r="AL129" s="280"/>
    </row>
    <row r="130" spans="6:38">
      <c r="F130" s="274"/>
      <c r="G130" s="274"/>
      <c r="H130" s="274"/>
      <c r="I130" s="274"/>
      <c r="J130" s="274"/>
      <c r="K130" s="274"/>
      <c r="L130" s="274"/>
      <c r="M130" s="274"/>
      <c r="N130" s="274"/>
      <c r="O130" s="274"/>
      <c r="P130" s="274"/>
      <c r="Q130" s="274"/>
      <c r="R130" s="274"/>
      <c r="S130" s="274"/>
      <c r="T130" s="274"/>
      <c r="AL130" s="155">
        <f>AL127-AL129</f>
        <v>0</v>
      </c>
    </row>
    <row r="131" spans="6:38">
      <c r="F131" s="274"/>
      <c r="G131" s="274"/>
      <c r="H131" s="274"/>
      <c r="I131" s="274"/>
      <c r="J131" s="274"/>
      <c r="K131" s="274"/>
      <c r="L131" s="274"/>
      <c r="M131" s="274"/>
      <c r="N131" s="274"/>
      <c r="O131" s="274"/>
      <c r="P131" s="274"/>
      <c r="Q131" s="274"/>
      <c r="R131" s="274"/>
      <c r="S131" s="274"/>
      <c r="T131" s="274"/>
    </row>
    <row r="132" spans="6:38">
      <c r="F132" s="274"/>
      <c r="G132" s="274"/>
      <c r="H132" s="274"/>
      <c r="I132" s="274"/>
      <c r="J132" s="274"/>
      <c r="K132" s="274"/>
      <c r="L132" s="274"/>
      <c r="M132" s="274"/>
      <c r="N132" s="274"/>
      <c r="O132" s="274"/>
      <c r="P132" s="274"/>
      <c r="Q132" s="274"/>
      <c r="R132" s="274"/>
      <c r="S132" s="274"/>
      <c r="T132" s="274"/>
    </row>
    <row r="133" spans="6:38">
      <c r="F133" s="274"/>
      <c r="G133" s="274"/>
      <c r="H133" s="274"/>
      <c r="I133" s="274"/>
      <c r="J133" s="274"/>
      <c r="K133" s="274"/>
      <c r="L133" s="274"/>
      <c r="M133" s="274"/>
      <c r="N133" s="274"/>
      <c r="O133" s="274"/>
      <c r="P133" s="274"/>
      <c r="Q133" s="274"/>
      <c r="R133" s="167"/>
      <c r="S133" s="274"/>
      <c r="T133" s="274"/>
    </row>
    <row r="134" spans="6:38">
      <c r="F134" s="274"/>
      <c r="G134" s="274"/>
      <c r="H134" s="274"/>
      <c r="I134" s="274"/>
      <c r="J134" s="274"/>
      <c r="K134" s="274"/>
      <c r="L134" s="274"/>
      <c r="M134" s="274"/>
      <c r="N134" s="274"/>
      <c r="O134" s="274"/>
      <c r="P134" s="274"/>
      <c r="Q134" s="274"/>
      <c r="R134" s="274"/>
      <c r="S134" s="274"/>
      <c r="T134" s="274"/>
    </row>
    <row r="135" spans="6:38">
      <c r="F135" s="274"/>
      <c r="G135" s="274"/>
      <c r="H135" s="274"/>
      <c r="I135" s="274"/>
      <c r="J135" s="274"/>
      <c r="K135" s="274"/>
      <c r="L135" s="274"/>
      <c r="M135" s="274"/>
      <c r="N135" s="274"/>
      <c r="O135" s="274"/>
      <c r="P135" s="274"/>
      <c r="Q135" s="274"/>
      <c r="R135" s="274"/>
      <c r="S135" s="274"/>
      <c r="T135" s="274"/>
    </row>
    <row r="136" spans="6:38">
      <c r="F136" s="274"/>
      <c r="G136" s="274"/>
      <c r="H136" s="274"/>
      <c r="I136" s="274"/>
      <c r="J136" s="274"/>
      <c r="K136" s="274"/>
      <c r="L136" s="274"/>
      <c r="M136" s="274"/>
      <c r="N136" s="274"/>
      <c r="O136" s="274"/>
      <c r="P136" s="274"/>
      <c r="Q136" s="274"/>
      <c r="R136" s="274"/>
      <c r="S136" s="274"/>
      <c r="T136" s="274"/>
    </row>
    <row r="137" spans="6:38">
      <c r="F137" s="274"/>
      <c r="G137" s="274"/>
      <c r="H137" s="274"/>
      <c r="I137" s="274"/>
      <c r="J137" s="274"/>
      <c r="K137" s="274"/>
      <c r="L137" s="274"/>
      <c r="M137" s="274"/>
      <c r="N137" s="274"/>
      <c r="O137" s="274"/>
      <c r="P137" s="274"/>
      <c r="Q137" s="274"/>
      <c r="R137" s="274"/>
      <c r="S137" s="274"/>
      <c r="T137" s="274"/>
    </row>
  </sheetData>
  <sheetProtection formatCells="0" formatColumns="0" formatRows="0" insertColumns="0" insertRows="0" insertHyperlinks="0" deleteColumns="0" deleteRows="0" sort="0" autoFilter="0" pivotTables="0"/>
  <mergeCells count="4">
    <mergeCell ref="V4:AA4"/>
    <mergeCell ref="AD4:AM4"/>
    <mergeCell ref="AO4:AT4"/>
    <mergeCell ref="T4:U4"/>
  </mergeCells>
  <conditionalFormatting sqref="AB5">
    <cfRule type="cellIs" dxfId="61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AT80"/>
  <sheetViews>
    <sheetView showZeros="0" rightToLeft="1" zoomScaleNormal="100" workbookViewId="0">
      <pane xSplit="5" ySplit="5" topLeftCell="X15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9.28515625" defaultRowHeight="15"/>
  <cols>
    <col min="1" max="1" width="3.7109375" style="28" customWidth="1"/>
    <col min="2" max="2" width="4.7109375" style="12" customWidth="1"/>
    <col min="3" max="3" width="24.5703125" style="12" customWidth="1"/>
    <col min="4" max="20" width="10.7109375" style="14" hidden="1" customWidth="1"/>
    <col min="21" max="23" width="11.28515625" style="12" customWidth="1"/>
    <col min="24" max="25" width="10.7109375" style="12" hidden="1" customWidth="1"/>
    <col min="26" max="27" width="11.28515625" style="12" customWidth="1"/>
    <col min="28" max="28" width="29.28515625" style="18" hidden="1" customWidth="1"/>
    <col min="29" max="29" width="7.7109375" style="12" hidden="1" customWidth="1"/>
    <col min="30" max="38" width="11.7109375" style="24" hidden="1" customWidth="1"/>
    <col min="39" max="42" width="11.28515625" style="17" customWidth="1"/>
    <col min="43" max="43" width="11.7109375" style="17" hidden="1" customWidth="1"/>
    <col min="44" max="44" width="11.7109375" style="12" hidden="1" customWidth="1"/>
    <col min="45" max="46" width="11.28515625" style="12" customWidth="1"/>
    <col min="47" max="16384" width="9.28515625" style="12"/>
  </cols>
  <sheetData>
    <row r="1" spans="1:46" s="259" customFormat="1" ht="18.75">
      <c r="A1" s="257"/>
      <c r="B1" s="383"/>
      <c r="C1" s="383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60"/>
      <c r="AD1" s="24"/>
      <c r="AE1" s="24"/>
      <c r="AF1" s="24"/>
      <c r="AG1" s="24"/>
      <c r="AH1" s="24"/>
      <c r="AI1" s="24"/>
      <c r="AJ1" s="24"/>
      <c r="AK1" s="24"/>
      <c r="AL1" s="24"/>
    </row>
    <row r="2" spans="1:46" s="154" customFormat="1" ht="18.75">
      <c r="A2" s="257" t="s">
        <v>2278</v>
      </c>
      <c r="B2" s="383"/>
      <c r="C2" s="383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170"/>
      <c r="AD2" s="24"/>
      <c r="AE2" s="24"/>
      <c r="AF2" s="24"/>
      <c r="AG2" s="24"/>
      <c r="AH2" s="24"/>
      <c r="AI2" s="24"/>
      <c r="AJ2" s="24"/>
      <c r="AK2" s="24"/>
      <c r="AL2" s="24"/>
    </row>
    <row r="3" spans="1:46" s="154" customFormat="1" ht="18.75">
      <c r="A3" s="257"/>
      <c r="B3" s="383"/>
      <c r="C3" s="383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170"/>
      <c r="AD3" s="24"/>
      <c r="AE3" s="24"/>
      <c r="AF3" s="24"/>
      <c r="AG3" s="24"/>
      <c r="AH3" s="24"/>
      <c r="AI3" s="24"/>
      <c r="AJ3" s="24"/>
      <c r="AK3" s="24"/>
      <c r="AL3" s="24"/>
    </row>
    <row r="4" spans="1:46" ht="25.15" customHeight="1">
      <c r="A4" s="691"/>
      <c r="B4" s="692"/>
      <c r="C4" s="692"/>
      <c r="T4" s="876" t="s">
        <v>256</v>
      </c>
      <c r="U4" s="877"/>
      <c r="V4" s="876" t="s">
        <v>88</v>
      </c>
      <c r="W4" s="877"/>
      <c r="X4" s="877"/>
      <c r="Y4" s="877"/>
      <c r="Z4" s="877"/>
      <c r="AA4" s="878"/>
      <c r="AD4" s="876" t="s">
        <v>246</v>
      </c>
      <c r="AE4" s="877"/>
      <c r="AF4" s="877"/>
      <c r="AG4" s="877"/>
      <c r="AH4" s="877"/>
      <c r="AI4" s="877"/>
      <c r="AJ4" s="877"/>
      <c r="AK4" s="877"/>
      <c r="AL4" s="877"/>
      <c r="AM4" s="877"/>
      <c r="AN4" s="566"/>
      <c r="AO4" s="876" t="s">
        <v>2269</v>
      </c>
      <c r="AP4" s="877"/>
      <c r="AQ4" s="877"/>
      <c r="AR4" s="877"/>
      <c r="AS4" s="877"/>
      <c r="AT4" s="878"/>
    </row>
    <row r="5" spans="1:46" s="24" customFormat="1" ht="75">
      <c r="A5" s="385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9</v>
      </c>
      <c r="J5" s="16" t="s">
        <v>153</v>
      </c>
      <c r="K5" s="16" t="s">
        <v>10</v>
      </c>
      <c r="L5" s="16" t="s">
        <v>11</v>
      </c>
      <c r="M5" s="9" t="s">
        <v>618</v>
      </c>
      <c r="N5" s="16" t="s">
        <v>619</v>
      </c>
      <c r="O5" s="16" t="s">
        <v>620</v>
      </c>
      <c r="P5" s="16" t="s">
        <v>12</v>
      </c>
      <c r="Q5" s="16" t="s">
        <v>621</v>
      </c>
      <c r="R5" s="16" t="s">
        <v>622</v>
      </c>
      <c r="S5" s="16" t="s">
        <v>623</v>
      </c>
      <c r="T5" s="16" t="s">
        <v>624</v>
      </c>
      <c r="U5" s="16" t="s">
        <v>625</v>
      </c>
      <c r="V5" s="16" t="s">
        <v>13</v>
      </c>
      <c r="W5" s="16" t="s">
        <v>14</v>
      </c>
      <c r="X5" s="16" t="s">
        <v>15</v>
      </c>
      <c r="Y5" s="16" t="s">
        <v>265</v>
      </c>
      <c r="Z5" s="16" t="s">
        <v>749</v>
      </c>
      <c r="AA5" s="16" t="s">
        <v>84</v>
      </c>
      <c r="AB5" s="572" t="s">
        <v>304</v>
      </c>
      <c r="AC5" s="16" t="s">
        <v>16</v>
      </c>
      <c r="AD5" s="9" t="s">
        <v>1911</v>
      </c>
      <c r="AE5" s="9" t="s">
        <v>1912</v>
      </c>
      <c r="AF5" s="9" t="s">
        <v>247</v>
      </c>
      <c r="AG5" s="9" t="s">
        <v>248</v>
      </c>
      <c r="AH5" s="9" t="s">
        <v>1913</v>
      </c>
      <c r="AI5" s="9" t="s">
        <v>1914</v>
      </c>
      <c r="AJ5" s="9" t="s">
        <v>1915</v>
      </c>
      <c r="AK5" s="9" t="s">
        <v>1916</v>
      </c>
      <c r="AL5" s="9" t="s">
        <v>1917</v>
      </c>
      <c r="AM5" s="20" t="s">
        <v>2037</v>
      </c>
      <c r="AN5" s="20" t="s">
        <v>852</v>
      </c>
      <c r="AO5" s="9" t="s">
        <v>13</v>
      </c>
      <c r="AP5" s="9" t="s">
        <v>14</v>
      </c>
      <c r="AQ5" s="9" t="s">
        <v>15</v>
      </c>
      <c r="AR5" s="9" t="s">
        <v>265</v>
      </c>
      <c r="AS5" s="9" t="s">
        <v>749</v>
      </c>
      <c r="AT5" s="9" t="s">
        <v>84</v>
      </c>
    </row>
    <row r="6" spans="1:46" s="5" customFormat="1" ht="30" customHeight="1">
      <c r="A6" s="386">
        <v>1</v>
      </c>
      <c r="B6" s="3">
        <v>1247</v>
      </c>
      <c r="C6" s="3" t="s">
        <v>50</v>
      </c>
      <c r="D6" s="4">
        <v>9500000</v>
      </c>
      <c r="E6" s="4">
        <v>9500000</v>
      </c>
      <c r="F6" s="4">
        <f t="shared" ref="F6:F65" si="0">D6-E6</f>
        <v>0</v>
      </c>
      <c r="G6" s="4">
        <v>9050000</v>
      </c>
      <c r="H6" s="4">
        <v>8420262</v>
      </c>
      <c r="I6" s="4">
        <v>0</v>
      </c>
      <c r="J6" s="4">
        <v>528321</v>
      </c>
      <c r="K6" s="4">
        <f t="shared" ref="K6:K37" si="1">SUM(I6:J6)</f>
        <v>528321</v>
      </c>
      <c r="L6" s="4">
        <f t="shared" ref="L6:L60" si="2">K6+H6</f>
        <v>8948583</v>
      </c>
      <c r="M6" s="4">
        <f t="shared" ref="M6:M25" si="3">P6+S6</f>
        <v>101417</v>
      </c>
      <c r="N6" s="4">
        <f>450000-250000</f>
        <v>200000</v>
      </c>
      <c r="O6" s="4">
        <f t="shared" ref="O6:O60" si="4">D6-L6-M6-N6</f>
        <v>250000</v>
      </c>
      <c r="P6" s="4">
        <f t="shared" ref="P6:P60" si="5">G6-L6</f>
        <v>101417</v>
      </c>
      <c r="Q6" s="4"/>
      <c r="R6" s="4"/>
      <c r="S6" s="4">
        <f t="shared" ref="S6:S60" si="6">SUM(Q6:R6)</f>
        <v>0</v>
      </c>
      <c r="T6" s="4">
        <f t="shared" ref="T6:T60" si="7">P6-M6+S6</f>
        <v>0</v>
      </c>
      <c r="U6" s="4">
        <f t="shared" ref="U6:U65" si="8">N6-T6</f>
        <v>200000</v>
      </c>
      <c r="V6" s="4"/>
      <c r="W6" s="4">
        <f t="shared" ref="W6:W33" si="9">U6-V6-AA6</f>
        <v>200000</v>
      </c>
      <c r="X6" s="4"/>
      <c r="Y6" s="4"/>
      <c r="Z6" s="4"/>
      <c r="AA6" s="3"/>
      <c r="AB6" s="3" t="s">
        <v>1985</v>
      </c>
      <c r="AC6" s="3">
        <v>732000</v>
      </c>
      <c r="AD6" s="16"/>
      <c r="AE6" s="16"/>
      <c r="AF6" s="4">
        <v>100000</v>
      </c>
      <c r="AG6" s="4"/>
      <c r="AH6" s="4"/>
      <c r="AI6" s="4">
        <v>50000</v>
      </c>
      <c r="AJ6" s="4">
        <v>20000</v>
      </c>
      <c r="AK6" s="4">
        <v>30000</v>
      </c>
      <c r="AL6" s="4"/>
      <c r="AM6" s="4">
        <f>SUM(AD6:AL6)</f>
        <v>200000</v>
      </c>
      <c r="AN6" s="4">
        <f>U6-AM6</f>
        <v>0</v>
      </c>
      <c r="AO6" s="4"/>
      <c r="AP6" s="4">
        <f>AM6-AS6-AT6-AO6</f>
        <v>200000</v>
      </c>
      <c r="AQ6" s="4"/>
      <c r="AR6" s="3"/>
      <c r="AS6" s="3"/>
      <c r="AT6" s="3"/>
    </row>
    <row r="7" spans="1:46" s="387" customFormat="1" ht="30" customHeight="1">
      <c r="A7" s="386">
        <f>A6+1</f>
        <v>2</v>
      </c>
      <c r="B7" s="3">
        <v>1253</v>
      </c>
      <c r="C7" s="3" t="s">
        <v>51</v>
      </c>
      <c r="D7" s="4">
        <v>5200000</v>
      </c>
      <c r="E7" s="4">
        <v>5200000</v>
      </c>
      <c r="F7" s="4">
        <f t="shared" si="0"/>
        <v>0</v>
      </c>
      <c r="G7" s="4">
        <v>4600000</v>
      </c>
      <c r="H7" s="4">
        <v>4516607</v>
      </c>
      <c r="I7" s="4">
        <v>0</v>
      </c>
      <c r="J7" s="4">
        <v>18424</v>
      </c>
      <c r="K7" s="4">
        <f t="shared" si="1"/>
        <v>18424</v>
      </c>
      <c r="L7" s="4">
        <f t="shared" si="2"/>
        <v>4535031</v>
      </c>
      <c r="M7" s="4">
        <f t="shared" si="3"/>
        <v>64969</v>
      </c>
      <c r="N7" s="4">
        <v>500000</v>
      </c>
      <c r="O7" s="4">
        <f t="shared" si="4"/>
        <v>100000</v>
      </c>
      <c r="P7" s="4">
        <f t="shared" si="5"/>
        <v>64969</v>
      </c>
      <c r="Q7" s="4"/>
      <c r="R7" s="4"/>
      <c r="S7" s="4">
        <f t="shared" si="6"/>
        <v>0</v>
      </c>
      <c r="T7" s="4">
        <f t="shared" si="7"/>
        <v>0</v>
      </c>
      <c r="U7" s="4">
        <f t="shared" si="8"/>
        <v>500000</v>
      </c>
      <c r="V7" s="4"/>
      <c r="W7" s="4">
        <f t="shared" si="9"/>
        <v>500000</v>
      </c>
      <c r="X7" s="4"/>
      <c r="Y7" s="4"/>
      <c r="Z7" s="4"/>
      <c r="AA7" s="3"/>
      <c r="AB7" s="3" t="s">
        <v>339</v>
      </c>
      <c r="AC7" s="3">
        <v>850000</v>
      </c>
      <c r="AD7" s="16"/>
      <c r="AE7" s="16"/>
      <c r="AF7" s="4"/>
      <c r="AG7" s="4">
        <v>100000</v>
      </c>
      <c r="AH7" s="4">
        <v>200000</v>
      </c>
      <c r="AI7" s="4"/>
      <c r="AJ7" s="4"/>
      <c r="AK7" s="4"/>
      <c r="AL7" s="4">
        <v>200000</v>
      </c>
      <c r="AM7" s="4">
        <f t="shared" ref="AM7:AM65" si="10">SUM(AD7:AL7)</f>
        <v>500000</v>
      </c>
      <c r="AN7" s="4">
        <f t="shared" ref="AN7:AN65" si="11">U7-AM7</f>
        <v>0</v>
      </c>
      <c r="AO7" s="4"/>
      <c r="AP7" s="4">
        <f t="shared" ref="AP7:AP65" si="12">AM7-AS7-AT7-AO7</f>
        <v>500000</v>
      </c>
      <c r="AQ7" s="4"/>
      <c r="AR7" s="32"/>
      <c r="AS7" s="32"/>
      <c r="AT7" s="32"/>
    </row>
    <row r="8" spans="1:46" s="5" customFormat="1" ht="45">
      <c r="A8" s="386">
        <f t="shared" ref="A8:A65" si="13">A7+1</f>
        <v>3</v>
      </c>
      <c r="B8" s="3">
        <v>1415</v>
      </c>
      <c r="C8" s="3" t="s">
        <v>2279</v>
      </c>
      <c r="D8" s="4">
        <f>1400000+100000-100000</f>
        <v>1400000</v>
      </c>
      <c r="E8" s="4">
        <v>1200000</v>
      </c>
      <c r="F8" s="4">
        <f t="shared" si="0"/>
        <v>200000</v>
      </c>
      <c r="G8" s="4">
        <v>1200000</v>
      </c>
      <c r="H8" s="4">
        <v>1062219</v>
      </c>
      <c r="I8" s="4">
        <v>0</v>
      </c>
      <c r="J8" s="4">
        <v>82178</v>
      </c>
      <c r="K8" s="4">
        <f t="shared" si="1"/>
        <v>82178</v>
      </c>
      <c r="L8" s="4">
        <f t="shared" si="2"/>
        <v>1144397</v>
      </c>
      <c r="M8" s="4">
        <f t="shared" si="3"/>
        <v>55603</v>
      </c>
      <c r="N8" s="4">
        <f>200000+100000-100000</f>
        <v>200000</v>
      </c>
      <c r="O8" s="4">
        <f t="shared" si="4"/>
        <v>0</v>
      </c>
      <c r="P8" s="4">
        <f t="shared" si="5"/>
        <v>55603</v>
      </c>
      <c r="Q8" s="4"/>
      <c r="R8" s="4"/>
      <c r="S8" s="4">
        <f t="shared" si="6"/>
        <v>0</v>
      </c>
      <c r="T8" s="4">
        <f t="shared" si="7"/>
        <v>0</v>
      </c>
      <c r="U8" s="4">
        <f t="shared" si="8"/>
        <v>200000</v>
      </c>
      <c r="V8" s="4"/>
      <c r="W8" s="4">
        <f t="shared" si="9"/>
        <v>200000</v>
      </c>
      <c r="X8" s="4"/>
      <c r="Y8" s="4"/>
      <c r="Z8" s="4"/>
      <c r="AA8" s="3"/>
      <c r="AB8" s="3" t="s">
        <v>656</v>
      </c>
      <c r="AC8" s="3">
        <v>930000</v>
      </c>
      <c r="AD8" s="16"/>
      <c r="AE8" s="4">
        <v>50000</v>
      </c>
      <c r="AF8" s="4">
        <v>30000</v>
      </c>
      <c r="AG8" s="4"/>
      <c r="AH8" s="4">
        <v>60000</v>
      </c>
      <c r="AI8" s="4"/>
      <c r="AJ8" s="4">
        <v>20000</v>
      </c>
      <c r="AK8" s="4">
        <v>20000</v>
      </c>
      <c r="AL8" s="4">
        <v>20000</v>
      </c>
      <c r="AM8" s="4">
        <f t="shared" si="10"/>
        <v>200000</v>
      </c>
      <c r="AN8" s="4">
        <f t="shared" si="11"/>
        <v>0</v>
      </c>
      <c r="AO8" s="4"/>
      <c r="AP8" s="4">
        <f t="shared" si="12"/>
        <v>200000</v>
      </c>
      <c r="AQ8" s="4"/>
      <c r="AR8" s="573"/>
      <c r="AS8" s="573"/>
      <c r="AT8" s="573"/>
    </row>
    <row r="9" spans="1:46" s="5" customFormat="1" ht="30" customHeight="1">
      <c r="A9" s="386">
        <f t="shared" si="13"/>
        <v>4</v>
      </c>
      <c r="B9" s="3">
        <v>1416</v>
      </c>
      <c r="C9" s="3" t="s">
        <v>105</v>
      </c>
      <c r="D9" s="4">
        <v>2100000</v>
      </c>
      <c r="E9" s="4">
        <v>1800000</v>
      </c>
      <c r="F9" s="4">
        <f t="shared" si="0"/>
        <v>300000</v>
      </c>
      <c r="G9" s="4">
        <v>1800000</v>
      </c>
      <c r="H9" s="4">
        <v>1677529</v>
      </c>
      <c r="I9" s="4">
        <v>0</v>
      </c>
      <c r="J9" s="4">
        <v>108908</v>
      </c>
      <c r="K9" s="4">
        <f t="shared" si="1"/>
        <v>108908</v>
      </c>
      <c r="L9" s="4">
        <f t="shared" si="2"/>
        <v>1786437</v>
      </c>
      <c r="M9" s="4">
        <f t="shared" si="3"/>
        <v>13563</v>
      </c>
      <c r="N9" s="4">
        <v>300000</v>
      </c>
      <c r="O9" s="4">
        <f t="shared" si="4"/>
        <v>0</v>
      </c>
      <c r="P9" s="4">
        <f t="shared" si="5"/>
        <v>13563</v>
      </c>
      <c r="Q9" s="4"/>
      <c r="R9" s="4"/>
      <c r="S9" s="4">
        <f t="shared" si="6"/>
        <v>0</v>
      </c>
      <c r="T9" s="4">
        <f t="shared" si="7"/>
        <v>0</v>
      </c>
      <c r="U9" s="4">
        <f t="shared" si="8"/>
        <v>300000</v>
      </c>
      <c r="V9" s="4"/>
      <c r="W9" s="4">
        <f t="shared" si="9"/>
        <v>300000</v>
      </c>
      <c r="X9" s="4"/>
      <c r="Y9" s="4"/>
      <c r="Z9" s="4"/>
      <c r="AA9" s="3"/>
      <c r="AB9" s="3" t="s">
        <v>340</v>
      </c>
      <c r="AC9" s="3">
        <v>930000</v>
      </c>
      <c r="AD9" s="16"/>
      <c r="AE9" s="4">
        <v>50000</v>
      </c>
      <c r="AF9" s="4">
        <v>50000</v>
      </c>
      <c r="AG9" s="4">
        <v>100000</v>
      </c>
      <c r="AH9" s="4">
        <v>50000</v>
      </c>
      <c r="AI9" s="4">
        <v>50000</v>
      </c>
      <c r="AJ9" s="4"/>
      <c r="AK9" s="4"/>
      <c r="AL9" s="4"/>
      <c r="AM9" s="4">
        <f t="shared" si="10"/>
        <v>300000</v>
      </c>
      <c r="AN9" s="4">
        <f t="shared" si="11"/>
        <v>0</v>
      </c>
      <c r="AO9" s="4"/>
      <c r="AP9" s="4">
        <f t="shared" si="12"/>
        <v>300000</v>
      </c>
      <c r="AQ9" s="4"/>
      <c r="AR9" s="3"/>
      <c r="AS9" s="3"/>
      <c r="AT9" s="3"/>
    </row>
    <row r="10" spans="1:46" s="5" customFormat="1" ht="30" customHeight="1">
      <c r="A10" s="386">
        <f t="shared" si="13"/>
        <v>5</v>
      </c>
      <c r="B10" s="3">
        <v>1472</v>
      </c>
      <c r="C10" s="3" t="s">
        <v>2270</v>
      </c>
      <c r="D10" s="4">
        <f>11350000-43904</f>
        <v>11306096</v>
      </c>
      <c r="E10" s="4">
        <v>11350000</v>
      </c>
      <c r="F10" s="4">
        <f t="shared" si="0"/>
        <v>-43904</v>
      </c>
      <c r="G10" s="4">
        <v>11306096</v>
      </c>
      <c r="H10" s="4">
        <v>11206752</v>
      </c>
      <c r="I10" s="4">
        <v>0</v>
      </c>
      <c r="J10" s="4">
        <v>83622</v>
      </c>
      <c r="K10" s="4">
        <f t="shared" si="1"/>
        <v>83622</v>
      </c>
      <c r="L10" s="4">
        <f t="shared" si="2"/>
        <v>11290374</v>
      </c>
      <c r="M10" s="4">
        <f t="shared" si="3"/>
        <v>15722</v>
      </c>
      <c r="N10" s="4">
        <f>500000-500000</f>
        <v>0</v>
      </c>
      <c r="O10" s="4">
        <f t="shared" si="4"/>
        <v>0</v>
      </c>
      <c r="P10" s="4">
        <f t="shared" si="5"/>
        <v>15722</v>
      </c>
      <c r="Q10" s="4"/>
      <c r="R10" s="4"/>
      <c r="S10" s="4">
        <f t="shared" si="6"/>
        <v>0</v>
      </c>
      <c r="T10" s="4">
        <f t="shared" si="7"/>
        <v>0</v>
      </c>
      <c r="U10" s="4">
        <f t="shared" si="8"/>
        <v>0</v>
      </c>
      <c r="V10" s="4"/>
      <c r="W10" s="4">
        <f t="shared" si="9"/>
        <v>0</v>
      </c>
      <c r="X10" s="4"/>
      <c r="Y10" s="4"/>
      <c r="Z10" s="4"/>
      <c r="AA10" s="3"/>
      <c r="AB10" s="3" t="s">
        <v>1986</v>
      </c>
      <c r="AC10" s="3">
        <v>810000</v>
      </c>
      <c r="AD10" s="16"/>
      <c r="AE10" s="4"/>
      <c r="AF10" s="4"/>
      <c r="AG10" s="4"/>
      <c r="AH10" s="4"/>
      <c r="AI10" s="4"/>
      <c r="AJ10" s="4"/>
      <c r="AK10" s="4"/>
      <c r="AL10" s="4"/>
      <c r="AM10" s="4">
        <f t="shared" si="10"/>
        <v>0</v>
      </c>
      <c r="AN10" s="4">
        <f t="shared" si="11"/>
        <v>0</v>
      </c>
      <c r="AO10" s="4"/>
      <c r="AP10" s="4">
        <f t="shared" si="12"/>
        <v>0</v>
      </c>
      <c r="AQ10" s="4"/>
      <c r="AR10" s="3"/>
      <c r="AS10" s="3"/>
      <c r="AT10" s="3"/>
    </row>
    <row r="11" spans="1:46" s="5" customFormat="1" ht="30" customHeight="1">
      <c r="A11" s="386">
        <f t="shared" si="13"/>
        <v>6</v>
      </c>
      <c r="B11" s="3">
        <v>1477</v>
      </c>
      <c r="C11" s="3" t="s">
        <v>658</v>
      </c>
      <c r="D11" s="4">
        <v>9350000</v>
      </c>
      <c r="E11" s="4">
        <v>9350000</v>
      </c>
      <c r="F11" s="4">
        <f t="shared" si="0"/>
        <v>0</v>
      </c>
      <c r="G11" s="4">
        <v>4450000</v>
      </c>
      <c r="H11" s="4">
        <v>2466895</v>
      </c>
      <c r="I11" s="4">
        <v>1346368</v>
      </c>
      <c r="J11" s="4">
        <v>96937</v>
      </c>
      <c r="K11" s="4">
        <f t="shared" si="1"/>
        <v>1443305</v>
      </c>
      <c r="L11" s="4">
        <f t="shared" si="2"/>
        <v>3910200</v>
      </c>
      <c r="M11" s="4">
        <f t="shared" si="3"/>
        <v>539800</v>
      </c>
      <c r="N11" s="4">
        <f>2000000+200000-1000000</f>
        <v>1200000</v>
      </c>
      <c r="O11" s="4">
        <f t="shared" si="4"/>
        <v>3700000</v>
      </c>
      <c r="P11" s="4">
        <f t="shared" si="5"/>
        <v>539800</v>
      </c>
      <c r="Q11" s="4"/>
      <c r="R11" s="4"/>
      <c r="S11" s="4">
        <f t="shared" si="6"/>
        <v>0</v>
      </c>
      <c r="T11" s="4">
        <f t="shared" si="7"/>
        <v>0</v>
      </c>
      <c r="U11" s="4">
        <f t="shared" si="8"/>
        <v>1200000</v>
      </c>
      <c r="V11" s="4"/>
      <c r="W11" s="4">
        <f t="shared" si="9"/>
        <v>1200000</v>
      </c>
      <c r="X11" s="4"/>
      <c r="Y11" s="4"/>
      <c r="Z11" s="4"/>
      <c r="AA11" s="3"/>
      <c r="AB11" s="3" t="s">
        <v>1987</v>
      </c>
      <c r="AC11" s="3">
        <v>810000</v>
      </c>
      <c r="AD11" s="16"/>
      <c r="AE11" s="4"/>
      <c r="AF11" s="4">
        <v>1200000</v>
      </c>
      <c r="AG11" s="4"/>
      <c r="AH11" s="4"/>
      <c r="AI11" s="4"/>
      <c r="AJ11" s="4"/>
      <c r="AK11" s="4"/>
      <c r="AL11" s="4"/>
      <c r="AM11" s="4">
        <f t="shared" si="10"/>
        <v>1200000</v>
      </c>
      <c r="AN11" s="4">
        <f t="shared" si="11"/>
        <v>0</v>
      </c>
      <c r="AO11" s="4"/>
      <c r="AP11" s="4">
        <f t="shared" si="12"/>
        <v>1200000</v>
      </c>
      <c r="AQ11" s="4"/>
      <c r="AR11" s="3"/>
      <c r="AS11" s="3"/>
      <c r="AT11" s="3"/>
    </row>
    <row r="12" spans="1:46" s="5" customFormat="1" ht="30" customHeight="1">
      <c r="A12" s="386">
        <f t="shared" si="13"/>
        <v>7</v>
      </c>
      <c r="B12" s="3">
        <v>1483</v>
      </c>
      <c r="C12" s="3" t="s">
        <v>1988</v>
      </c>
      <c r="D12" s="4">
        <f>2700000-600000</f>
        <v>2100000</v>
      </c>
      <c r="E12" s="4">
        <v>2700000</v>
      </c>
      <c r="F12" s="4">
        <f t="shared" si="0"/>
        <v>-600000</v>
      </c>
      <c r="G12" s="4">
        <v>2100000</v>
      </c>
      <c r="H12" s="4">
        <v>2039800</v>
      </c>
      <c r="I12" s="4">
        <v>0</v>
      </c>
      <c r="J12" s="4">
        <v>59675</v>
      </c>
      <c r="K12" s="4">
        <f t="shared" si="1"/>
        <v>59675</v>
      </c>
      <c r="L12" s="4">
        <f t="shared" si="2"/>
        <v>2099475</v>
      </c>
      <c r="M12" s="4">
        <f t="shared" si="3"/>
        <v>525</v>
      </c>
      <c r="N12" s="4"/>
      <c r="O12" s="4">
        <f t="shared" si="4"/>
        <v>0</v>
      </c>
      <c r="P12" s="4">
        <f t="shared" si="5"/>
        <v>525</v>
      </c>
      <c r="Q12" s="4"/>
      <c r="R12" s="4"/>
      <c r="S12" s="4">
        <f t="shared" si="6"/>
        <v>0</v>
      </c>
      <c r="T12" s="4">
        <f t="shared" si="7"/>
        <v>0</v>
      </c>
      <c r="U12" s="4">
        <f t="shared" si="8"/>
        <v>0</v>
      </c>
      <c r="V12" s="4"/>
      <c r="W12" s="4">
        <f t="shared" si="9"/>
        <v>0</v>
      </c>
      <c r="X12" s="4"/>
      <c r="Y12" s="4"/>
      <c r="Z12" s="4"/>
      <c r="AA12" s="3"/>
      <c r="AB12" s="3" t="s">
        <v>1989</v>
      </c>
      <c r="AC12" s="3">
        <v>812000</v>
      </c>
      <c r="AD12" s="16"/>
      <c r="AE12" s="4"/>
      <c r="AF12" s="4"/>
      <c r="AG12" s="4"/>
      <c r="AH12" s="4"/>
      <c r="AI12" s="4"/>
      <c r="AJ12" s="4"/>
      <c r="AK12" s="4"/>
      <c r="AL12" s="4"/>
      <c r="AM12" s="4">
        <f t="shared" si="10"/>
        <v>0</v>
      </c>
      <c r="AN12" s="4">
        <f t="shared" si="11"/>
        <v>0</v>
      </c>
      <c r="AO12" s="4"/>
      <c r="AP12" s="4">
        <f t="shared" si="12"/>
        <v>0</v>
      </c>
      <c r="AQ12" s="4"/>
      <c r="AR12" s="3"/>
      <c r="AS12" s="3"/>
      <c r="AT12" s="3"/>
    </row>
    <row r="13" spans="1:46" s="5" customFormat="1" ht="30" customHeight="1">
      <c r="A13" s="386">
        <f t="shared" si="13"/>
        <v>8</v>
      </c>
      <c r="B13" s="3">
        <v>1489</v>
      </c>
      <c r="C13" s="3" t="s">
        <v>341</v>
      </c>
      <c r="D13" s="4">
        <v>54000000</v>
      </c>
      <c r="E13" s="4">
        <v>48500000</v>
      </c>
      <c r="F13" s="4">
        <f t="shared" si="0"/>
        <v>5500000</v>
      </c>
      <c r="G13" s="4">
        <v>48000000</v>
      </c>
      <c r="H13" s="4">
        <v>41835968</v>
      </c>
      <c r="I13" s="4">
        <v>0</v>
      </c>
      <c r="J13" s="4">
        <v>5340608</v>
      </c>
      <c r="K13" s="4">
        <f t="shared" si="1"/>
        <v>5340608</v>
      </c>
      <c r="L13" s="4">
        <f t="shared" si="2"/>
        <v>47176576</v>
      </c>
      <c r="M13" s="4">
        <f t="shared" si="3"/>
        <v>823424</v>
      </c>
      <c r="N13" s="4">
        <f>6000000-2500000</f>
        <v>3500000</v>
      </c>
      <c r="O13" s="4">
        <f t="shared" si="4"/>
        <v>2500000</v>
      </c>
      <c r="P13" s="4">
        <f t="shared" si="5"/>
        <v>823424</v>
      </c>
      <c r="Q13" s="4"/>
      <c r="R13" s="4"/>
      <c r="S13" s="4">
        <f t="shared" si="6"/>
        <v>0</v>
      </c>
      <c r="T13" s="4">
        <f t="shared" si="7"/>
        <v>0</v>
      </c>
      <c r="U13" s="4">
        <f t="shared" si="8"/>
        <v>3500000</v>
      </c>
      <c r="V13" s="4"/>
      <c r="W13" s="4">
        <f t="shared" si="9"/>
        <v>3500000</v>
      </c>
      <c r="X13" s="4"/>
      <c r="Y13" s="4"/>
      <c r="Z13" s="4"/>
      <c r="AA13" s="3"/>
      <c r="AB13" s="3" t="s">
        <v>773</v>
      </c>
      <c r="AC13" s="3">
        <v>742000</v>
      </c>
      <c r="AD13" s="16"/>
      <c r="AE13" s="4"/>
      <c r="AF13" s="4">
        <v>2000000</v>
      </c>
      <c r="AG13" s="4"/>
      <c r="AH13" s="4">
        <v>1500000</v>
      </c>
      <c r="AI13" s="4"/>
      <c r="AJ13" s="4"/>
      <c r="AK13" s="4"/>
      <c r="AL13" s="4"/>
      <c r="AM13" s="4">
        <f t="shared" si="10"/>
        <v>3500000</v>
      </c>
      <c r="AN13" s="4">
        <f t="shared" si="11"/>
        <v>0</v>
      </c>
      <c r="AO13" s="4"/>
      <c r="AP13" s="4">
        <f t="shared" si="12"/>
        <v>3500000</v>
      </c>
      <c r="AQ13" s="4"/>
      <c r="AR13" s="3"/>
      <c r="AS13" s="3"/>
      <c r="AT13" s="3"/>
    </row>
    <row r="14" spans="1:46" s="5" customFormat="1" ht="30" customHeight="1">
      <c r="A14" s="386">
        <f t="shared" si="13"/>
        <v>9</v>
      </c>
      <c r="B14" s="3">
        <v>1560</v>
      </c>
      <c r="C14" s="3" t="s">
        <v>52</v>
      </c>
      <c r="D14" s="4">
        <f>5510000+1000000-100000</f>
        <v>6410000</v>
      </c>
      <c r="E14" s="4">
        <v>5510000</v>
      </c>
      <c r="F14" s="4">
        <f t="shared" si="0"/>
        <v>900000</v>
      </c>
      <c r="G14" s="4">
        <v>5510000</v>
      </c>
      <c r="H14" s="4">
        <v>4777462</v>
      </c>
      <c r="I14" s="4">
        <v>0</v>
      </c>
      <c r="J14" s="4">
        <v>730909</v>
      </c>
      <c r="K14" s="4">
        <f t="shared" si="1"/>
        <v>730909</v>
      </c>
      <c r="L14" s="4">
        <f t="shared" si="2"/>
        <v>5508371</v>
      </c>
      <c r="M14" s="4">
        <f t="shared" si="3"/>
        <v>1629</v>
      </c>
      <c r="N14" s="4">
        <f>1000000-100000-400000</f>
        <v>500000</v>
      </c>
      <c r="O14" s="4">
        <f t="shared" si="4"/>
        <v>400000</v>
      </c>
      <c r="P14" s="4">
        <f t="shared" si="5"/>
        <v>1629</v>
      </c>
      <c r="Q14" s="4"/>
      <c r="R14" s="4"/>
      <c r="S14" s="4">
        <f t="shared" si="6"/>
        <v>0</v>
      </c>
      <c r="T14" s="4">
        <f t="shared" si="7"/>
        <v>0</v>
      </c>
      <c r="U14" s="4">
        <f t="shared" si="8"/>
        <v>500000</v>
      </c>
      <c r="V14" s="4"/>
      <c r="W14" s="4">
        <f t="shared" si="9"/>
        <v>500000</v>
      </c>
      <c r="X14" s="4"/>
      <c r="Y14" s="4"/>
      <c r="Z14" s="4"/>
      <c r="AA14" s="3"/>
      <c r="AB14" s="3" t="s">
        <v>657</v>
      </c>
      <c r="AC14" s="3">
        <v>746000</v>
      </c>
      <c r="AD14" s="16"/>
      <c r="AE14" s="4">
        <f>100000+150000</f>
        <v>250000</v>
      </c>
      <c r="AF14" s="4">
        <v>50000</v>
      </c>
      <c r="AG14" s="4">
        <v>200000</v>
      </c>
      <c r="AH14" s="4"/>
      <c r="AI14" s="4"/>
      <c r="AJ14" s="4"/>
      <c r="AK14" s="4"/>
      <c r="AL14" s="4"/>
      <c r="AM14" s="4">
        <f t="shared" si="10"/>
        <v>500000</v>
      </c>
      <c r="AN14" s="4">
        <f t="shared" si="11"/>
        <v>0</v>
      </c>
      <c r="AO14" s="4"/>
      <c r="AP14" s="4">
        <f t="shared" si="12"/>
        <v>500000</v>
      </c>
      <c r="AQ14" s="4"/>
      <c r="AR14" s="3"/>
      <c r="AS14" s="3"/>
      <c r="AT14" s="3"/>
    </row>
    <row r="15" spans="1:46" s="5" customFormat="1" ht="30" customHeight="1">
      <c r="A15" s="386">
        <f t="shared" si="13"/>
        <v>10</v>
      </c>
      <c r="B15" s="3">
        <v>1662</v>
      </c>
      <c r="C15" s="3" t="s">
        <v>2271</v>
      </c>
      <c r="D15" s="4">
        <v>1815000</v>
      </c>
      <c r="E15" s="4">
        <v>815000</v>
      </c>
      <c r="F15" s="4">
        <f t="shared" si="0"/>
        <v>1000000</v>
      </c>
      <c r="G15" s="4">
        <v>675000</v>
      </c>
      <c r="H15" s="4">
        <v>671205</v>
      </c>
      <c r="I15" s="4">
        <v>0</v>
      </c>
      <c r="J15" s="4">
        <v>0</v>
      </c>
      <c r="K15" s="4">
        <f t="shared" si="1"/>
        <v>0</v>
      </c>
      <c r="L15" s="4">
        <f t="shared" si="2"/>
        <v>671205</v>
      </c>
      <c r="M15" s="4">
        <f t="shared" si="3"/>
        <v>3795</v>
      </c>
      <c r="N15" s="4">
        <f>500000-500000</f>
        <v>0</v>
      </c>
      <c r="O15" s="4">
        <f t="shared" si="4"/>
        <v>1140000</v>
      </c>
      <c r="P15" s="4">
        <f t="shared" si="5"/>
        <v>3795</v>
      </c>
      <c r="Q15" s="4"/>
      <c r="R15" s="4"/>
      <c r="S15" s="4">
        <f t="shared" si="6"/>
        <v>0</v>
      </c>
      <c r="T15" s="4">
        <f t="shared" si="7"/>
        <v>0</v>
      </c>
      <c r="U15" s="4">
        <f t="shared" si="8"/>
        <v>0</v>
      </c>
      <c r="V15" s="4"/>
      <c r="W15" s="4">
        <f t="shared" si="9"/>
        <v>0</v>
      </c>
      <c r="X15" s="4"/>
      <c r="Y15" s="4"/>
      <c r="Z15" s="4"/>
      <c r="AA15" s="3"/>
      <c r="AB15" s="3" t="s">
        <v>1990</v>
      </c>
      <c r="AC15" s="3">
        <v>870000</v>
      </c>
      <c r="AD15" s="16"/>
      <c r="AE15" s="4"/>
      <c r="AF15" s="4"/>
      <c r="AG15" s="4"/>
      <c r="AH15" s="4"/>
      <c r="AI15" s="4"/>
      <c r="AJ15" s="4"/>
      <c r="AK15" s="4"/>
      <c r="AL15" s="4"/>
      <c r="AM15" s="4">
        <f t="shared" si="10"/>
        <v>0</v>
      </c>
      <c r="AN15" s="4">
        <f t="shared" si="11"/>
        <v>0</v>
      </c>
      <c r="AO15" s="4"/>
      <c r="AP15" s="4">
        <f t="shared" si="12"/>
        <v>0</v>
      </c>
      <c r="AQ15" s="4"/>
      <c r="AR15" s="3"/>
      <c r="AS15" s="3"/>
      <c r="AT15" s="3"/>
    </row>
    <row r="16" spans="1:46" s="5" customFormat="1" ht="30" customHeight="1">
      <c r="A16" s="386">
        <f t="shared" si="13"/>
        <v>11</v>
      </c>
      <c r="B16" s="3">
        <v>1691</v>
      </c>
      <c r="C16" s="3" t="s">
        <v>1991</v>
      </c>
      <c r="D16" s="4">
        <v>210000</v>
      </c>
      <c r="E16" s="4">
        <v>210000</v>
      </c>
      <c r="F16" s="4">
        <f t="shared" si="0"/>
        <v>0</v>
      </c>
      <c r="G16" s="4">
        <v>210000</v>
      </c>
      <c r="H16" s="4">
        <v>184254</v>
      </c>
      <c r="I16" s="4">
        <v>0</v>
      </c>
      <c r="J16" s="4">
        <v>0</v>
      </c>
      <c r="K16" s="4">
        <f t="shared" si="1"/>
        <v>0</v>
      </c>
      <c r="L16" s="4">
        <f t="shared" si="2"/>
        <v>184254</v>
      </c>
      <c r="M16" s="4">
        <f t="shared" si="3"/>
        <v>25746</v>
      </c>
      <c r="N16" s="4"/>
      <c r="O16" s="4">
        <f t="shared" si="4"/>
        <v>0</v>
      </c>
      <c r="P16" s="4">
        <f t="shared" si="5"/>
        <v>25746</v>
      </c>
      <c r="Q16" s="4"/>
      <c r="R16" s="4"/>
      <c r="S16" s="4">
        <f t="shared" si="6"/>
        <v>0</v>
      </c>
      <c r="T16" s="4">
        <f t="shared" si="7"/>
        <v>0</v>
      </c>
      <c r="U16" s="4">
        <f t="shared" si="8"/>
        <v>0</v>
      </c>
      <c r="V16" s="4"/>
      <c r="W16" s="4">
        <f t="shared" si="9"/>
        <v>0</v>
      </c>
      <c r="X16" s="4"/>
      <c r="Y16" s="4"/>
      <c r="Z16" s="4"/>
      <c r="AA16" s="3"/>
      <c r="AB16" s="3" t="s">
        <v>532</v>
      </c>
      <c r="AC16" s="3">
        <v>810000</v>
      </c>
      <c r="AD16" s="16"/>
      <c r="AE16" s="16"/>
      <c r="AF16" s="4"/>
      <c r="AG16" s="4"/>
      <c r="AH16" s="4"/>
      <c r="AI16" s="4"/>
      <c r="AJ16" s="4"/>
      <c r="AK16" s="4"/>
      <c r="AL16" s="4"/>
      <c r="AM16" s="4">
        <f t="shared" si="10"/>
        <v>0</v>
      </c>
      <c r="AN16" s="4">
        <f t="shared" si="11"/>
        <v>0</v>
      </c>
      <c r="AO16" s="4"/>
      <c r="AP16" s="4">
        <f t="shared" si="12"/>
        <v>0</v>
      </c>
      <c r="AQ16" s="4"/>
      <c r="AR16" s="32"/>
      <c r="AS16" s="32"/>
      <c r="AT16" s="32"/>
    </row>
    <row r="17" spans="1:46" s="5" customFormat="1" ht="30" customHeight="1">
      <c r="A17" s="386">
        <f t="shared" si="13"/>
        <v>12</v>
      </c>
      <c r="B17" s="3">
        <v>1770</v>
      </c>
      <c r="C17" s="3" t="s">
        <v>342</v>
      </c>
      <c r="D17" s="4">
        <v>29752105</v>
      </c>
      <c r="E17" s="4">
        <v>29752105</v>
      </c>
      <c r="F17" s="4">
        <f t="shared" si="0"/>
        <v>0</v>
      </c>
      <c r="G17" s="4">
        <v>29752105</v>
      </c>
      <c r="H17" s="4">
        <f>29088844+111193</f>
        <v>29200037</v>
      </c>
      <c r="I17" s="4">
        <v>0</v>
      </c>
      <c r="J17" s="4">
        <v>550659</v>
      </c>
      <c r="K17" s="4">
        <f t="shared" si="1"/>
        <v>550659</v>
      </c>
      <c r="L17" s="4">
        <f t="shared" si="2"/>
        <v>29750696</v>
      </c>
      <c r="M17" s="4">
        <f t="shared" si="3"/>
        <v>1409</v>
      </c>
      <c r="N17" s="4"/>
      <c r="O17" s="4">
        <f t="shared" si="4"/>
        <v>0</v>
      </c>
      <c r="P17" s="4">
        <f t="shared" si="5"/>
        <v>1409</v>
      </c>
      <c r="Q17" s="4"/>
      <c r="R17" s="4"/>
      <c r="S17" s="4">
        <f t="shared" si="6"/>
        <v>0</v>
      </c>
      <c r="T17" s="4">
        <f t="shared" si="7"/>
        <v>0</v>
      </c>
      <c r="U17" s="4">
        <f t="shared" si="8"/>
        <v>0</v>
      </c>
      <c r="V17" s="4"/>
      <c r="W17" s="4">
        <f t="shared" si="9"/>
        <v>0</v>
      </c>
      <c r="X17" s="4"/>
      <c r="Y17" s="4"/>
      <c r="Z17" s="4"/>
      <c r="AA17" s="3"/>
      <c r="AB17" s="3" t="s">
        <v>532</v>
      </c>
      <c r="AC17" s="3">
        <v>810000</v>
      </c>
      <c r="AD17" s="16"/>
      <c r="AE17" s="16"/>
      <c r="AF17" s="4"/>
      <c r="AG17" s="4"/>
      <c r="AH17" s="4"/>
      <c r="AI17" s="4"/>
      <c r="AJ17" s="4"/>
      <c r="AK17" s="4"/>
      <c r="AL17" s="4"/>
      <c r="AM17" s="4">
        <f t="shared" si="10"/>
        <v>0</v>
      </c>
      <c r="AN17" s="4">
        <f t="shared" si="11"/>
        <v>0</v>
      </c>
      <c r="AO17" s="4"/>
      <c r="AP17" s="4">
        <f t="shared" si="12"/>
        <v>0</v>
      </c>
      <c r="AQ17" s="4"/>
      <c r="AR17" s="3"/>
      <c r="AS17" s="3"/>
      <c r="AT17" s="3"/>
    </row>
    <row r="18" spans="1:46" s="5" customFormat="1" ht="30" customHeight="1">
      <c r="A18" s="386">
        <f t="shared" si="13"/>
        <v>13</v>
      </c>
      <c r="B18" s="3">
        <v>1773</v>
      </c>
      <c r="C18" s="3" t="s">
        <v>2467</v>
      </c>
      <c r="D18" s="4">
        <v>1500000</v>
      </c>
      <c r="E18" s="4">
        <v>1500000</v>
      </c>
      <c r="F18" s="4">
        <f t="shared" si="0"/>
        <v>0</v>
      </c>
      <c r="G18" s="4">
        <v>1500000</v>
      </c>
      <c r="H18" s="4">
        <v>212004</v>
      </c>
      <c r="I18" s="4">
        <v>17401</v>
      </c>
      <c r="J18" s="4">
        <v>3510</v>
      </c>
      <c r="K18" s="4">
        <f t="shared" si="1"/>
        <v>20911</v>
      </c>
      <c r="L18" s="4">
        <f t="shared" si="2"/>
        <v>232915</v>
      </c>
      <c r="M18" s="4">
        <f t="shared" si="3"/>
        <v>1267085</v>
      </c>
      <c r="N18" s="4"/>
      <c r="O18" s="4">
        <f t="shared" si="4"/>
        <v>0</v>
      </c>
      <c r="P18" s="4">
        <f t="shared" si="5"/>
        <v>1267085</v>
      </c>
      <c r="Q18" s="4"/>
      <c r="R18" s="4"/>
      <c r="S18" s="4">
        <f t="shared" si="6"/>
        <v>0</v>
      </c>
      <c r="T18" s="4">
        <f t="shared" si="7"/>
        <v>0</v>
      </c>
      <c r="U18" s="4">
        <f t="shared" si="8"/>
        <v>0</v>
      </c>
      <c r="V18" s="4"/>
      <c r="W18" s="4">
        <f t="shared" si="9"/>
        <v>0</v>
      </c>
      <c r="X18" s="4"/>
      <c r="Y18" s="4"/>
      <c r="Z18" s="4"/>
      <c r="AA18" s="3"/>
      <c r="AB18" s="3" t="s">
        <v>343</v>
      </c>
      <c r="AC18" s="3">
        <v>746000</v>
      </c>
      <c r="AD18" s="16"/>
      <c r="AE18" s="16"/>
      <c r="AF18" s="4"/>
      <c r="AG18" s="4"/>
      <c r="AH18" s="4"/>
      <c r="AI18" s="4"/>
      <c r="AJ18" s="4"/>
      <c r="AK18" s="4"/>
      <c r="AL18" s="4"/>
      <c r="AM18" s="4">
        <f t="shared" si="10"/>
        <v>0</v>
      </c>
      <c r="AN18" s="4">
        <f t="shared" si="11"/>
        <v>0</v>
      </c>
      <c r="AO18" s="4"/>
      <c r="AP18" s="4">
        <f t="shared" si="12"/>
        <v>0</v>
      </c>
      <c r="AQ18" s="4"/>
      <c r="AR18" s="3"/>
      <c r="AS18" s="3"/>
      <c r="AT18" s="3"/>
    </row>
    <row r="19" spans="1:46" s="5" customFormat="1" ht="30" customHeight="1">
      <c r="A19" s="386">
        <f t="shared" si="13"/>
        <v>14</v>
      </c>
      <c r="B19" s="3">
        <v>1794</v>
      </c>
      <c r="C19" s="3" t="s">
        <v>108</v>
      </c>
      <c r="D19" s="4">
        <f>1100000-130000</f>
        <v>970000</v>
      </c>
      <c r="E19" s="4">
        <v>1100000</v>
      </c>
      <c r="F19" s="4">
        <f t="shared" si="0"/>
        <v>-130000</v>
      </c>
      <c r="G19" s="4">
        <v>970000</v>
      </c>
      <c r="H19" s="4">
        <v>949009</v>
      </c>
      <c r="I19" s="4">
        <v>20093</v>
      </c>
      <c r="J19" s="4">
        <v>0</v>
      </c>
      <c r="K19" s="4">
        <f t="shared" si="1"/>
        <v>20093</v>
      </c>
      <c r="L19" s="4">
        <f t="shared" si="2"/>
        <v>969102</v>
      </c>
      <c r="M19" s="4">
        <f t="shared" si="3"/>
        <v>898</v>
      </c>
      <c r="N19" s="4"/>
      <c r="O19" s="4">
        <f t="shared" si="4"/>
        <v>0</v>
      </c>
      <c r="P19" s="4">
        <f t="shared" si="5"/>
        <v>898</v>
      </c>
      <c r="Q19" s="4"/>
      <c r="R19" s="4"/>
      <c r="S19" s="4">
        <f t="shared" si="6"/>
        <v>0</v>
      </c>
      <c r="T19" s="4">
        <f t="shared" si="7"/>
        <v>0</v>
      </c>
      <c r="U19" s="4">
        <f t="shared" si="8"/>
        <v>0</v>
      </c>
      <c r="V19" s="4"/>
      <c r="W19" s="4">
        <f t="shared" si="9"/>
        <v>0</v>
      </c>
      <c r="X19" s="4"/>
      <c r="Y19" s="4"/>
      <c r="Z19" s="4"/>
      <c r="AA19" s="3"/>
      <c r="AB19" s="3" t="s">
        <v>841</v>
      </c>
      <c r="AC19" s="3">
        <v>850000</v>
      </c>
      <c r="AD19" s="16"/>
      <c r="AE19" s="16"/>
      <c r="AF19" s="4"/>
      <c r="AG19" s="4"/>
      <c r="AH19" s="4"/>
      <c r="AI19" s="4"/>
      <c r="AJ19" s="4"/>
      <c r="AK19" s="4"/>
      <c r="AL19" s="4"/>
      <c r="AM19" s="4">
        <f t="shared" si="10"/>
        <v>0</v>
      </c>
      <c r="AN19" s="4">
        <f t="shared" si="11"/>
        <v>0</v>
      </c>
      <c r="AO19" s="4"/>
      <c r="AP19" s="4">
        <f t="shared" si="12"/>
        <v>0</v>
      </c>
      <c r="AQ19" s="4"/>
      <c r="AR19" s="3"/>
      <c r="AS19" s="3"/>
      <c r="AT19" s="3"/>
    </row>
    <row r="20" spans="1:46" s="5" customFormat="1" ht="30" customHeight="1">
      <c r="A20" s="386">
        <f t="shared" si="13"/>
        <v>15</v>
      </c>
      <c r="B20" s="3">
        <v>1804</v>
      </c>
      <c r="C20" s="3" t="s">
        <v>2272</v>
      </c>
      <c r="D20" s="4">
        <v>200000</v>
      </c>
      <c r="E20" s="4">
        <v>200000</v>
      </c>
      <c r="F20" s="4">
        <f t="shared" si="0"/>
        <v>0</v>
      </c>
      <c r="G20" s="4">
        <v>200000</v>
      </c>
      <c r="H20" s="4">
        <v>171384</v>
      </c>
      <c r="I20" s="4">
        <v>0</v>
      </c>
      <c r="J20" s="4">
        <v>10264</v>
      </c>
      <c r="K20" s="4">
        <f t="shared" si="1"/>
        <v>10264</v>
      </c>
      <c r="L20" s="4">
        <f t="shared" si="2"/>
        <v>181648</v>
      </c>
      <c r="M20" s="4">
        <f t="shared" si="3"/>
        <v>18352</v>
      </c>
      <c r="N20" s="4"/>
      <c r="O20" s="4">
        <f t="shared" si="4"/>
        <v>0</v>
      </c>
      <c r="P20" s="4">
        <f t="shared" si="5"/>
        <v>18352</v>
      </c>
      <c r="Q20" s="4"/>
      <c r="R20" s="4"/>
      <c r="S20" s="4">
        <f t="shared" si="6"/>
        <v>0</v>
      </c>
      <c r="T20" s="4">
        <f t="shared" si="7"/>
        <v>0</v>
      </c>
      <c r="U20" s="4">
        <f t="shared" si="8"/>
        <v>0</v>
      </c>
      <c r="V20" s="4"/>
      <c r="W20" s="4">
        <f t="shared" si="9"/>
        <v>0</v>
      </c>
      <c r="X20" s="4"/>
      <c r="Y20" s="4"/>
      <c r="Z20" s="4"/>
      <c r="AA20" s="3"/>
      <c r="AB20" s="3"/>
      <c r="AC20" s="3">
        <v>742000</v>
      </c>
      <c r="AD20" s="16"/>
      <c r="AE20" s="16"/>
      <c r="AF20" s="4"/>
      <c r="AG20" s="4"/>
      <c r="AH20" s="4"/>
      <c r="AI20" s="4"/>
      <c r="AJ20" s="4"/>
      <c r="AK20" s="4"/>
      <c r="AL20" s="4"/>
      <c r="AM20" s="4">
        <f t="shared" si="10"/>
        <v>0</v>
      </c>
      <c r="AN20" s="4">
        <f t="shared" si="11"/>
        <v>0</v>
      </c>
      <c r="AO20" s="4"/>
      <c r="AP20" s="4">
        <f t="shared" si="12"/>
        <v>0</v>
      </c>
      <c r="AQ20" s="3"/>
      <c r="AR20" s="573"/>
      <c r="AS20" s="573"/>
      <c r="AT20" s="573"/>
    </row>
    <row r="21" spans="1:46" s="5" customFormat="1" ht="30" customHeight="1">
      <c r="A21" s="386">
        <f t="shared" si="13"/>
        <v>16</v>
      </c>
      <c r="B21" s="3">
        <v>1848</v>
      </c>
      <c r="C21" s="3" t="s">
        <v>122</v>
      </c>
      <c r="D21" s="4">
        <v>1300000</v>
      </c>
      <c r="E21" s="4">
        <v>1200000</v>
      </c>
      <c r="F21" s="4">
        <f t="shared" si="0"/>
        <v>100000</v>
      </c>
      <c r="G21" s="4">
        <v>1000000</v>
      </c>
      <c r="H21" s="4">
        <v>708293</v>
      </c>
      <c r="I21" s="4">
        <v>0</v>
      </c>
      <c r="J21" s="4">
        <v>33173</v>
      </c>
      <c r="K21" s="4">
        <f t="shared" si="1"/>
        <v>33173</v>
      </c>
      <c r="L21" s="4">
        <f t="shared" si="2"/>
        <v>741466</v>
      </c>
      <c r="M21" s="4">
        <f t="shared" si="3"/>
        <v>258534</v>
      </c>
      <c r="N21" s="4">
        <v>300000</v>
      </c>
      <c r="O21" s="4">
        <f t="shared" si="4"/>
        <v>0</v>
      </c>
      <c r="P21" s="4">
        <f t="shared" si="5"/>
        <v>258534</v>
      </c>
      <c r="Q21" s="4"/>
      <c r="R21" s="4"/>
      <c r="S21" s="4">
        <f t="shared" si="6"/>
        <v>0</v>
      </c>
      <c r="T21" s="4">
        <f t="shared" si="7"/>
        <v>0</v>
      </c>
      <c r="U21" s="4">
        <f t="shared" si="8"/>
        <v>300000</v>
      </c>
      <c r="V21" s="4"/>
      <c r="W21" s="4">
        <f t="shared" si="9"/>
        <v>300000</v>
      </c>
      <c r="X21" s="4"/>
      <c r="Y21" s="4"/>
      <c r="Z21" s="4"/>
      <c r="AA21" s="3"/>
      <c r="AB21" s="3" t="s">
        <v>399</v>
      </c>
      <c r="AC21" s="3">
        <v>742000</v>
      </c>
      <c r="AD21" s="16"/>
      <c r="AE21" s="4">
        <v>50000</v>
      </c>
      <c r="AF21" s="4">
        <v>50000</v>
      </c>
      <c r="AG21" s="4">
        <v>50000</v>
      </c>
      <c r="AH21" s="4">
        <v>50000</v>
      </c>
      <c r="AI21" s="4">
        <v>50000</v>
      </c>
      <c r="AJ21" s="4"/>
      <c r="AK21" s="4"/>
      <c r="AL21" s="4">
        <v>50000</v>
      </c>
      <c r="AM21" s="4">
        <f t="shared" si="10"/>
        <v>300000</v>
      </c>
      <c r="AN21" s="4">
        <f t="shared" si="11"/>
        <v>0</v>
      </c>
      <c r="AO21" s="4"/>
      <c r="AP21" s="4">
        <f t="shared" si="12"/>
        <v>300000</v>
      </c>
      <c r="AQ21" s="4"/>
      <c r="AR21" s="3"/>
      <c r="AS21" s="3"/>
      <c r="AT21" s="3"/>
    </row>
    <row r="22" spans="1:46" s="5" customFormat="1" ht="60">
      <c r="A22" s="386">
        <f t="shared" si="13"/>
        <v>17</v>
      </c>
      <c r="B22" s="3">
        <v>1849</v>
      </c>
      <c r="C22" s="3" t="s">
        <v>344</v>
      </c>
      <c r="D22" s="4">
        <v>2150000</v>
      </c>
      <c r="E22" s="4">
        <v>1400000</v>
      </c>
      <c r="F22" s="4">
        <f t="shared" si="0"/>
        <v>750000</v>
      </c>
      <c r="G22" s="4">
        <v>1100000</v>
      </c>
      <c r="H22" s="4">
        <v>945869</v>
      </c>
      <c r="I22" s="4">
        <v>0</v>
      </c>
      <c r="J22" s="4">
        <v>150796</v>
      </c>
      <c r="K22" s="4">
        <f t="shared" si="1"/>
        <v>150796</v>
      </c>
      <c r="L22" s="4">
        <f t="shared" si="2"/>
        <v>1096665</v>
      </c>
      <c r="M22" s="4">
        <f t="shared" si="3"/>
        <v>3335</v>
      </c>
      <c r="N22" s="4">
        <f>500000-150000-350000</f>
        <v>0</v>
      </c>
      <c r="O22" s="4">
        <f t="shared" si="4"/>
        <v>1050000</v>
      </c>
      <c r="P22" s="4">
        <f t="shared" si="5"/>
        <v>3335</v>
      </c>
      <c r="Q22" s="4"/>
      <c r="R22" s="4"/>
      <c r="S22" s="4">
        <f t="shared" si="6"/>
        <v>0</v>
      </c>
      <c r="T22" s="4">
        <f t="shared" si="7"/>
        <v>0</v>
      </c>
      <c r="U22" s="4">
        <f t="shared" si="8"/>
        <v>0</v>
      </c>
      <c r="V22" s="4"/>
      <c r="W22" s="4">
        <f t="shared" si="9"/>
        <v>0</v>
      </c>
      <c r="X22" s="4"/>
      <c r="Y22" s="4"/>
      <c r="Z22" s="4"/>
      <c r="AA22" s="3"/>
      <c r="AB22" s="3" t="s">
        <v>881</v>
      </c>
      <c r="AC22" s="3">
        <v>743000</v>
      </c>
      <c r="AD22" s="16"/>
      <c r="AE22" s="4"/>
      <c r="AF22" s="4"/>
      <c r="AG22" s="4"/>
      <c r="AH22" s="4"/>
      <c r="AI22" s="4"/>
      <c r="AJ22" s="4"/>
      <c r="AK22" s="4"/>
      <c r="AL22" s="4"/>
      <c r="AM22" s="4">
        <f t="shared" si="10"/>
        <v>0</v>
      </c>
      <c r="AN22" s="4">
        <f t="shared" si="11"/>
        <v>0</v>
      </c>
      <c r="AO22" s="3"/>
      <c r="AP22" s="4">
        <f t="shared" si="12"/>
        <v>0</v>
      </c>
      <c r="AQ22" s="4"/>
      <c r="AR22" s="3"/>
      <c r="AS22" s="3"/>
      <c r="AT22" s="3"/>
    </row>
    <row r="23" spans="1:46" s="5" customFormat="1" ht="30" customHeight="1">
      <c r="A23" s="386">
        <f t="shared" si="13"/>
        <v>18</v>
      </c>
      <c r="B23" s="3">
        <v>1850</v>
      </c>
      <c r="C23" s="3" t="s">
        <v>572</v>
      </c>
      <c r="D23" s="4">
        <v>14600000</v>
      </c>
      <c r="E23" s="4">
        <v>14600000</v>
      </c>
      <c r="F23" s="4">
        <f t="shared" si="0"/>
        <v>0</v>
      </c>
      <c r="G23" s="4">
        <v>4630000</v>
      </c>
      <c r="H23" s="4">
        <v>3986709</v>
      </c>
      <c r="I23" s="4">
        <v>0</v>
      </c>
      <c r="J23" s="4">
        <v>290432</v>
      </c>
      <c r="K23" s="4">
        <f t="shared" si="1"/>
        <v>290432</v>
      </c>
      <c r="L23" s="4">
        <f t="shared" si="2"/>
        <v>4277141</v>
      </c>
      <c r="M23" s="4">
        <f t="shared" si="3"/>
        <v>352859</v>
      </c>
      <c r="N23" s="4">
        <f>1800000-800000-500000</f>
        <v>500000</v>
      </c>
      <c r="O23" s="4">
        <f t="shared" si="4"/>
        <v>9470000</v>
      </c>
      <c r="P23" s="4">
        <f t="shared" si="5"/>
        <v>352859</v>
      </c>
      <c r="Q23" s="4"/>
      <c r="R23" s="4"/>
      <c r="S23" s="4">
        <f t="shared" si="6"/>
        <v>0</v>
      </c>
      <c r="T23" s="4">
        <f t="shared" si="7"/>
        <v>0</v>
      </c>
      <c r="U23" s="4">
        <f t="shared" si="8"/>
        <v>500000</v>
      </c>
      <c r="V23" s="4"/>
      <c r="W23" s="4">
        <f t="shared" si="9"/>
        <v>500000</v>
      </c>
      <c r="X23" s="4"/>
      <c r="Y23" s="4"/>
      <c r="Z23" s="4"/>
      <c r="AA23" s="3"/>
      <c r="AB23" s="3" t="s">
        <v>573</v>
      </c>
      <c r="AC23" s="3">
        <v>810000</v>
      </c>
      <c r="AD23" s="16"/>
      <c r="AE23" s="4">
        <v>200000</v>
      </c>
      <c r="AF23" s="4"/>
      <c r="AG23" s="4">
        <v>300000</v>
      </c>
      <c r="AH23" s="4"/>
      <c r="AI23" s="4"/>
      <c r="AJ23" s="4"/>
      <c r="AK23" s="4"/>
      <c r="AL23" s="4"/>
      <c r="AM23" s="4">
        <f t="shared" si="10"/>
        <v>500000</v>
      </c>
      <c r="AN23" s="4">
        <f t="shared" si="11"/>
        <v>0</v>
      </c>
      <c r="AO23" s="3"/>
      <c r="AP23" s="4">
        <f t="shared" si="12"/>
        <v>500000</v>
      </c>
      <c r="AQ23" s="4"/>
      <c r="AR23" s="3"/>
      <c r="AS23" s="3"/>
      <c r="AT23" s="3"/>
    </row>
    <row r="24" spans="1:46" s="5" customFormat="1" ht="30" customHeight="1">
      <c r="A24" s="386">
        <f t="shared" si="13"/>
        <v>19</v>
      </c>
      <c r="B24" s="3">
        <v>1883</v>
      </c>
      <c r="C24" s="3" t="s">
        <v>123</v>
      </c>
      <c r="D24" s="4">
        <v>27245000</v>
      </c>
      <c r="E24" s="4">
        <v>26215000</v>
      </c>
      <c r="F24" s="4">
        <f t="shared" si="0"/>
        <v>1030000</v>
      </c>
      <c r="G24" s="4">
        <v>26215000</v>
      </c>
      <c r="H24" s="4">
        <v>26184042</v>
      </c>
      <c r="I24" s="4">
        <v>0</v>
      </c>
      <c r="J24" s="4">
        <v>12752</v>
      </c>
      <c r="K24" s="4">
        <f t="shared" si="1"/>
        <v>12752</v>
      </c>
      <c r="L24" s="4">
        <f t="shared" si="2"/>
        <v>26196794</v>
      </c>
      <c r="M24" s="4">
        <f t="shared" si="3"/>
        <v>18206</v>
      </c>
      <c r="N24" s="4">
        <f>1030000-1030000</f>
        <v>0</v>
      </c>
      <c r="O24" s="4">
        <f t="shared" si="4"/>
        <v>1030000</v>
      </c>
      <c r="P24" s="4">
        <f t="shared" si="5"/>
        <v>18206</v>
      </c>
      <c r="Q24" s="4"/>
      <c r="R24" s="4"/>
      <c r="S24" s="4">
        <f t="shared" si="6"/>
        <v>0</v>
      </c>
      <c r="T24" s="4">
        <f t="shared" si="7"/>
        <v>0</v>
      </c>
      <c r="U24" s="4">
        <f t="shared" si="8"/>
        <v>0</v>
      </c>
      <c r="V24" s="4"/>
      <c r="W24" s="4">
        <f t="shared" si="9"/>
        <v>0</v>
      </c>
      <c r="X24" s="4"/>
      <c r="Y24" s="4"/>
      <c r="Z24" s="4"/>
      <c r="AA24" s="3"/>
      <c r="AB24" s="3" t="s">
        <v>659</v>
      </c>
      <c r="AC24" s="3">
        <v>810000</v>
      </c>
      <c r="AD24" s="16"/>
      <c r="AE24" s="4"/>
      <c r="AF24" s="4"/>
      <c r="AG24" s="4"/>
      <c r="AH24" s="4"/>
      <c r="AI24" s="4"/>
      <c r="AJ24" s="4"/>
      <c r="AK24" s="4"/>
      <c r="AL24" s="4"/>
      <c r="AM24" s="4">
        <f t="shared" si="10"/>
        <v>0</v>
      </c>
      <c r="AN24" s="4">
        <f t="shared" si="11"/>
        <v>0</v>
      </c>
      <c r="AO24" s="3"/>
      <c r="AP24" s="4">
        <f t="shared" si="12"/>
        <v>0</v>
      </c>
      <c r="AQ24" s="4"/>
      <c r="AR24" s="3"/>
      <c r="AS24" s="3"/>
      <c r="AT24" s="3"/>
    </row>
    <row r="25" spans="1:46" s="62" customFormat="1" ht="30" customHeight="1">
      <c r="A25" s="386">
        <f t="shared" si="13"/>
        <v>20</v>
      </c>
      <c r="B25" s="3">
        <v>1887</v>
      </c>
      <c r="C25" s="3" t="s">
        <v>124</v>
      </c>
      <c r="D25" s="4">
        <v>5200000</v>
      </c>
      <c r="E25" s="4">
        <v>5200000</v>
      </c>
      <c r="F25" s="4">
        <f t="shared" si="0"/>
        <v>0</v>
      </c>
      <c r="G25" s="4">
        <v>1760000</v>
      </c>
      <c r="H25" s="4">
        <v>1363742</v>
      </c>
      <c r="I25" s="4">
        <v>332775</v>
      </c>
      <c r="J25" s="4"/>
      <c r="K25" s="4">
        <f t="shared" si="1"/>
        <v>332775</v>
      </c>
      <c r="L25" s="4">
        <f t="shared" si="2"/>
        <v>1696517</v>
      </c>
      <c r="M25" s="4">
        <f t="shared" si="3"/>
        <v>63483</v>
      </c>
      <c r="N25" s="4">
        <f>3440000-3440000</f>
        <v>0</v>
      </c>
      <c r="O25" s="4">
        <f t="shared" si="4"/>
        <v>3440000</v>
      </c>
      <c r="P25" s="4">
        <f t="shared" si="5"/>
        <v>63483</v>
      </c>
      <c r="Q25" s="4"/>
      <c r="R25" s="4"/>
      <c r="S25" s="4">
        <f t="shared" si="6"/>
        <v>0</v>
      </c>
      <c r="T25" s="4">
        <f t="shared" si="7"/>
        <v>0</v>
      </c>
      <c r="U25" s="4">
        <f t="shared" si="8"/>
        <v>0</v>
      </c>
      <c r="V25" s="4"/>
      <c r="W25" s="4">
        <f t="shared" si="9"/>
        <v>0</v>
      </c>
      <c r="X25" s="4"/>
      <c r="Y25" s="4"/>
      <c r="Z25" s="4"/>
      <c r="AA25" s="3"/>
      <c r="AB25" s="3" t="s">
        <v>755</v>
      </c>
      <c r="AC25" s="3">
        <v>810000</v>
      </c>
      <c r="AD25" s="16"/>
      <c r="AE25" s="16"/>
      <c r="AF25" s="16"/>
      <c r="AG25" s="16"/>
      <c r="AH25" s="16"/>
      <c r="AI25" s="16"/>
      <c r="AJ25" s="16"/>
      <c r="AK25" s="16"/>
      <c r="AL25" s="16"/>
      <c r="AM25" s="4">
        <f t="shared" si="10"/>
        <v>0</v>
      </c>
      <c r="AN25" s="4">
        <f t="shared" si="11"/>
        <v>0</v>
      </c>
      <c r="AO25" s="3"/>
      <c r="AP25" s="4">
        <f t="shared" si="12"/>
        <v>0</v>
      </c>
      <c r="AQ25" s="4"/>
      <c r="AR25" s="3"/>
      <c r="AS25" s="3"/>
      <c r="AT25" s="3"/>
    </row>
    <row r="26" spans="1:46" s="5" customFormat="1" ht="30" customHeight="1">
      <c r="A26" s="386">
        <f t="shared" si="13"/>
        <v>21</v>
      </c>
      <c r="B26" s="3">
        <v>1900</v>
      </c>
      <c r="C26" s="3" t="s">
        <v>125</v>
      </c>
      <c r="D26" s="4">
        <f>700000-100000</f>
        <v>600000</v>
      </c>
      <c r="E26" s="4">
        <v>700000</v>
      </c>
      <c r="F26" s="4">
        <f t="shared" si="0"/>
        <v>-100000</v>
      </c>
      <c r="G26" s="4">
        <v>700000</v>
      </c>
      <c r="H26" s="4">
        <v>482010</v>
      </c>
      <c r="I26" s="4">
        <v>40401</v>
      </c>
      <c r="J26" s="4">
        <v>0</v>
      </c>
      <c r="K26" s="4">
        <f t="shared" si="1"/>
        <v>40401</v>
      </c>
      <c r="L26" s="4">
        <f t="shared" si="2"/>
        <v>522411</v>
      </c>
      <c r="M26" s="4">
        <f>P26+S26-100000</f>
        <v>77589</v>
      </c>
      <c r="N26" s="4"/>
      <c r="O26" s="4">
        <f t="shared" si="4"/>
        <v>0</v>
      </c>
      <c r="P26" s="4">
        <f t="shared" si="5"/>
        <v>177589</v>
      </c>
      <c r="Q26" s="4"/>
      <c r="R26" s="4"/>
      <c r="S26" s="4">
        <f t="shared" si="6"/>
        <v>0</v>
      </c>
      <c r="T26" s="4">
        <f t="shared" si="7"/>
        <v>100000</v>
      </c>
      <c r="U26" s="4">
        <f t="shared" si="8"/>
        <v>-100000</v>
      </c>
      <c r="V26" s="4">
        <v>-100000</v>
      </c>
      <c r="W26" s="4">
        <f t="shared" si="9"/>
        <v>0</v>
      </c>
      <c r="X26" s="4"/>
      <c r="Y26" s="4"/>
      <c r="Z26" s="4"/>
      <c r="AA26" s="3"/>
      <c r="AB26" s="3" t="s">
        <v>662</v>
      </c>
      <c r="AC26" s="3">
        <v>810000</v>
      </c>
      <c r="AD26" s="4">
        <v>-100000</v>
      </c>
      <c r="AE26" s="4"/>
      <c r="AF26" s="4"/>
      <c r="AG26" s="4"/>
      <c r="AH26" s="4"/>
      <c r="AI26" s="4"/>
      <c r="AJ26" s="4"/>
      <c r="AK26" s="4"/>
      <c r="AL26" s="4"/>
      <c r="AM26" s="4">
        <f t="shared" si="10"/>
        <v>-100000</v>
      </c>
      <c r="AN26" s="4">
        <f t="shared" si="11"/>
        <v>0</v>
      </c>
      <c r="AO26" s="4">
        <v>-100000</v>
      </c>
      <c r="AP26" s="4">
        <f t="shared" si="12"/>
        <v>0</v>
      </c>
      <c r="AQ26" s="4"/>
      <c r="AR26" s="3"/>
      <c r="AS26" s="3"/>
      <c r="AT26" s="3"/>
    </row>
    <row r="27" spans="1:46" s="5" customFormat="1" ht="30" customHeight="1">
      <c r="A27" s="386">
        <f t="shared" si="13"/>
        <v>22</v>
      </c>
      <c r="B27" s="3">
        <v>1917</v>
      </c>
      <c r="C27" s="3" t="s">
        <v>126</v>
      </c>
      <c r="D27" s="4">
        <v>76800000</v>
      </c>
      <c r="E27" s="4">
        <v>76800000</v>
      </c>
      <c r="F27" s="4">
        <f t="shared" si="0"/>
        <v>0</v>
      </c>
      <c r="G27" s="4">
        <v>33001000</v>
      </c>
      <c r="H27" s="4">
        <v>22567518</v>
      </c>
      <c r="I27" s="4">
        <v>0</v>
      </c>
      <c r="J27" s="4">
        <v>10100791</v>
      </c>
      <c r="K27" s="4">
        <f t="shared" si="1"/>
        <v>10100791</v>
      </c>
      <c r="L27" s="4">
        <f t="shared" si="2"/>
        <v>32668309</v>
      </c>
      <c r="M27" s="4">
        <f t="shared" ref="M27:M56" si="14">P27+S27</f>
        <v>332691</v>
      </c>
      <c r="N27" s="4">
        <f>12300000-10300000-1000000-300000</f>
        <v>700000</v>
      </c>
      <c r="O27" s="4">
        <f t="shared" si="4"/>
        <v>43099000</v>
      </c>
      <c r="P27" s="4">
        <f t="shared" si="5"/>
        <v>332691</v>
      </c>
      <c r="Q27" s="4"/>
      <c r="R27" s="4"/>
      <c r="S27" s="4">
        <f t="shared" si="6"/>
        <v>0</v>
      </c>
      <c r="T27" s="4">
        <f t="shared" si="7"/>
        <v>0</v>
      </c>
      <c r="U27" s="4">
        <f t="shared" si="8"/>
        <v>700000</v>
      </c>
      <c r="V27" s="4">
        <v>700000</v>
      </c>
      <c r="W27" s="4">
        <f t="shared" si="9"/>
        <v>0</v>
      </c>
      <c r="X27" s="4"/>
      <c r="Y27" s="4"/>
      <c r="Z27" s="4"/>
      <c r="AA27" s="3"/>
      <c r="AB27" s="3" t="s">
        <v>774</v>
      </c>
      <c r="AC27" s="3">
        <v>743000</v>
      </c>
      <c r="AD27" s="16"/>
      <c r="AE27" s="4"/>
      <c r="AF27" s="4">
        <v>500000</v>
      </c>
      <c r="AG27" s="4">
        <v>200000</v>
      </c>
      <c r="AH27" s="4"/>
      <c r="AI27" s="4"/>
      <c r="AJ27" s="4"/>
      <c r="AK27" s="4"/>
      <c r="AL27" s="4"/>
      <c r="AM27" s="4">
        <f t="shared" si="10"/>
        <v>700000</v>
      </c>
      <c r="AN27" s="4">
        <f t="shared" si="11"/>
        <v>0</v>
      </c>
      <c r="AO27" s="4">
        <v>700000</v>
      </c>
      <c r="AP27" s="4">
        <f t="shared" si="12"/>
        <v>0</v>
      </c>
      <c r="AQ27" s="4"/>
      <c r="AR27" s="4"/>
      <c r="AS27" s="4"/>
      <c r="AT27" s="3"/>
    </row>
    <row r="28" spans="1:46" s="5" customFormat="1" ht="30" customHeight="1">
      <c r="A28" s="386">
        <f t="shared" si="13"/>
        <v>23</v>
      </c>
      <c r="B28" s="3">
        <v>1933</v>
      </c>
      <c r="C28" s="3" t="s">
        <v>2273</v>
      </c>
      <c r="D28" s="4">
        <f>1420000-50000</f>
        <v>1370000</v>
      </c>
      <c r="E28" s="4">
        <v>1420000</v>
      </c>
      <c r="F28" s="4">
        <f t="shared" si="0"/>
        <v>-50000</v>
      </c>
      <c r="G28" s="4">
        <v>1370000</v>
      </c>
      <c r="H28" s="4">
        <v>1196722</v>
      </c>
      <c r="I28" s="4">
        <v>144734</v>
      </c>
      <c r="J28" s="4">
        <v>18454</v>
      </c>
      <c r="K28" s="4">
        <f t="shared" si="1"/>
        <v>163188</v>
      </c>
      <c r="L28" s="4">
        <f t="shared" si="2"/>
        <v>1359910</v>
      </c>
      <c r="M28" s="4">
        <f t="shared" si="14"/>
        <v>10090</v>
      </c>
      <c r="N28" s="4"/>
      <c r="O28" s="4">
        <f t="shared" si="4"/>
        <v>0</v>
      </c>
      <c r="P28" s="4">
        <f t="shared" si="5"/>
        <v>10090</v>
      </c>
      <c r="Q28" s="4"/>
      <c r="R28" s="4"/>
      <c r="S28" s="4">
        <f t="shared" si="6"/>
        <v>0</v>
      </c>
      <c r="T28" s="4">
        <f t="shared" si="7"/>
        <v>0</v>
      </c>
      <c r="U28" s="4">
        <f t="shared" si="8"/>
        <v>0</v>
      </c>
      <c r="V28" s="4"/>
      <c r="W28" s="4">
        <f t="shared" si="9"/>
        <v>0</v>
      </c>
      <c r="X28" s="4"/>
      <c r="Y28" s="4"/>
      <c r="Z28" s="4"/>
      <c r="AA28" s="3"/>
      <c r="AB28" s="3" t="s">
        <v>437</v>
      </c>
      <c r="AC28" s="3">
        <v>826000</v>
      </c>
      <c r="AD28" s="16"/>
      <c r="AE28" s="4"/>
      <c r="AF28" s="4"/>
      <c r="AG28" s="4"/>
      <c r="AH28" s="4"/>
      <c r="AI28" s="4"/>
      <c r="AJ28" s="4"/>
      <c r="AK28" s="4"/>
      <c r="AL28" s="4"/>
      <c r="AM28" s="4">
        <f t="shared" si="10"/>
        <v>0</v>
      </c>
      <c r="AN28" s="4">
        <f t="shared" si="11"/>
        <v>0</v>
      </c>
      <c r="AO28" s="4"/>
      <c r="AP28" s="4">
        <f t="shared" si="12"/>
        <v>0</v>
      </c>
      <c r="AQ28" s="4"/>
      <c r="AR28" s="4"/>
      <c r="AS28" s="4"/>
      <c r="AT28" s="3"/>
    </row>
    <row r="29" spans="1:46" s="5" customFormat="1" ht="30" customHeight="1">
      <c r="A29" s="386">
        <f t="shared" si="13"/>
        <v>24</v>
      </c>
      <c r="B29" s="3">
        <v>1947</v>
      </c>
      <c r="C29" s="3" t="s">
        <v>1992</v>
      </c>
      <c r="D29" s="4">
        <v>2500000</v>
      </c>
      <c r="E29" s="4">
        <v>2500000</v>
      </c>
      <c r="F29" s="4">
        <f t="shared" si="0"/>
        <v>0</v>
      </c>
      <c r="G29" s="4">
        <v>950000</v>
      </c>
      <c r="H29" s="4">
        <v>19881</v>
      </c>
      <c r="I29" s="4">
        <v>204750</v>
      </c>
      <c r="J29" s="4">
        <v>0</v>
      </c>
      <c r="K29" s="4">
        <f t="shared" si="1"/>
        <v>204750</v>
      </c>
      <c r="L29" s="4">
        <f t="shared" si="2"/>
        <v>224631</v>
      </c>
      <c r="M29" s="4">
        <f t="shared" si="14"/>
        <v>725369</v>
      </c>
      <c r="N29" s="4">
        <v>1550000</v>
      </c>
      <c r="O29" s="4">
        <f t="shared" si="4"/>
        <v>0</v>
      </c>
      <c r="P29" s="4">
        <f t="shared" si="5"/>
        <v>725369</v>
      </c>
      <c r="Q29" s="4"/>
      <c r="R29" s="4"/>
      <c r="S29" s="4">
        <f t="shared" si="6"/>
        <v>0</v>
      </c>
      <c r="T29" s="4">
        <f t="shared" si="7"/>
        <v>0</v>
      </c>
      <c r="U29" s="4">
        <f t="shared" si="8"/>
        <v>1550000</v>
      </c>
      <c r="V29" s="4">
        <v>1550000</v>
      </c>
      <c r="W29" s="4">
        <f t="shared" si="9"/>
        <v>0</v>
      </c>
      <c r="X29" s="4"/>
      <c r="Y29" s="4"/>
      <c r="Z29" s="4"/>
      <c r="AA29" s="3"/>
      <c r="AB29" s="3" t="s">
        <v>1993</v>
      </c>
      <c r="AC29" s="3">
        <v>850000</v>
      </c>
      <c r="AD29" s="16"/>
      <c r="AE29" s="4"/>
      <c r="AF29" s="4">
        <v>1550000</v>
      </c>
      <c r="AG29" s="4"/>
      <c r="AH29" s="4"/>
      <c r="AI29" s="4"/>
      <c r="AJ29" s="4"/>
      <c r="AK29" s="4"/>
      <c r="AL29" s="4"/>
      <c r="AM29" s="4">
        <f t="shared" si="10"/>
        <v>1550000</v>
      </c>
      <c r="AN29" s="4">
        <f t="shared" si="11"/>
        <v>0</v>
      </c>
      <c r="AO29" s="4">
        <v>1550000</v>
      </c>
      <c r="AP29" s="4">
        <f t="shared" si="12"/>
        <v>0</v>
      </c>
      <c r="AQ29" s="4"/>
      <c r="AR29" s="4"/>
      <c r="AS29" s="4"/>
      <c r="AT29" s="3"/>
    </row>
    <row r="30" spans="1:46" s="5" customFormat="1" ht="45">
      <c r="A30" s="386">
        <f t="shared" si="13"/>
        <v>25</v>
      </c>
      <c r="B30" s="3">
        <v>1966</v>
      </c>
      <c r="C30" s="3" t="s">
        <v>436</v>
      </c>
      <c r="D30" s="4">
        <v>1700000</v>
      </c>
      <c r="E30" s="4">
        <v>1700000</v>
      </c>
      <c r="F30" s="4">
        <f t="shared" si="0"/>
        <v>0</v>
      </c>
      <c r="G30" s="4">
        <v>1700000</v>
      </c>
      <c r="H30" s="4">
        <v>0</v>
      </c>
      <c r="I30" s="4">
        <v>1699999</v>
      </c>
      <c r="J30" s="4">
        <v>0</v>
      </c>
      <c r="K30" s="4">
        <f t="shared" si="1"/>
        <v>1699999</v>
      </c>
      <c r="L30" s="4">
        <f t="shared" si="2"/>
        <v>1699999</v>
      </c>
      <c r="M30" s="4">
        <f t="shared" si="14"/>
        <v>1</v>
      </c>
      <c r="N30" s="4"/>
      <c r="O30" s="4">
        <f t="shared" si="4"/>
        <v>0</v>
      </c>
      <c r="P30" s="4">
        <f t="shared" si="5"/>
        <v>1</v>
      </c>
      <c r="Q30" s="4"/>
      <c r="R30" s="4"/>
      <c r="S30" s="4">
        <f t="shared" si="6"/>
        <v>0</v>
      </c>
      <c r="T30" s="4">
        <f t="shared" si="7"/>
        <v>0</v>
      </c>
      <c r="U30" s="4">
        <f t="shared" si="8"/>
        <v>0</v>
      </c>
      <c r="V30" s="4"/>
      <c r="W30" s="4">
        <f t="shared" si="9"/>
        <v>0</v>
      </c>
      <c r="X30" s="4"/>
      <c r="Y30" s="4"/>
      <c r="Z30" s="4"/>
      <c r="AA30" s="3"/>
      <c r="AB30" s="3" t="s">
        <v>880</v>
      </c>
      <c r="AC30" s="3">
        <v>870000</v>
      </c>
      <c r="AD30" s="16"/>
      <c r="AE30" s="4"/>
      <c r="AF30" s="4"/>
      <c r="AG30" s="4"/>
      <c r="AH30" s="4"/>
      <c r="AI30" s="4"/>
      <c r="AJ30" s="4"/>
      <c r="AK30" s="4"/>
      <c r="AL30" s="4"/>
      <c r="AM30" s="4">
        <f t="shared" si="10"/>
        <v>0</v>
      </c>
      <c r="AN30" s="4">
        <f t="shared" si="11"/>
        <v>0</v>
      </c>
      <c r="AO30" s="4"/>
      <c r="AP30" s="4">
        <f t="shared" si="12"/>
        <v>0</v>
      </c>
      <c r="AQ30" s="4"/>
      <c r="AR30" s="4"/>
      <c r="AS30" s="4"/>
      <c r="AT30" s="3"/>
    </row>
    <row r="31" spans="1:46" s="5" customFormat="1" ht="30" customHeight="1">
      <c r="A31" s="386">
        <f t="shared" si="13"/>
        <v>26</v>
      </c>
      <c r="B31" s="3">
        <v>1967</v>
      </c>
      <c r="C31" s="3" t="s">
        <v>139</v>
      </c>
      <c r="D31" s="4">
        <v>12929000</v>
      </c>
      <c r="E31" s="4">
        <v>12929000</v>
      </c>
      <c r="F31" s="4">
        <f t="shared" si="0"/>
        <v>0</v>
      </c>
      <c r="G31" s="4">
        <v>10819000</v>
      </c>
      <c r="H31" s="4">
        <v>2105132</v>
      </c>
      <c r="I31" s="4">
        <v>202825</v>
      </c>
      <c r="J31" s="4">
        <v>8508972</v>
      </c>
      <c r="K31" s="4">
        <f t="shared" si="1"/>
        <v>8711797</v>
      </c>
      <c r="L31" s="4">
        <f t="shared" si="2"/>
        <v>10816929</v>
      </c>
      <c r="M31" s="4">
        <f t="shared" si="14"/>
        <v>2071</v>
      </c>
      <c r="N31" s="4">
        <f>2110000-300000</f>
        <v>1810000</v>
      </c>
      <c r="O31" s="4">
        <f t="shared" si="4"/>
        <v>300000</v>
      </c>
      <c r="P31" s="4">
        <f t="shared" si="5"/>
        <v>2071</v>
      </c>
      <c r="Q31" s="4"/>
      <c r="R31" s="4"/>
      <c r="S31" s="4">
        <f t="shared" si="6"/>
        <v>0</v>
      </c>
      <c r="T31" s="4">
        <f t="shared" si="7"/>
        <v>0</v>
      </c>
      <c r="U31" s="4">
        <f t="shared" si="8"/>
        <v>1810000</v>
      </c>
      <c r="V31" s="4"/>
      <c r="W31" s="4">
        <f t="shared" si="9"/>
        <v>1810000</v>
      </c>
      <c r="X31" s="4"/>
      <c r="Y31" s="4"/>
      <c r="Z31" s="4"/>
      <c r="AA31" s="3"/>
      <c r="AB31" s="3" t="s">
        <v>882</v>
      </c>
      <c r="AC31" s="3">
        <v>810000</v>
      </c>
      <c r="AD31" s="16"/>
      <c r="AE31" s="4"/>
      <c r="AF31" s="4"/>
      <c r="AG31" s="4"/>
      <c r="AH31" s="4"/>
      <c r="AI31" s="4"/>
      <c r="AJ31" s="4">
        <v>1810000</v>
      </c>
      <c r="AK31" s="4"/>
      <c r="AL31" s="4"/>
      <c r="AM31" s="4">
        <f t="shared" si="10"/>
        <v>1810000</v>
      </c>
      <c r="AN31" s="4">
        <f t="shared" si="11"/>
        <v>0</v>
      </c>
      <c r="AO31" s="4"/>
      <c r="AP31" s="4">
        <f t="shared" si="12"/>
        <v>1810000</v>
      </c>
      <c r="AQ31" s="4"/>
      <c r="AR31" s="4"/>
      <c r="AS31" s="4"/>
      <c r="AT31" s="3"/>
    </row>
    <row r="32" spans="1:46" s="5" customFormat="1" ht="30" customHeight="1">
      <c r="A32" s="386">
        <f t="shared" si="13"/>
        <v>27</v>
      </c>
      <c r="B32" s="3">
        <v>1968</v>
      </c>
      <c r="C32" s="3" t="s">
        <v>140</v>
      </c>
      <c r="D32" s="4">
        <f>2270000-200000</f>
        <v>2070000</v>
      </c>
      <c r="E32" s="4">
        <v>1950000</v>
      </c>
      <c r="F32" s="4">
        <f t="shared" si="0"/>
        <v>120000</v>
      </c>
      <c r="G32" s="4">
        <v>1770000</v>
      </c>
      <c r="H32" s="4">
        <v>1591436</v>
      </c>
      <c r="I32" s="4">
        <v>0</v>
      </c>
      <c r="J32" s="4">
        <v>164011</v>
      </c>
      <c r="K32" s="4">
        <f t="shared" si="1"/>
        <v>164011</v>
      </c>
      <c r="L32" s="4">
        <f t="shared" si="2"/>
        <v>1755447</v>
      </c>
      <c r="M32" s="4">
        <f t="shared" si="14"/>
        <v>14553</v>
      </c>
      <c r="N32" s="4">
        <f>300000-200000</f>
        <v>100000</v>
      </c>
      <c r="O32" s="4">
        <f t="shared" si="4"/>
        <v>200000</v>
      </c>
      <c r="P32" s="4">
        <f t="shared" si="5"/>
        <v>14553</v>
      </c>
      <c r="Q32" s="4"/>
      <c r="R32" s="4"/>
      <c r="S32" s="4">
        <f t="shared" si="6"/>
        <v>0</v>
      </c>
      <c r="T32" s="4">
        <f t="shared" si="7"/>
        <v>0</v>
      </c>
      <c r="U32" s="4">
        <f t="shared" si="8"/>
        <v>100000</v>
      </c>
      <c r="V32" s="4"/>
      <c r="W32" s="4">
        <f t="shared" si="9"/>
        <v>100000</v>
      </c>
      <c r="X32" s="4"/>
      <c r="Y32" s="4"/>
      <c r="Z32" s="4"/>
      <c r="AA32" s="3"/>
      <c r="AB32" s="3" t="s">
        <v>533</v>
      </c>
      <c r="AC32" s="3">
        <v>848500</v>
      </c>
      <c r="AD32" s="16"/>
      <c r="AE32" s="4">
        <v>50000</v>
      </c>
      <c r="AF32" s="4"/>
      <c r="AG32" s="4">
        <v>50000</v>
      </c>
      <c r="AH32" s="4"/>
      <c r="AI32" s="4"/>
      <c r="AJ32" s="4"/>
      <c r="AK32" s="4"/>
      <c r="AL32" s="4"/>
      <c r="AM32" s="4">
        <f t="shared" si="10"/>
        <v>100000</v>
      </c>
      <c r="AN32" s="4">
        <f t="shared" si="11"/>
        <v>0</v>
      </c>
      <c r="AO32" s="4"/>
      <c r="AP32" s="4">
        <f t="shared" si="12"/>
        <v>100000</v>
      </c>
      <c r="AQ32" s="4"/>
      <c r="AR32" s="4"/>
      <c r="AS32" s="4"/>
      <c r="AT32" s="3"/>
    </row>
    <row r="33" spans="1:46" s="5" customFormat="1" ht="30" customHeight="1">
      <c r="A33" s="386">
        <f t="shared" si="13"/>
        <v>28</v>
      </c>
      <c r="B33" s="3">
        <v>1970</v>
      </c>
      <c r="C33" s="3" t="s">
        <v>149</v>
      </c>
      <c r="D33" s="4">
        <f>34200000-1700000</f>
        <v>32500000</v>
      </c>
      <c r="E33" s="4">
        <v>34200000</v>
      </c>
      <c r="F33" s="4">
        <f t="shared" si="0"/>
        <v>-1700000</v>
      </c>
      <c r="G33" s="4">
        <v>32500000</v>
      </c>
      <c r="H33" s="4">
        <v>25742468</v>
      </c>
      <c r="I33" s="4">
        <v>362102</v>
      </c>
      <c r="J33" s="4">
        <v>4260442</v>
      </c>
      <c r="K33" s="4">
        <f t="shared" si="1"/>
        <v>4622544</v>
      </c>
      <c r="L33" s="4">
        <f t="shared" si="2"/>
        <v>30365012</v>
      </c>
      <c r="M33" s="4">
        <f t="shared" si="14"/>
        <v>2134988</v>
      </c>
      <c r="N33" s="4"/>
      <c r="O33" s="4">
        <f t="shared" si="4"/>
        <v>0</v>
      </c>
      <c r="P33" s="4">
        <f t="shared" si="5"/>
        <v>2134988</v>
      </c>
      <c r="Q33" s="4"/>
      <c r="R33" s="4"/>
      <c r="S33" s="4">
        <f t="shared" si="6"/>
        <v>0</v>
      </c>
      <c r="T33" s="4">
        <f t="shared" si="7"/>
        <v>0</v>
      </c>
      <c r="U33" s="4">
        <f t="shared" si="8"/>
        <v>0</v>
      </c>
      <c r="V33" s="4"/>
      <c r="W33" s="4">
        <f t="shared" si="9"/>
        <v>0</v>
      </c>
      <c r="X33" s="4"/>
      <c r="Y33" s="4"/>
      <c r="Z33" s="4"/>
      <c r="AA33" s="3"/>
      <c r="AB33" s="3" t="s">
        <v>1994</v>
      </c>
      <c r="AC33" s="3">
        <v>810000</v>
      </c>
      <c r="AD33" s="16"/>
      <c r="AE33" s="4"/>
      <c r="AF33" s="4"/>
      <c r="AG33" s="4"/>
      <c r="AH33" s="4"/>
      <c r="AI33" s="4"/>
      <c r="AJ33" s="4"/>
      <c r="AK33" s="4"/>
      <c r="AL33" s="4"/>
      <c r="AM33" s="4">
        <f t="shared" si="10"/>
        <v>0</v>
      </c>
      <c r="AN33" s="4">
        <f t="shared" si="11"/>
        <v>0</v>
      </c>
      <c r="AO33" s="4"/>
      <c r="AP33" s="4">
        <f t="shared" si="12"/>
        <v>0</v>
      </c>
      <c r="AQ33" s="4"/>
      <c r="AR33" s="4"/>
      <c r="AS33" s="4"/>
      <c r="AT33" s="3"/>
    </row>
    <row r="34" spans="1:46" s="5" customFormat="1" ht="30" customHeight="1">
      <c r="A34" s="386">
        <f t="shared" si="13"/>
        <v>29</v>
      </c>
      <c r="B34" s="3">
        <v>2001</v>
      </c>
      <c r="C34" s="3" t="s">
        <v>155</v>
      </c>
      <c r="D34" s="4">
        <v>18500000</v>
      </c>
      <c r="E34" s="4">
        <v>18500000</v>
      </c>
      <c r="F34" s="4">
        <f t="shared" si="0"/>
        <v>0</v>
      </c>
      <c r="G34" s="4">
        <v>1398700</v>
      </c>
      <c r="H34" s="4">
        <v>445693</v>
      </c>
      <c r="I34" s="4">
        <v>626187</v>
      </c>
      <c r="J34" s="4">
        <v>43117</v>
      </c>
      <c r="K34" s="4">
        <f t="shared" si="1"/>
        <v>669304</v>
      </c>
      <c r="L34" s="4">
        <f t="shared" si="2"/>
        <v>1114997</v>
      </c>
      <c r="M34" s="4">
        <f t="shared" si="14"/>
        <v>283703</v>
      </c>
      <c r="N34" s="4">
        <v>17101300</v>
      </c>
      <c r="O34" s="4">
        <f t="shared" si="4"/>
        <v>0</v>
      </c>
      <c r="P34" s="4">
        <f t="shared" si="5"/>
        <v>283703</v>
      </c>
      <c r="Q34" s="4"/>
      <c r="R34" s="4"/>
      <c r="S34" s="4">
        <f t="shared" si="6"/>
        <v>0</v>
      </c>
      <c r="T34" s="4">
        <f t="shared" si="7"/>
        <v>0</v>
      </c>
      <c r="U34" s="4">
        <f t="shared" si="8"/>
        <v>17101300</v>
      </c>
      <c r="V34" s="4">
        <f>U34-AA34</f>
        <v>7541300</v>
      </c>
      <c r="W34" s="4"/>
      <c r="X34" s="4"/>
      <c r="Y34" s="4"/>
      <c r="Z34" s="4"/>
      <c r="AA34" s="4">
        <v>9560000</v>
      </c>
      <c r="AB34" s="3" t="s">
        <v>842</v>
      </c>
      <c r="AC34" s="3">
        <v>810000</v>
      </c>
      <c r="AD34" s="16"/>
      <c r="AE34" s="4">
        <v>7000000</v>
      </c>
      <c r="AF34" s="4"/>
      <c r="AG34" s="4"/>
      <c r="AH34" s="4"/>
      <c r="AI34" s="4"/>
      <c r="AJ34" s="4"/>
      <c r="AK34" s="4"/>
      <c r="AL34" s="4"/>
      <c r="AM34" s="4">
        <f t="shared" si="10"/>
        <v>7000000</v>
      </c>
      <c r="AN34" s="4">
        <f t="shared" si="11"/>
        <v>10101300</v>
      </c>
      <c r="AO34" s="4">
        <v>7000000</v>
      </c>
      <c r="AP34" s="4">
        <f t="shared" si="12"/>
        <v>0</v>
      </c>
      <c r="AQ34" s="4"/>
      <c r="AR34" s="4"/>
      <c r="AS34" s="4"/>
      <c r="AT34" s="4"/>
    </row>
    <row r="35" spans="1:46" s="5" customFormat="1" ht="45" customHeight="1">
      <c r="A35" s="386">
        <f t="shared" si="13"/>
        <v>30</v>
      </c>
      <c r="B35" s="3">
        <v>2027</v>
      </c>
      <c r="C35" s="3" t="s">
        <v>1995</v>
      </c>
      <c r="D35" s="4">
        <f>1930000-29000</f>
        <v>1901000</v>
      </c>
      <c r="E35" s="4">
        <v>1930000</v>
      </c>
      <c r="F35" s="4">
        <f t="shared" si="0"/>
        <v>-29000</v>
      </c>
      <c r="G35" s="4">
        <v>1901000</v>
      </c>
      <c r="H35" s="4">
        <v>1878506</v>
      </c>
      <c r="I35" s="4">
        <v>0</v>
      </c>
      <c r="J35" s="4">
        <v>22392</v>
      </c>
      <c r="K35" s="4">
        <f t="shared" si="1"/>
        <v>22392</v>
      </c>
      <c r="L35" s="4">
        <f t="shared" si="2"/>
        <v>1900898</v>
      </c>
      <c r="M35" s="4">
        <f t="shared" si="14"/>
        <v>102</v>
      </c>
      <c r="N35" s="4"/>
      <c r="O35" s="4">
        <f t="shared" si="4"/>
        <v>0</v>
      </c>
      <c r="P35" s="4">
        <f t="shared" si="5"/>
        <v>102</v>
      </c>
      <c r="Q35" s="4"/>
      <c r="R35" s="4"/>
      <c r="S35" s="4">
        <f t="shared" si="6"/>
        <v>0</v>
      </c>
      <c r="T35" s="4">
        <f t="shared" si="7"/>
        <v>0</v>
      </c>
      <c r="U35" s="4">
        <f t="shared" si="8"/>
        <v>0</v>
      </c>
      <c r="V35" s="4"/>
      <c r="W35" s="4">
        <f t="shared" ref="W35:W60" si="15">U35-V35-AA35</f>
        <v>0</v>
      </c>
      <c r="X35" s="4"/>
      <c r="Y35" s="4"/>
      <c r="Z35" s="4"/>
      <c r="AA35" s="3"/>
      <c r="AB35" s="3"/>
      <c r="AC35" s="3">
        <v>810000</v>
      </c>
      <c r="AD35" s="16"/>
      <c r="AE35" s="4"/>
      <c r="AF35" s="4"/>
      <c r="AG35" s="4"/>
      <c r="AH35" s="4"/>
      <c r="AI35" s="4"/>
      <c r="AJ35" s="4"/>
      <c r="AK35" s="4"/>
      <c r="AL35" s="4"/>
      <c r="AM35" s="4">
        <f t="shared" si="10"/>
        <v>0</v>
      </c>
      <c r="AN35" s="4">
        <f t="shared" si="11"/>
        <v>0</v>
      </c>
      <c r="AO35" s="4"/>
      <c r="AP35" s="4">
        <f t="shared" si="12"/>
        <v>0</v>
      </c>
      <c r="AQ35" s="4"/>
      <c r="AR35" s="4"/>
      <c r="AS35" s="4"/>
      <c r="AT35" s="573"/>
    </row>
    <row r="36" spans="1:46" s="5" customFormat="1" ht="30" customHeight="1">
      <c r="A36" s="386">
        <f t="shared" si="13"/>
        <v>31</v>
      </c>
      <c r="B36" s="3">
        <v>2028</v>
      </c>
      <c r="C36" s="3" t="s">
        <v>345</v>
      </c>
      <c r="D36" s="4">
        <v>2435000</v>
      </c>
      <c r="E36" s="4">
        <v>2435000</v>
      </c>
      <c r="F36" s="4">
        <f t="shared" si="0"/>
        <v>0</v>
      </c>
      <c r="G36" s="4">
        <v>2435000</v>
      </c>
      <c r="H36" s="4">
        <v>2070407</v>
      </c>
      <c r="I36" s="4">
        <v>22257</v>
      </c>
      <c r="J36" s="4">
        <v>3861</v>
      </c>
      <c r="K36" s="4">
        <f t="shared" si="1"/>
        <v>26118</v>
      </c>
      <c r="L36" s="4">
        <f t="shared" si="2"/>
        <v>2096525</v>
      </c>
      <c r="M36" s="4">
        <f t="shared" si="14"/>
        <v>338475</v>
      </c>
      <c r="N36" s="4"/>
      <c r="O36" s="4">
        <f t="shared" si="4"/>
        <v>0</v>
      </c>
      <c r="P36" s="4">
        <f t="shared" si="5"/>
        <v>338475</v>
      </c>
      <c r="Q36" s="4"/>
      <c r="R36" s="4"/>
      <c r="S36" s="4">
        <f t="shared" si="6"/>
        <v>0</v>
      </c>
      <c r="T36" s="4">
        <f t="shared" si="7"/>
        <v>0</v>
      </c>
      <c r="U36" s="4">
        <f t="shared" si="8"/>
        <v>0</v>
      </c>
      <c r="V36" s="4"/>
      <c r="W36" s="4">
        <f t="shared" si="15"/>
        <v>0</v>
      </c>
      <c r="X36" s="4"/>
      <c r="Y36" s="4"/>
      <c r="Z36" s="4"/>
      <c r="AA36" s="3"/>
      <c r="AB36" s="3" t="s">
        <v>534</v>
      </c>
      <c r="AC36" s="3">
        <v>810000</v>
      </c>
      <c r="AD36" s="16"/>
      <c r="AE36" s="4"/>
      <c r="AF36" s="4"/>
      <c r="AG36" s="4"/>
      <c r="AH36" s="4"/>
      <c r="AI36" s="4"/>
      <c r="AJ36" s="4"/>
      <c r="AK36" s="4"/>
      <c r="AL36" s="4"/>
      <c r="AM36" s="4">
        <f t="shared" si="10"/>
        <v>0</v>
      </c>
      <c r="AN36" s="4">
        <f t="shared" si="11"/>
        <v>0</v>
      </c>
      <c r="AO36" s="4"/>
      <c r="AP36" s="4">
        <f t="shared" si="12"/>
        <v>0</v>
      </c>
      <c r="AQ36" s="4"/>
      <c r="AR36" s="4"/>
      <c r="AS36" s="4"/>
      <c r="AT36" s="3"/>
    </row>
    <row r="37" spans="1:46" s="5" customFormat="1" ht="45">
      <c r="A37" s="386">
        <f t="shared" si="13"/>
        <v>32</v>
      </c>
      <c r="B37" s="3">
        <v>2029</v>
      </c>
      <c r="C37" s="3" t="s">
        <v>2274</v>
      </c>
      <c r="D37" s="4">
        <v>300000</v>
      </c>
      <c r="E37" s="4">
        <v>300000</v>
      </c>
      <c r="F37" s="4">
        <f t="shared" si="0"/>
        <v>0</v>
      </c>
      <c r="G37" s="4">
        <v>10000</v>
      </c>
      <c r="H37" s="4">
        <v>2905</v>
      </c>
      <c r="I37" s="4">
        <v>0</v>
      </c>
      <c r="J37" s="4"/>
      <c r="K37" s="4">
        <f t="shared" si="1"/>
        <v>0</v>
      </c>
      <c r="L37" s="4">
        <f t="shared" si="2"/>
        <v>2905</v>
      </c>
      <c r="M37" s="4">
        <f t="shared" si="14"/>
        <v>7095</v>
      </c>
      <c r="N37" s="4"/>
      <c r="O37" s="4">
        <f t="shared" si="4"/>
        <v>290000</v>
      </c>
      <c r="P37" s="4">
        <f t="shared" si="5"/>
        <v>7095</v>
      </c>
      <c r="Q37" s="4"/>
      <c r="R37" s="4"/>
      <c r="S37" s="4">
        <f t="shared" si="6"/>
        <v>0</v>
      </c>
      <c r="T37" s="4">
        <f t="shared" si="7"/>
        <v>0</v>
      </c>
      <c r="U37" s="4">
        <f t="shared" si="8"/>
        <v>0</v>
      </c>
      <c r="V37" s="4"/>
      <c r="W37" s="4">
        <f t="shared" si="15"/>
        <v>0</v>
      </c>
      <c r="X37" s="4"/>
      <c r="Y37" s="4"/>
      <c r="Z37" s="4"/>
      <c r="AA37" s="3"/>
      <c r="AB37" s="3" t="s">
        <v>616</v>
      </c>
      <c r="AC37" s="3">
        <v>850000</v>
      </c>
      <c r="AD37" s="16"/>
      <c r="AE37" s="4"/>
      <c r="AF37" s="4"/>
      <c r="AG37" s="4"/>
      <c r="AH37" s="4"/>
      <c r="AI37" s="4"/>
      <c r="AJ37" s="4"/>
      <c r="AK37" s="4"/>
      <c r="AL37" s="4"/>
      <c r="AM37" s="4">
        <f t="shared" si="10"/>
        <v>0</v>
      </c>
      <c r="AN37" s="4">
        <f t="shared" si="11"/>
        <v>0</v>
      </c>
      <c r="AO37" s="4"/>
      <c r="AP37" s="4">
        <f t="shared" si="12"/>
        <v>0</v>
      </c>
      <c r="AQ37" s="4"/>
      <c r="AR37" s="4"/>
      <c r="AS37" s="4"/>
      <c r="AT37" s="3"/>
    </row>
    <row r="38" spans="1:46" s="62" customFormat="1" ht="30" customHeight="1">
      <c r="A38" s="386">
        <f t="shared" si="13"/>
        <v>33</v>
      </c>
      <c r="B38" s="3">
        <v>2030</v>
      </c>
      <c r="C38" s="3" t="s">
        <v>289</v>
      </c>
      <c r="D38" s="4">
        <v>31500000</v>
      </c>
      <c r="E38" s="4">
        <v>31500000</v>
      </c>
      <c r="F38" s="4">
        <f t="shared" si="0"/>
        <v>0</v>
      </c>
      <c r="G38" s="4">
        <v>9900000</v>
      </c>
      <c r="H38" s="4">
        <v>3261138</v>
      </c>
      <c r="I38" s="4">
        <v>5480195</v>
      </c>
      <c r="J38" s="4">
        <v>715988</v>
      </c>
      <c r="K38" s="4">
        <f t="shared" ref="K38:K60" si="16">SUM(I38:J38)</f>
        <v>6196183</v>
      </c>
      <c r="L38" s="4">
        <f t="shared" si="2"/>
        <v>9457321</v>
      </c>
      <c r="M38" s="4">
        <f t="shared" si="14"/>
        <v>442679</v>
      </c>
      <c r="N38" s="4">
        <f>11600000-1600000</f>
        <v>10000000</v>
      </c>
      <c r="O38" s="4">
        <f t="shared" si="4"/>
        <v>11600000</v>
      </c>
      <c r="P38" s="4">
        <f t="shared" si="5"/>
        <v>442679</v>
      </c>
      <c r="Q38" s="4"/>
      <c r="R38" s="4"/>
      <c r="S38" s="4">
        <f t="shared" si="6"/>
        <v>0</v>
      </c>
      <c r="T38" s="4">
        <f t="shared" si="7"/>
        <v>0</v>
      </c>
      <c r="U38" s="4">
        <f t="shared" si="8"/>
        <v>10000000</v>
      </c>
      <c r="V38" s="4">
        <v>8000000</v>
      </c>
      <c r="W38" s="4">
        <f t="shared" si="15"/>
        <v>0</v>
      </c>
      <c r="X38" s="4"/>
      <c r="Y38" s="4"/>
      <c r="Z38" s="4"/>
      <c r="AA38" s="4">
        <v>2000000</v>
      </c>
      <c r="AB38" s="3" t="s">
        <v>883</v>
      </c>
      <c r="AC38" s="3">
        <v>810000</v>
      </c>
      <c r="AD38" s="16"/>
      <c r="AE38" s="4"/>
      <c r="AF38" s="4"/>
      <c r="AG38" s="4"/>
      <c r="AH38" s="4">
        <v>1000000</v>
      </c>
      <c r="AI38" s="4">
        <v>1500000</v>
      </c>
      <c r="AJ38" s="4">
        <v>2000000</v>
      </c>
      <c r="AK38" s="4">
        <f>500000+3000000</f>
        <v>3500000</v>
      </c>
      <c r="AL38" s="4"/>
      <c r="AM38" s="4">
        <f t="shared" si="10"/>
        <v>8000000</v>
      </c>
      <c r="AN38" s="4">
        <f t="shared" si="11"/>
        <v>2000000</v>
      </c>
      <c r="AO38" s="4">
        <v>8000000</v>
      </c>
      <c r="AP38" s="4">
        <f t="shared" si="12"/>
        <v>0</v>
      </c>
      <c r="AQ38" s="4"/>
      <c r="AR38" s="4"/>
      <c r="AS38" s="4"/>
      <c r="AT38" s="4"/>
    </row>
    <row r="39" spans="1:46" s="5" customFormat="1" ht="30" customHeight="1">
      <c r="A39" s="386">
        <f t="shared" si="13"/>
        <v>34</v>
      </c>
      <c r="B39" s="3">
        <v>2063</v>
      </c>
      <c r="C39" s="3" t="s">
        <v>346</v>
      </c>
      <c r="D39" s="4">
        <v>2400000</v>
      </c>
      <c r="E39" s="4">
        <v>2400000</v>
      </c>
      <c r="F39" s="4">
        <f t="shared" si="0"/>
        <v>0</v>
      </c>
      <c r="G39" s="4">
        <f>1490000+910000</f>
        <v>2400000</v>
      </c>
      <c r="H39" s="4">
        <v>95811</v>
      </c>
      <c r="I39" s="4">
        <v>104551</v>
      </c>
      <c r="J39" s="4">
        <v>43688</v>
      </c>
      <c r="K39" s="4">
        <f t="shared" si="16"/>
        <v>148239</v>
      </c>
      <c r="L39" s="4">
        <f t="shared" si="2"/>
        <v>244050</v>
      </c>
      <c r="M39" s="4">
        <f t="shared" si="14"/>
        <v>2155950</v>
      </c>
      <c r="N39" s="4"/>
      <c r="O39" s="4">
        <f t="shared" si="4"/>
        <v>0</v>
      </c>
      <c r="P39" s="4">
        <f t="shared" si="5"/>
        <v>2155950</v>
      </c>
      <c r="Q39" s="4"/>
      <c r="R39" s="4"/>
      <c r="S39" s="4">
        <f t="shared" si="6"/>
        <v>0</v>
      </c>
      <c r="T39" s="4">
        <f t="shared" si="7"/>
        <v>0</v>
      </c>
      <c r="U39" s="4">
        <f t="shared" si="8"/>
        <v>0</v>
      </c>
      <c r="V39" s="4"/>
      <c r="W39" s="4">
        <f t="shared" si="15"/>
        <v>0</v>
      </c>
      <c r="X39" s="4"/>
      <c r="Y39" s="4"/>
      <c r="Z39" s="4"/>
      <c r="AA39" s="3"/>
      <c r="AB39" s="3" t="s">
        <v>775</v>
      </c>
      <c r="AC39" s="3">
        <v>810000</v>
      </c>
      <c r="AD39" s="16"/>
      <c r="AE39" s="4"/>
      <c r="AF39" s="4"/>
      <c r="AG39" s="4"/>
      <c r="AH39" s="4"/>
      <c r="AI39" s="4"/>
      <c r="AJ39" s="4"/>
      <c r="AK39" s="4"/>
      <c r="AL39" s="4"/>
      <c r="AM39" s="4">
        <f t="shared" si="10"/>
        <v>0</v>
      </c>
      <c r="AN39" s="4">
        <f t="shared" si="11"/>
        <v>0</v>
      </c>
      <c r="AO39" s="4"/>
      <c r="AP39" s="4">
        <f t="shared" si="12"/>
        <v>0</v>
      </c>
      <c r="AQ39" s="4"/>
      <c r="AR39" s="4"/>
      <c r="AS39" s="4"/>
      <c r="AT39" s="3"/>
    </row>
    <row r="40" spans="1:46" s="5" customFormat="1" ht="30" customHeight="1">
      <c r="A40" s="386">
        <f t="shared" si="13"/>
        <v>35</v>
      </c>
      <c r="B40" s="253">
        <v>2071</v>
      </c>
      <c r="C40" s="3" t="s">
        <v>355</v>
      </c>
      <c r="D40" s="4">
        <v>300000</v>
      </c>
      <c r="E40" s="4">
        <v>300000</v>
      </c>
      <c r="F40" s="4">
        <f t="shared" si="0"/>
        <v>0</v>
      </c>
      <c r="G40" s="4">
        <v>300000</v>
      </c>
      <c r="H40" s="4">
        <v>270457</v>
      </c>
      <c r="I40" s="4">
        <v>0</v>
      </c>
      <c r="J40" s="4">
        <v>0</v>
      </c>
      <c r="K40" s="4">
        <f t="shared" si="16"/>
        <v>0</v>
      </c>
      <c r="L40" s="4">
        <f t="shared" si="2"/>
        <v>270457</v>
      </c>
      <c r="M40" s="4">
        <f t="shared" si="14"/>
        <v>29543</v>
      </c>
      <c r="N40" s="4"/>
      <c r="O40" s="4">
        <f t="shared" si="4"/>
        <v>0</v>
      </c>
      <c r="P40" s="4">
        <f t="shared" si="5"/>
        <v>29543</v>
      </c>
      <c r="Q40" s="4"/>
      <c r="R40" s="4"/>
      <c r="S40" s="4">
        <f t="shared" si="6"/>
        <v>0</v>
      </c>
      <c r="T40" s="4">
        <f t="shared" si="7"/>
        <v>0</v>
      </c>
      <c r="U40" s="4">
        <f t="shared" si="8"/>
        <v>0</v>
      </c>
      <c r="V40" s="4"/>
      <c r="W40" s="4">
        <f t="shared" si="15"/>
        <v>0</v>
      </c>
      <c r="X40" s="4"/>
      <c r="Y40" s="4"/>
      <c r="Z40" s="4"/>
      <c r="AA40" s="3"/>
      <c r="AB40" s="3" t="s">
        <v>532</v>
      </c>
      <c r="AC40" s="3">
        <v>810000</v>
      </c>
      <c r="AD40" s="16"/>
      <c r="AE40" s="4"/>
      <c r="AF40" s="4"/>
      <c r="AG40" s="4"/>
      <c r="AH40" s="4"/>
      <c r="AI40" s="4"/>
      <c r="AJ40" s="4"/>
      <c r="AK40" s="4"/>
      <c r="AL40" s="4"/>
      <c r="AM40" s="4">
        <f t="shared" si="10"/>
        <v>0</v>
      </c>
      <c r="AN40" s="4">
        <f t="shared" si="11"/>
        <v>0</v>
      </c>
      <c r="AO40" s="4"/>
      <c r="AP40" s="4">
        <f t="shared" si="12"/>
        <v>0</v>
      </c>
      <c r="AQ40" s="4"/>
      <c r="AR40" s="4"/>
      <c r="AS40" s="4"/>
      <c r="AT40" s="3"/>
    </row>
    <row r="41" spans="1:46" s="5" customFormat="1" ht="30" customHeight="1">
      <c r="A41" s="386">
        <f t="shared" si="13"/>
        <v>36</v>
      </c>
      <c r="B41" s="3">
        <v>2074</v>
      </c>
      <c r="C41" s="3" t="s">
        <v>347</v>
      </c>
      <c r="D41" s="4">
        <v>2000000</v>
      </c>
      <c r="E41" s="4">
        <v>2000000</v>
      </c>
      <c r="F41" s="4">
        <f t="shared" si="0"/>
        <v>0</v>
      </c>
      <c r="G41" s="4">
        <v>920000</v>
      </c>
      <c r="H41" s="4">
        <v>889513</v>
      </c>
      <c r="I41" s="4">
        <v>0</v>
      </c>
      <c r="J41" s="4">
        <v>30482</v>
      </c>
      <c r="K41" s="4">
        <f t="shared" si="16"/>
        <v>30482</v>
      </c>
      <c r="L41" s="4">
        <f t="shared" si="2"/>
        <v>919995</v>
      </c>
      <c r="M41" s="4">
        <f t="shared" si="14"/>
        <v>5</v>
      </c>
      <c r="N41" s="4">
        <f>1080000-500000</f>
        <v>580000</v>
      </c>
      <c r="O41" s="4">
        <f t="shared" si="4"/>
        <v>500000</v>
      </c>
      <c r="P41" s="4">
        <f t="shared" si="5"/>
        <v>5</v>
      </c>
      <c r="Q41" s="4"/>
      <c r="R41" s="4"/>
      <c r="S41" s="4">
        <f t="shared" si="6"/>
        <v>0</v>
      </c>
      <c r="T41" s="4">
        <f t="shared" si="7"/>
        <v>0</v>
      </c>
      <c r="U41" s="4">
        <f t="shared" si="8"/>
        <v>580000</v>
      </c>
      <c r="V41" s="4"/>
      <c r="W41" s="4">
        <f t="shared" si="15"/>
        <v>580000</v>
      </c>
      <c r="X41" s="4"/>
      <c r="Y41" s="4"/>
      <c r="Z41" s="4"/>
      <c r="AA41" s="3"/>
      <c r="AB41" s="3" t="s">
        <v>604</v>
      </c>
      <c r="AC41" s="3">
        <v>930000</v>
      </c>
      <c r="AD41" s="16"/>
      <c r="AE41" s="4"/>
      <c r="AF41" s="4">
        <v>580000</v>
      </c>
      <c r="AG41" s="4"/>
      <c r="AH41" s="4"/>
      <c r="AI41" s="4"/>
      <c r="AJ41" s="4"/>
      <c r="AK41" s="4"/>
      <c r="AL41" s="4"/>
      <c r="AM41" s="4">
        <f t="shared" si="10"/>
        <v>580000</v>
      </c>
      <c r="AN41" s="4">
        <f t="shared" si="11"/>
        <v>0</v>
      </c>
      <c r="AO41" s="4"/>
      <c r="AP41" s="4">
        <f t="shared" si="12"/>
        <v>580000</v>
      </c>
      <c r="AQ41" s="4"/>
      <c r="AR41" s="4"/>
      <c r="AS41" s="4"/>
      <c r="AT41" s="3"/>
    </row>
    <row r="42" spans="1:46" s="387" customFormat="1" ht="30" customHeight="1">
      <c r="A42" s="386">
        <f t="shared" si="13"/>
        <v>37</v>
      </c>
      <c r="B42" s="3">
        <v>2095</v>
      </c>
      <c r="C42" s="3" t="s">
        <v>348</v>
      </c>
      <c r="D42" s="4">
        <v>160000</v>
      </c>
      <c r="E42" s="4">
        <v>160000</v>
      </c>
      <c r="F42" s="4">
        <f t="shared" si="0"/>
        <v>0</v>
      </c>
      <c r="G42" s="4">
        <v>160000</v>
      </c>
      <c r="H42" s="4">
        <v>29250</v>
      </c>
      <c r="I42" s="4">
        <v>0</v>
      </c>
      <c r="J42" s="4">
        <v>0</v>
      </c>
      <c r="K42" s="4">
        <f t="shared" si="16"/>
        <v>0</v>
      </c>
      <c r="L42" s="4">
        <f t="shared" si="2"/>
        <v>29250</v>
      </c>
      <c r="M42" s="4">
        <f t="shared" si="14"/>
        <v>130750</v>
      </c>
      <c r="N42" s="4"/>
      <c r="O42" s="4">
        <f t="shared" si="4"/>
        <v>0</v>
      </c>
      <c r="P42" s="4">
        <f t="shared" si="5"/>
        <v>130750</v>
      </c>
      <c r="Q42" s="4"/>
      <c r="R42" s="4"/>
      <c r="S42" s="4">
        <f t="shared" si="6"/>
        <v>0</v>
      </c>
      <c r="T42" s="4">
        <f t="shared" si="7"/>
        <v>0</v>
      </c>
      <c r="U42" s="4">
        <f t="shared" si="8"/>
        <v>0</v>
      </c>
      <c r="V42" s="4"/>
      <c r="W42" s="4">
        <f t="shared" si="15"/>
        <v>0</v>
      </c>
      <c r="X42" s="4"/>
      <c r="Y42" s="4"/>
      <c r="Z42" s="4"/>
      <c r="AA42" s="3"/>
      <c r="AB42" s="3" t="s">
        <v>776</v>
      </c>
      <c r="AC42" s="3">
        <v>610000</v>
      </c>
      <c r="AD42" s="16"/>
      <c r="AE42" s="16"/>
      <c r="AF42" s="16"/>
      <c r="AG42" s="16"/>
      <c r="AH42" s="16"/>
      <c r="AI42" s="16"/>
      <c r="AJ42" s="16"/>
      <c r="AK42" s="16"/>
      <c r="AL42" s="16"/>
      <c r="AM42" s="4">
        <f t="shared" si="10"/>
        <v>0</v>
      </c>
      <c r="AN42" s="4">
        <f t="shared" si="11"/>
        <v>0</v>
      </c>
      <c r="AO42" s="3"/>
      <c r="AP42" s="4">
        <f t="shared" si="12"/>
        <v>0</v>
      </c>
      <c r="AQ42" s="4"/>
      <c r="AR42" s="3"/>
      <c r="AS42" s="3"/>
      <c r="AT42" s="3"/>
    </row>
    <row r="43" spans="1:46" s="5" customFormat="1" ht="30" customHeight="1">
      <c r="A43" s="386">
        <f t="shared" si="13"/>
        <v>38</v>
      </c>
      <c r="B43" s="3">
        <v>2096</v>
      </c>
      <c r="C43" s="3" t="s">
        <v>349</v>
      </c>
      <c r="D43" s="4">
        <v>1215000</v>
      </c>
      <c r="E43" s="4">
        <v>1215000</v>
      </c>
      <c r="F43" s="4">
        <f t="shared" si="0"/>
        <v>0</v>
      </c>
      <c r="G43" s="4">
        <v>1215000</v>
      </c>
      <c r="H43" s="4">
        <v>137010</v>
      </c>
      <c r="I43" s="4">
        <v>0</v>
      </c>
      <c r="J43" s="4">
        <v>10092</v>
      </c>
      <c r="K43" s="4">
        <f t="shared" si="16"/>
        <v>10092</v>
      </c>
      <c r="L43" s="4">
        <f t="shared" si="2"/>
        <v>147102</v>
      </c>
      <c r="M43" s="4">
        <f t="shared" si="14"/>
        <v>1067898</v>
      </c>
      <c r="N43" s="4"/>
      <c r="O43" s="4">
        <f t="shared" si="4"/>
        <v>0</v>
      </c>
      <c r="P43" s="4">
        <f t="shared" si="5"/>
        <v>1067898</v>
      </c>
      <c r="Q43" s="4"/>
      <c r="R43" s="4"/>
      <c r="S43" s="4">
        <f t="shared" si="6"/>
        <v>0</v>
      </c>
      <c r="T43" s="4">
        <f t="shared" si="7"/>
        <v>0</v>
      </c>
      <c r="U43" s="4">
        <f t="shared" si="8"/>
        <v>0</v>
      </c>
      <c r="V43" s="4"/>
      <c r="W43" s="4">
        <f t="shared" si="15"/>
        <v>-350000</v>
      </c>
      <c r="X43" s="4"/>
      <c r="Y43" s="4"/>
      <c r="Z43" s="4"/>
      <c r="AA43" s="4">
        <v>350000</v>
      </c>
      <c r="AB43" s="3" t="s">
        <v>777</v>
      </c>
      <c r="AC43" s="3">
        <v>930000</v>
      </c>
      <c r="AD43" s="16"/>
      <c r="AE43" s="16"/>
      <c r="AF43" s="16"/>
      <c r="AG43" s="16"/>
      <c r="AH43" s="16"/>
      <c r="AI43" s="16"/>
      <c r="AJ43" s="16"/>
      <c r="AK43" s="16"/>
      <c r="AL43" s="16"/>
      <c r="AM43" s="4">
        <f t="shared" si="10"/>
        <v>0</v>
      </c>
      <c r="AN43" s="4">
        <f t="shared" si="11"/>
        <v>0</v>
      </c>
      <c r="AO43" s="3"/>
      <c r="AP43" s="4">
        <f t="shared" si="12"/>
        <v>-182385</v>
      </c>
      <c r="AQ43" s="4"/>
      <c r="AR43" s="3"/>
      <c r="AS43" s="3"/>
      <c r="AT43" s="4">
        <v>182385</v>
      </c>
    </row>
    <row r="44" spans="1:46" s="5" customFormat="1" ht="30" customHeight="1">
      <c r="A44" s="386">
        <f t="shared" si="13"/>
        <v>39</v>
      </c>
      <c r="B44" s="3">
        <v>2129</v>
      </c>
      <c r="C44" s="3" t="s">
        <v>1996</v>
      </c>
      <c r="D44" s="4">
        <v>624000</v>
      </c>
      <c r="E44" s="4">
        <v>624000</v>
      </c>
      <c r="F44" s="4">
        <f t="shared" si="0"/>
        <v>0</v>
      </c>
      <c r="G44" s="4">
        <v>624000</v>
      </c>
      <c r="H44" s="4">
        <v>514816</v>
      </c>
      <c r="I44" s="4">
        <v>0</v>
      </c>
      <c r="J44" s="4">
        <v>1975</v>
      </c>
      <c r="K44" s="4">
        <f t="shared" si="16"/>
        <v>1975</v>
      </c>
      <c r="L44" s="4">
        <f t="shared" si="2"/>
        <v>516791</v>
      </c>
      <c r="M44" s="4">
        <f t="shared" si="14"/>
        <v>107209</v>
      </c>
      <c r="N44" s="4"/>
      <c r="O44" s="4">
        <f t="shared" si="4"/>
        <v>0</v>
      </c>
      <c r="P44" s="4">
        <f t="shared" si="5"/>
        <v>107209</v>
      </c>
      <c r="Q44" s="4"/>
      <c r="R44" s="4"/>
      <c r="S44" s="4">
        <f t="shared" si="6"/>
        <v>0</v>
      </c>
      <c r="T44" s="4">
        <f t="shared" si="7"/>
        <v>0</v>
      </c>
      <c r="U44" s="4">
        <f t="shared" si="8"/>
        <v>0</v>
      </c>
      <c r="V44" s="4"/>
      <c r="W44" s="4">
        <f t="shared" si="15"/>
        <v>0</v>
      </c>
      <c r="X44" s="4"/>
      <c r="Y44" s="4"/>
      <c r="Z44" s="4"/>
      <c r="AA44" s="3"/>
      <c r="AB44" s="3" t="s">
        <v>536</v>
      </c>
      <c r="AC44" s="3">
        <v>840000</v>
      </c>
      <c r="AD44" s="16"/>
      <c r="AE44" s="16"/>
      <c r="AF44" s="16"/>
      <c r="AG44" s="16"/>
      <c r="AH44" s="16"/>
      <c r="AI44" s="16"/>
      <c r="AJ44" s="16"/>
      <c r="AK44" s="16"/>
      <c r="AL44" s="16"/>
      <c r="AM44" s="4">
        <f t="shared" si="10"/>
        <v>0</v>
      </c>
      <c r="AN44" s="4">
        <f t="shared" si="11"/>
        <v>0</v>
      </c>
      <c r="AO44" s="3"/>
      <c r="AP44" s="4">
        <f t="shared" si="12"/>
        <v>0</v>
      </c>
      <c r="AQ44" s="4"/>
      <c r="AR44" s="3"/>
      <c r="AS44" s="3"/>
      <c r="AT44" s="3"/>
    </row>
    <row r="45" spans="1:46" s="5" customFormat="1" ht="30" customHeight="1">
      <c r="A45" s="386">
        <f t="shared" si="13"/>
        <v>40</v>
      </c>
      <c r="B45" s="3">
        <v>2131</v>
      </c>
      <c r="C45" s="3" t="s">
        <v>594</v>
      </c>
      <c r="D45" s="4">
        <v>7500000</v>
      </c>
      <c r="E45" s="4">
        <v>7500000</v>
      </c>
      <c r="F45" s="4">
        <f t="shared" si="0"/>
        <v>0</v>
      </c>
      <c r="G45" s="4">
        <v>4020000</v>
      </c>
      <c r="H45" s="4">
        <v>270472</v>
      </c>
      <c r="I45" s="4">
        <v>2020613</v>
      </c>
      <c r="J45" s="4">
        <v>468333</v>
      </c>
      <c r="K45" s="4">
        <f t="shared" si="16"/>
        <v>2488946</v>
      </c>
      <c r="L45" s="4">
        <f t="shared" si="2"/>
        <v>2759418</v>
      </c>
      <c r="M45" s="4">
        <f t="shared" si="14"/>
        <v>1260582</v>
      </c>
      <c r="N45" s="4">
        <f>3480000-3480000</f>
        <v>0</v>
      </c>
      <c r="O45" s="4">
        <f t="shared" si="4"/>
        <v>3480000</v>
      </c>
      <c r="P45" s="4">
        <f t="shared" si="5"/>
        <v>1260582</v>
      </c>
      <c r="Q45" s="4"/>
      <c r="R45" s="4"/>
      <c r="S45" s="4">
        <f t="shared" si="6"/>
        <v>0</v>
      </c>
      <c r="T45" s="4">
        <f t="shared" si="7"/>
        <v>0</v>
      </c>
      <c r="U45" s="4">
        <f t="shared" si="8"/>
        <v>0</v>
      </c>
      <c r="V45" s="4"/>
      <c r="W45" s="4">
        <f t="shared" si="15"/>
        <v>0</v>
      </c>
      <c r="X45" s="4"/>
      <c r="Y45" s="4"/>
      <c r="Z45" s="4"/>
      <c r="AA45" s="3"/>
      <c r="AB45" s="3" t="s">
        <v>843</v>
      </c>
      <c r="AC45" s="3">
        <v>870000</v>
      </c>
      <c r="AD45" s="16"/>
      <c r="AE45" s="16"/>
      <c r="AF45" s="16"/>
      <c r="AG45" s="16"/>
      <c r="AH45" s="16"/>
      <c r="AI45" s="16"/>
      <c r="AJ45" s="16"/>
      <c r="AK45" s="16"/>
      <c r="AL45" s="16"/>
      <c r="AM45" s="4">
        <f t="shared" si="10"/>
        <v>0</v>
      </c>
      <c r="AN45" s="4">
        <f t="shared" si="11"/>
        <v>0</v>
      </c>
      <c r="AO45" s="3"/>
      <c r="AP45" s="4">
        <f t="shared" si="12"/>
        <v>0</v>
      </c>
      <c r="AQ45" s="4"/>
      <c r="AR45" s="3"/>
      <c r="AS45" s="3"/>
      <c r="AT45" s="3"/>
    </row>
    <row r="46" spans="1:46" s="5" customFormat="1" ht="30" customHeight="1">
      <c r="A46" s="386">
        <f t="shared" si="13"/>
        <v>41</v>
      </c>
      <c r="B46" s="3">
        <v>2132</v>
      </c>
      <c r="C46" s="3" t="s">
        <v>2275</v>
      </c>
      <c r="D46" s="4">
        <f>700000-120000</f>
        <v>580000</v>
      </c>
      <c r="E46" s="4">
        <v>700000</v>
      </c>
      <c r="F46" s="4">
        <f t="shared" si="0"/>
        <v>-120000</v>
      </c>
      <c r="G46" s="4">
        <v>580000</v>
      </c>
      <c r="H46" s="4">
        <v>572172</v>
      </c>
      <c r="I46" s="4">
        <v>0</v>
      </c>
      <c r="J46" s="4">
        <v>5123</v>
      </c>
      <c r="K46" s="4">
        <f t="shared" si="16"/>
        <v>5123</v>
      </c>
      <c r="L46" s="4">
        <f t="shared" si="2"/>
        <v>577295</v>
      </c>
      <c r="M46" s="4">
        <f t="shared" si="14"/>
        <v>2705</v>
      </c>
      <c r="N46" s="4"/>
      <c r="O46" s="4">
        <f t="shared" si="4"/>
        <v>0</v>
      </c>
      <c r="P46" s="4">
        <f t="shared" si="5"/>
        <v>2705</v>
      </c>
      <c r="Q46" s="4"/>
      <c r="R46" s="4"/>
      <c r="S46" s="4">
        <f t="shared" si="6"/>
        <v>0</v>
      </c>
      <c r="T46" s="4">
        <f t="shared" si="7"/>
        <v>0</v>
      </c>
      <c r="U46" s="4">
        <f t="shared" si="8"/>
        <v>0</v>
      </c>
      <c r="V46" s="4"/>
      <c r="W46" s="4">
        <f t="shared" si="15"/>
        <v>0</v>
      </c>
      <c r="X46" s="4"/>
      <c r="Y46" s="4"/>
      <c r="Z46" s="4"/>
      <c r="AA46" s="3"/>
      <c r="AB46" s="3" t="s">
        <v>537</v>
      </c>
      <c r="AC46" s="3">
        <v>810000</v>
      </c>
      <c r="AD46" s="16"/>
      <c r="AE46" s="4"/>
      <c r="AF46" s="4"/>
      <c r="AG46" s="4"/>
      <c r="AH46" s="4"/>
      <c r="AI46" s="4"/>
      <c r="AJ46" s="4"/>
      <c r="AK46" s="4"/>
      <c r="AL46" s="4"/>
      <c r="AM46" s="4">
        <f t="shared" si="10"/>
        <v>0</v>
      </c>
      <c r="AN46" s="4">
        <f t="shared" si="11"/>
        <v>0</v>
      </c>
      <c r="AO46" s="4"/>
      <c r="AP46" s="4">
        <f t="shared" si="12"/>
        <v>0</v>
      </c>
      <c r="AQ46" s="4"/>
      <c r="AR46" s="3"/>
      <c r="AS46" s="3"/>
      <c r="AT46" s="3"/>
    </row>
    <row r="47" spans="1:46" s="387" customFormat="1" ht="30" customHeight="1">
      <c r="A47" s="386">
        <f t="shared" si="13"/>
        <v>42</v>
      </c>
      <c r="B47" s="3">
        <v>2133</v>
      </c>
      <c r="C47" s="3" t="s">
        <v>500</v>
      </c>
      <c r="D47" s="4">
        <v>3150000</v>
      </c>
      <c r="E47" s="4">
        <v>3000000</v>
      </c>
      <c r="F47" s="4">
        <f t="shared" si="0"/>
        <v>150000</v>
      </c>
      <c r="G47" s="4">
        <v>1000000</v>
      </c>
      <c r="H47" s="4">
        <v>611193</v>
      </c>
      <c r="I47" s="4">
        <v>0</v>
      </c>
      <c r="J47" s="4">
        <v>0</v>
      </c>
      <c r="K47" s="4">
        <f t="shared" si="16"/>
        <v>0</v>
      </c>
      <c r="L47" s="4">
        <f t="shared" si="2"/>
        <v>611193</v>
      </c>
      <c r="M47" s="4">
        <f t="shared" si="14"/>
        <v>388807</v>
      </c>
      <c r="N47" s="4">
        <v>2150000</v>
      </c>
      <c r="O47" s="4">
        <f t="shared" si="4"/>
        <v>0</v>
      </c>
      <c r="P47" s="4">
        <f t="shared" si="5"/>
        <v>388807</v>
      </c>
      <c r="Q47" s="4"/>
      <c r="R47" s="4"/>
      <c r="S47" s="4">
        <f t="shared" si="6"/>
        <v>0</v>
      </c>
      <c r="T47" s="4">
        <f t="shared" si="7"/>
        <v>0</v>
      </c>
      <c r="U47" s="4">
        <f t="shared" si="8"/>
        <v>2150000</v>
      </c>
      <c r="V47" s="4"/>
      <c r="W47" s="4">
        <f t="shared" si="15"/>
        <v>2150000</v>
      </c>
      <c r="X47" s="4"/>
      <c r="Y47" s="4"/>
      <c r="Z47" s="4"/>
      <c r="AA47" s="3"/>
      <c r="AB47" s="3" t="s">
        <v>538</v>
      </c>
      <c r="AC47" s="3">
        <v>930000</v>
      </c>
      <c r="AD47" s="16"/>
      <c r="AE47" s="4"/>
      <c r="AF47" s="4">
        <v>1000000</v>
      </c>
      <c r="AG47" s="4"/>
      <c r="AH47" s="4">
        <v>1150000</v>
      </c>
      <c r="AI47" s="4"/>
      <c r="AJ47" s="4"/>
      <c r="AK47" s="4"/>
      <c r="AL47" s="4"/>
      <c r="AM47" s="4">
        <f t="shared" si="10"/>
        <v>2150000</v>
      </c>
      <c r="AN47" s="4">
        <f t="shared" si="11"/>
        <v>0</v>
      </c>
      <c r="AO47" s="4"/>
      <c r="AP47" s="4">
        <f t="shared" si="12"/>
        <v>2150000</v>
      </c>
      <c r="AQ47" s="4"/>
      <c r="AR47" s="3"/>
      <c r="AS47" s="3"/>
      <c r="AT47" s="3"/>
    </row>
    <row r="48" spans="1:46" s="5" customFormat="1" ht="30" customHeight="1">
      <c r="A48" s="386">
        <f t="shared" si="13"/>
        <v>43</v>
      </c>
      <c r="B48" s="3">
        <v>2134</v>
      </c>
      <c r="C48" s="3" t="s">
        <v>1997</v>
      </c>
      <c r="D48" s="4">
        <v>494000</v>
      </c>
      <c r="E48" s="4">
        <v>494000</v>
      </c>
      <c r="F48" s="4">
        <f t="shared" si="0"/>
        <v>0</v>
      </c>
      <c r="G48" s="4">
        <v>494000</v>
      </c>
      <c r="H48" s="4">
        <v>413088</v>
      </c>
      <c r="I48" s="4">
        <v>0</v>
      </c>
      <c r="J48" s="4">
        <v>66991</v>
      </c>
      <c r="K48" s="4">
        <f t="shared" si="16"/>
        <v>66991</v>
      </c>
      <c r="L48" s="4">
        <f t="shared" si="2"/>
        <v>480079</v>
      </c>
      <c r="M48" s="4">
        <f t="shared" si="14"/>
        <v>13921</v>
      </c>
      <c r="N48" s="4"/>
      <c r="O48" s="4">
        <f t="shared" si="4"/>
        <v>0</v>
      </c>
      <c r="P48" s="4">
        <f t="shared" si="5"/>
        <v>13921</v>
      </c>
      <c r="Q48" s="4"/>
      <c r="R48" s="4"/>
      <c r="S48" s="4">
        <f t="shared" si="6"/>
        <v>0</v>
      </c>
      <c r="T48" s="4">
        <f t="shared" si="7"/>
        <v>0</v>
      </c>
      <c r="U48" s="4">
        <f t="shared" si="8"/>
        <v>0</v>
      </c>
      <c r="V48" s="4"/>
      <c r="W48" s="4">
        <f t="shared" si="15"/>
        <v>0</v>
      </c>
      <c r="X48" s="4"/>
      <c r="Y48" s="4"/>
      <c r="Z48" s="4"/>
      <c r="AA48" s="3"/>
      <c r="AB48" s="3" t="s">
        <v>1998</v>
      </c>
      <c r="AC48" s="3">
        <v>829000</v>
      </c>
      <c r="AD48" s="16"/>
      <c r="AE48" s="4"/>
      <c r="AF48" s="4"/>
      <c r="AG48" s="4"/>
      <c r="AH48" s="4"/>
      <c r="AI48" s="4"/>
      <c r="AJ48" s="4"/>
      <c r="AK48" s="4"/>
      <c r="AL48" s="4"/>
      <c r="AM48" s="4">
        <f t="shared" si="10"/>
        <v>0</v>
      </c>
      <c r="AN48" s="4">
        <f t="shared" si="11"/>
        <v>0</v>
      </c>
      <c r="AO48" s="4"/>
      <c r="AP48" s="4">
        <f t="shared" si="12"/>
        <v>0</v>
      </c>
      <c r="AQ48" s="4"/>
      <c r="AR48" s="3"/>
      <c r="AS48" s="3"/>
      <c r="AT48" s="3"/>
    </row>
    <row r="49" spans="1:46" s="5" customFormat="1" ht="30" customHeight="1">
      <c r="A49" s="386">
        <f t="shared" si="13"/>
        <v>44</v>
      </c>
      <c r="B49" s="3">
        <v>2140</v>
      </c>
      <c r="C49" s="3" t="s">
        <v>632</v>
      </c>
      <c r="D49" s="4">
        <v>360000</v>
      </c>
      <c r="E49" s="4">
        <v>360000</v>
      </c>
      <c r="F49" s="4">
        <f t="shared" si="0"/>
        <v>0</v>
      </c>
      <c r="G49" s="4">
        <v>360000</v>
      </c>
      <c r="H49" s="4">
        <v>283122</v>
      </c>
      <c r="I49" s="4">
        <v>0</v>
      </c>
      <c r="J49" s="4">
        <v>0</v>
      </c>
      <c r="K49" s="4">
        <f t="shared" si="16"/>
        <v>0</v>
      </c>
      <c r="L49" s="4">
        <f t="shared" si="2"/>
        <v>283122</v>
      </c>
      <c r="M49" s="4">
        <f t="shared" si="14"/>
        <v>76878</v>
      </c>
      <c r="N49" s="4"/>
      <c r="O49" s="4">
        <f t="shared" si="4"/>
        <v>0</v>
      </c>
      <c r="P49" s="4">
        <f t="shared" si="5"/>
        <v>76878</v>
      </c>
      <c r="Q49" s="4"/>
      <c r="R49" s="4"/>
      <c r="S49" s="4">
        <f t="shared" si="6"/>
        <v>0</v>
      </c>
      <c r="T49" s="4">
        <f t="shared" si="7"/>
        <v>0</v>
      </c>
      <c r="U49" s="4">
        <f t="shared" si="8"/>
        <v>0</v>
      </c>
      <c r="V49" s="4"/>
      <c r="W49" s="4">
        <f t="shared" si="15"/>
        <v>0</v>
      </c>
      <c r="X49" s="4"/>
      <c r="Y49" s="4"/>
      <c r="Z49" s="4"/>
      <c r="AA49" s="3"/>
      <c r="AB49" s="3" t="s">
        <v>663</v>
      </c>
      <c r="AC49" s="3">
        <v>810000</v>
      </c>
      <c r="AD49" s="16"/>
      <c r="AE49" s="4"/>
      <c r="AF49" s="4"/>
      <c r="AG49" s="4"/>
      <c r="AH49" s="4"/>
      <c r="AI49" s="4"/>
      <c r="AJ49" s="4"/>
      <c r="AK49" s="4"/>
      <c r="AL49" s="4"/>
      <c r="AM49" s="4">
        <f t="shared" si="10"/>
        <v>0</v>
      </c>
      <c r="AN49" s="4">
        <f t="shared" si="11"/>
        <v>0</v>
      </c>
      <c r="AO49" s="4"/>
      <c r="AP49" s="4">
        <f t="shared" si="12"/>
        <v>0</v>
      </c>
      <c r="AQ49" s="4"/>
      <c r="AR49" s="3"/>
      <c r="AS49" s="3"/>
      <c r="AT49" s="3"/>
    </row>
    <row r="50" spans="1:46" s="5" customFormat="1" ht="30" customHeight="1">
      <c r="A50" s="386">
        <f t="shared" si="13"/>
        <v>45</v>
      </c>
      <c r="B50" s="3">
        <v>2154</v>
      </c>
      <c r="C50" s="3" t="s">
        <v>633</v>
      </c>
      <c r="D50" s="4">
        <v>10500000</v>
      </c>
      <c r="E50" s="4">
        <v>10500000</v>
      </c>
      <c r="F50" s="4">
        <f t="shared" si="0"/>
        <v>0</v>
      </c>
      <c r="G50" s="4">
        <v>0</v>
      </c>
      <c r="H50" s="4">
        <v>0</v>
      </c>
      <c r="I50" s="4">
        <v>0</v>
      </c>
      <c r="J50" s="4">
        <v>0</v>
      </c>
      <c r="K50" s="4">
        <f t="shared" si="16"/>
        <v>0</v>
      </c>
      <c r="L50" s="4">
        <f t="shared" si="2"/>
        <v>0</v>
      </c>
      <c r="M50" s="4">
        <f t="shared" si="14"/>
        <v>0</v>
      </c>
      <c r="N50" s="4">
        <f>3500000-1000000</f>
        <v>2500000</v>
      </c>
      <c r="O50" s="4">
        <f t="shared" si="4"/>
        <v>8000000</v>
      </c>
      <c r="P50" s="4">
        <f t="shared" si="5"/>
        <v>0</v>
      </c>
      <c r="Q50" s="4"/>
      <c r="R50" s="4"/>
      <c r="S50" s="4">
        <f t="shared" si="6"/>
        <v>0</v>
      </c>
      <c r="T50" s="4">
        <f t="shared" si="7"/>
        <v>0</v>
      </c>
      <c r="U50" s="4">
        <f t="shared" si="8"/>
        <v>2500000</v>
      </c>
      <c r="V50" s="4"/>
      <c r="W50" s="4">
        <f t="shared" si="15"/>
        <v>1264113</v>
      </c>
      <c r="X50" s="4"/>
      <c r="Y50" s="4"/>
      <c r="Z50" s="4"/>
      <c r="AA50" s="4">
        <v>1235887</v>
      </c>
      <c r="AB50" s="3" t="s">
        <v>539</v>
      </c>
      <c r="AC50" s="3">
        <v>870000</v>
      </c>
      <c r="AD50" s="16"/>
      <c r="AE50" s="4">
        <v>750000</v>
      </c>
      <c r="AF50" s="4"/>
      <c r="AG50" s="4"/>
      <c r="AH50" s="4"/>
      <c r="AI50" s="4"/>
      <c r="AJ50" s="4"/>
      <c r="AK50" s="4"/>
      <c r="AL50" s="4">
        <v>1750000</v>
      </c>
      <c r="AM50" s="4">
        <f t="shared" si="10"/>
        <v>2500000</v>
      </c>
      <c r="AN50" s="4">
        <f t="shared" si="11"/>
        <v>0</v>
      </c>
      <c r="AO50" s="3"/>
      <c r="AP50" s="4">
        <f t="shared" si="12"/>
        <v>1264113</v>
      </c>
      <c r="AQ50" s="3"/>
      <c r="AR50" s="3"/>
      <c r="AS50" s="3"/>
      <c r="AT50" s="4">
        <v>1235887</v>
      </c>
    </row>
    <row r="51" spans="1:46" s="5" customFormat="1" ht="30" customHeight="1">
      <c r="A51" s="386">
        <f t="shared" si="13"/>
        <v>46</v>
      </c>
      <c r="B51" s="3">
        <v>2155</v>
      </c>
      <c r="C51" s="3" t="s">
        <v>540</v>
      </c>
      <c r="D51" s="4">
        <v>700000</v>
      </c>
      <c r="E51" s="4">
        <v>700000</v>
      </c>
      <c r="F51" s="4">
        <f t="shared" si="0"/>
        <v>0</v>
      </c>
      <c r="G51" s="4">
        <v>0</v>
      </c>
      <c r="H51" s="4">
        <v>0</v>
      </c>
      <c r="I51" s="4">
        <v>0</v>
      </c>
      <c r="J51" s="4">
        <v>0</v>
      </c>
      <c r="K51" s="4">
        <f t="shared" si="16"/>
        <v>0</v>
      </c>
      <c r="L51" s="4">
        <f t="shared" si="2"/>
        <v>0</v>
      </c>
      <c r="M51" s="4">
        <f t="shared" si="14"/>
        <v>0</v>
      </c>
      <c r="N51" s="4">
        <f>700000-700000</f>
        <v>0</v>
      </c>
      <c r="O51" s="4">
        <f t="shared" si="4"/>
        <v>700000</v>
      </c>
      <c r="P51" s="4">
        <f t="shared" si="5"/>
        <v>0</v>
      </c>
      <c r="Q51" s="4"/>
      <c r="R51" s="4"/>
      <c r="S51" s="4">
        <f t="shared" si="6"/>
        <v>0</v>
      </c>
      <c r="T51" s="4">
        <f t="shared" si="7"/>
        <v>0</v>
      </c>
      <c r="U51" s="4">
        <f t="shared" si="8"/>
        <v>0</v>
      </c>
      <c r="V51" s="4"/>
      <c r="W51" s="4">
        <f t="shared" si="15"/>
        <v>0</v>
      </c>
      <c r="X51" s="4"/>
      <c r="Y51" s="4"/>
      <c r="Z51" s="4"/>
      <c r="AA51" s="3"/>
      <c r="AB51" s="3" t="s">
        <v>541</v>
      </c>
      <c r="AC51" s="3">
        <v>746000</v>
      </c>
      <c r="AD51" s="16"/>
      <c r="AE51" s="4"/>
      <c r="AF51" s="4"/>
      <c r="AG51" s="4"/>
      <c r="AH51" s="4"/>
      <c r="AI51" s="4"/>
      <c r="AJ51" s="4"/>
      <c r="AK51" s="4"/>
      <c r="AL51" s="4"/>
      <c r="AM51" s="4">
        <f t="shared" si="10"/>
        <v>0</v>
      </c>
      <c r="AN51" s="4">
        <f t="shared" si="11"/>
        <v>0</v>
      </c>
      <c r="AO51" s="3"/>
      <c r="AP51" s="4">
        <f t="shared" si="12"/>
        <v>0</v>
      </c>
      <c r="AQ51" s="3"/>
      <c r="AR51" s="3"/>
      <c r="AS51" s="3"/>
      <c r="AT51" s="3"/>
    </row>
    <row r="52" spans="1:46" s="5" customFormat="1" ht="30" customHeight="1">
      <c r="A52" s="386">
        <f t="shared" si="13"/>
        <v>47</v>
      </c>
      <c r="B52" s="3">
        <v>2156</v>
      </c>
      <c r="C52" s="3" t="s">
        <v>542</v>
      </c>
      <c r="D52" s="4">
        <v>1600000</v>
      </c>
      <c r="E52" s="4">
        <v>1600000</v>
      </c>
      <c r="F52" s="4">
        <f t="shared" si="0"/>
        <v>0</v>
      </c>
      <c r="G52" s="4">
        <v>0</v>
      </c>
      <c r="H52" s="4">
        <v>0</v>
      </c>
      <c r="I52" s="4">
        <v>0</v>
      </c>
      <c r="J52" s="4">
        <v>0</v>
      </c>
      <c r="K52" s="4">
        <f t="shared" si="16"/>
        <v>0</v>
      </c>
      <c r="L52" s="4">
        <f t="shared" si="2"/>
        <v>0</v>
      </c>
      <c r="M52" s="4">
        <f t="shared" si="14"/>
        <v>0</v>
      </c>
      <c r="N52" s="4">
        <f>600000-500000</f>
        <v>100000</v>
      </c>
      <c r="O52" s="4">
        <f t="shared" si="4"/>
        <v>1500000</v>
      </c>
      <c r="P52" s="4">
        <f t="shared" si="5"/>
        <v>0</v>
      </c>
      <c r="Q52" s="4"/>
      <c r="R52" s="4"/>
      <c r="S52" s="4">
        <f t="shared" si="6"/>
        <v>0</v>
      </c>
      <c r="T52" s="4">
        <f t="shared" si="7"/>
        <v>0</v>
      </c>
      <c r="U52" s="4">
        <f t="shared" si="8"/>
        <v>100000</v>
      </c>
      <c r="V52" s="4"/>
      <c r="W52" s="4">
        <f t="shared" si="15"/>
        <v>100000</v>
      </c>
      <c r="X52" s="4"/>
      <c r="Y52" s="4"/>
      <c r="Z52" s="4"/>
      <c r="AA52" s="3"/>
      <c r="AB52" s="3" t="s">
        <v>543</v>
      </c>
      <c r="AC52" s="3">
        <v>720000</v>
      </c>
      <c r="AD52" s="4"/>
      <c r="AE52" s="4"/>
      <c r="AF52" s="4">
        <v>100000</v>
      </c>
      <c r="AG52" s="4"/>
      <c r="AH52" s="4"/>
      <c r="AI52" s="4"/>
      <c r="AJ52" s="4"/>
      <c r="AK52" s="4"/>
      <c r="AL52" s="4"/>
      <c r="AM52" s="4">
        <f t="shared" si="10"/>
        <v>100000</v>
      </c>
      <c r="AN52" s="4">
        <f t="shared" si="11"/>
        <v>0</v>
      </c>
      <c r="AO52" s="3"/>
      <c r="AP52" s="4">
        <f t="shared" si="12"/>
        <v>100000</v>
      </c>
      <c r="AQ52" s="3"/>
      <c r="AR52" s="3"/>
      <c r="AS52" s="3"/>
      <c r="AT52" s="3"/>
    </row>
    <row r="53" spans="1:46" s="5" customFormat="1" ht="30" customHeight="1">
      <c r="A53" s="386">
        <f t="shared" si="13"/>
        <v>48</v>
      </c>
      <c r="B53" s="3">
        <v>2157</v>
      </c>
      <c r="C53" s="3" t="s">
        <v>634</v>
      </c>
      <c r="D53" s="4">
        <v>5200000</v>
      </c>
      <c r="E53" s="4">
        <v>5200000</v>
      </c>
      <c r="F53" s="4">
        <f t="shared" si="0"/>
        <v>0</v>
      </c>
      <c r="G53" s="4">
        <v>0</v>
      </c>
      <c r="H53" s="4">
        <v>0</v>
      </c>
      <c r="I53" s="4">
        <v>0</v>
      </c>
      <c r="J53" s="4">
        <v>0</v>
      </c>
      <c r="K53" s="4">
        <f t="shared" si="16"/>
        <v>0</v>
      </c>
      <c r="L53" s="4">
        <f t="shared" si="2"/>
        <v>0</v>
      </c>
      <c r="M53" s="4">
        <f t="shared" si="14"/>
        <v>0</v>
      </c>
      <c r="N53" s="4">
        <f>500000-200000-150000</f>
        <v>150000</v>
      </c>
      <c r="O53" s="4">
        <f t="shared" si="4"/>
        <v>5050000</v>
      </c>
      <c r="P53" s="4">
        <f t="shared" si="5"/>
        <v>0</v>
      </c>
      <c r="Q53" s="4"/>
      <c r="R53" s="4"/>
      <c r="S53" s="4">
        <f t="shared" si="6"/>
        <v>0</v>
      </c>
      <c r="T53" s="4">
        <f t="shared" si="7"/>
        <v>0</v>
      </c>
      <c r="U53" s="4">
        <f t="shared" si="8"/>
        <v>150000</v>
      </c>
      <c r="V53" s="4"/>
      <c r="W53" s="4">
        <f t="shared" si="15"/>
        <v>150000</v>
      </c>
      <c r="X53" s="4"/>
      <c r="Y53" s="4"/>
      <c r="Z53" s="4"/>
      <c r="AA53" s="3"/>
      <c r="AB53" s="3" t="s">
        <v>593</v>
      </c>
      <c r="AC53" s="3">
        <v>810000</v>
      </c>
      <c r="AD53" s="4"/>
      <c r="AE53" s="4"/>
      <c r="AF53" s="4">
        <v>150000</v>
      </c>
      <c r="AG53" s="4"/>
      <c r="AH53" s="4"/>
      <c r="AI53" s="4"/>
      <c r="AJ53" s="4"/>
      <c r="AK53" s="4"/>
      <c r="AL53" s="4"/>
      <c r="AM53" s="4">
        <f t="shared" si="10"/>
        <v>150000</v>
      </c>
      <c r="AN53" s="4">
        <f t="shared" si="11"/>
        <v>0</v>
      </c>
      <c r="AO53" s="3"/>
      <c r="AP53" s="4">
        <f t="shared" si="12"/>
        <v>150000</v>
      </c>
      <c r="AQ53" s="3"/>
      <c r="AR53" s="3"/>
      <c r="AS53" s="3"/>
      <c r="AT53" s="3"/>
    </row>
    <row r="54" spans="1:46" s="5" customFormat="1" ht="30" customHeight="1">
      <c r="A54" s="386">
        <f t="shared" si="13"/>
        <v>49</v>
      </c>
      <c r="B54" s="3">
        <v>2176</v>
      </c>
      <c r="C54" s="3" t="s">
        <v>2276</v>
      </c>
      <c r="D54" s="4">
        <v>2100000</v>
      </c>
      <c r="E54" s="4">
        <v>2100000</v>
      </c>
      <c r="F54" s="4">
        <f t="shared" si="0"/>
        <v>0</v>
      </c>
      <c r="G54" s="4">
        <v>0</v>
      </c>
      <c r="H54" s="4">
        <v>0</v>
      </c>
      <c r="I54" s="4">
        <v>0</v>
      </c>
      <c r="J54" s="4">
        <v>0</v>
      </c>
      <c r="K54" s="4">
        <f t="shared" si="16"/>
        <v>0</v>
      </c>
      <c r="L54" s="4">
        <f t="shared" si="2"/>
        <v>0</v>
      </c>
      <c r="M54" s="4">
        <f t="shared" si="14"/>
        <v>0</v>
      </c>
      <c r="N54" s="4"/>
      <c r="O54" s="4">
        <f t="shared" si="4"/>
        <v>2100000</v>
      </c>
      <c r="P54" s="4">
        <f t="shared" si="5"/>
        <v>0</v>
      </c>
      <c r="Q54" s="4"/>
      <c r="R54" s="4"/>
      <c r="S54" s="4">
        <f t="shared" si="6"/>
        <v>0</v>
      </c>
      <c r="T54" s="4">
        <f t="shared" si="7"/>
        <v>0</v>
      </c>
      <c r="U54" s="4">
        <f t="shared" si="8"/>
        <v>0</v>
      </c>
      <c r="V54" s="4"/>
      <c r="W54" s="4">
        <f t="shared" si="15"/>
        <v>0</v>
      </c>
      <c r="X54" s="4"/>
      <c r="Y54" s="4"/>
      <c r="Z54" s="4"/>
      <c r="AA54" s="3"/>
      <c r="AB54" s="3" t="s">
        <v>1999</v>
      </c>
      <c r="AC54" s="3">
        <v>829000</v>
      </c>
      <c r="AD54" s="4"/>
      <c r="AE54" s="4"/>
      <c r="AF54" s="4"/>
      <c r="AG54" s="4"/>
      <c r="AH54" s="4"/>
      <c r="AI54" s="4"/>
      <c r="AJ54" s="4"/>
      <c r="AK54" s="4"/>
      <c r="AL54" s="4"/>
      <c r="AM54" s="4">
        <f t="shared" si="10"/>
        <v>0</v>
      </c>
      <c r="AN54" s="4">
        <f t="shared" si="11"/>
        <v>0</v>
      </c>
      <c r="AO54" s="3"/>
      <c r="AP54" s="4">
        <f t="shared" si="12"/>
        <v>0</v>
      </c>
      <c r="AQ54" s="3"/>
      <c r="AR54" s="3"/>
      <c r="AS54" s="3"/>
      <c r="AT54" s="3"/>
    </row>
    <row r="55" spans="1:46" s="5" customFormat="1" ht="51.6" customHeight="1">
      <c r="A55" s="386">
        <f t="shared" si="13"/>
        <v>50</v>
      </c>
      <c r="B55" s="3">
        <v>2177</v>
      </c>
      <c r="C55" s="3" t="s">
        <v>2280</v>
      </c>
      <c r="D55" s="4">
        <v>5500000</v>
      </c>
      <c r="E55" s="4">
        <v>500000</v>
      </c>
      <c r="F55" s="4">
        <f t="shared" si="0"/>
        <v>5000000</v>
      </c>
      <c r="G55" s="4">
        <v>0</v>
      </c>
      <c r="H55" s="4">
        <v>0</v>
      </c>
      <c r="I55" s="4">
        <v>0</v>
      </c>
      <c r="J55" s="4">
        <v>0</v>
      </c>
      <c r="K55" s="4">
        <f t="shared" si="16"/>
        <v>0</v>
      </c>
      <c r="L55" s="4">
        <f t="shared" si="2"/>
        <v>0</v>
      </c>
      <c r="M55" s="4">
        <f t="shared" si="14"/>
        <v>0</v>
      </c>
      <c r="N55" s="4">
        <v>5500000</v>
      </c>
      <c r="O55" s="4">
        <f t="shared" si="4"/>
        <v>0</v>
      </c>
      <c r="P55" s="4">
        <f t="shared" si="5"/>
        <v>0</v>
      </c>
      <c r="Q55" s="4"/>
      <c r="R55" s="4"/>
      <c r="S55" s="4">
        <f t="shared" si="6"/>
        <v>0</v>
      </c>
      <c r="T55" s="4">
        <f t="shared" si="7"/>
        <v>0</v>
      </c>
      <c r="U55" s="4">
        <f t="shared" si="8"/>
        <v>5500000</v>
      </c>
      <c r="V55" s="4"/>
      <c r="W55" s="4">
        <f t="shared" si="15"/>
        <v>5500000</v>
      </c>
      <c r="X55" s="4"/>
      <c r="Y55" s="4"/>
      <c r="Z55" s="4"/>
      <c r="AA55" s="3"/>
      <c r="AB55" s="3" t="s">
        <v>2000</v>
      </c>
      <c r="AC55" s="3">
        <v>810000</v>
      </c>
      <c r="AD55" s="4"/>
      <c r="AE55" s="4">
        <v>500000</v>
      </c>
      <c r="AF55" s="4">
        <v>1307500</v>
      </c>
      <c r="AG55" s="4">
        <f>2510000-410000</f>
        <v>2100000</v>
      </c>
      <c r="AH55" s="4">
        <v>150000</v>
      </c>
      <c r="AI55" s="4">
        <v>1442500</v>
      </c>
      <c r="AJ55" s="4"/>
      <c r="AK55" s="4"/>
      <c r="AL55" s="4"/>
      <c r="AM55" s="4">
        <f t="shared" si="10"/>
        <v>5500000</v>
      </c>
      <c r="AN55" s="4">
        <f t="shared" si="11"/>
        <v>0</v>
      </c>
      <c r="AO55" s="3"/>
      <c r="AP55" s="4">
        <f t="shared" si="12"/>
        <v>5500000</v>
      </c>
      <c r="AQ55" s="4"/>
      <c r="AR55" s="3"/>
      <c r="AS55" s="3"/>
      <c r="AT55" s="3"/>
    </row>
    <row r="56" spans="1:46" s="5" customFormat="1" ht="30" customHeight="1">
      <c r="A56" s="386">
        <f t="shared" si="13"/>
        <v>51</v>
      </c>
      <c r="B56" s="3">
        <v>2178</v>
      </c>
      <c r="C56" s="3" t="s">
        <v>635</v>
      </c>
      <c r="D56" s="4">
        <v>3100000</v>
      </c>
      <c r="E56" s="4">
        <v>3100000</v>
      </c>
      <c r="F56" s="4">
        <f t="shared" si="0"/>
        <v>0</v>
      </c>
      <c r="G56" s="4">
        <v>3100000</v>
      </c>
      <c r="H56" s="4">
        <v>598723</v>
      </c>
      <c r="I56" s="4">
        <v>159611</v>
      </c>
      <c r="J56" s="4">
        <v>957425</v>
      </c>
      <c r="K56" s="4">
        <f t="shared" si="16"/>
        <v>1117036</v>
      </c>
      <c r="L56" s="4">
        <f t="shared" si="2"/>
        <v>1715759</v>
      </c>
      <c r="M56" s="4">
        <f t="shared" si="14"/>
        <v>1384241</v>
      </c>
      <c r="N56" s="4"/>
      <c r="O56" s="4">
        <f t="shared" si="4"/>
        <v>0</v>
      </c>
      <c r="P56" s="4">
        <f t="shared" si="5"/>
        <v>1384241</v>
      </c>
      <c r="Q56" s="4"/>
      <c r="R56" s="4"/>
      <c r="S56" s="4">
        <f t="shared" si="6"/>
        <v>0</v>
      </c>
      <c r="T56" s="4">
        <f t="shared" si="7"/>
        <v>0</v>
      </c>
      <c r="U56" s="4">
        <f t="shared" si="8"/>
        <v>0</v>
      </c>
      <c r="V56" s="4"/>
      <c r="W56" s="4">
        <f t="shared" si="15"/>
        <v>0</v>
      </c>
      <c r="X56" s="4"/>
      <c r="Y56" s="4"/>
      <c r="Z56" s="4"/>
      <c r="AA56" s="3"/>
      <c r="AB56" s="3" t="s">
        <v>2001</v>
      </c>
      <c r="AC56" s="3">
        <v>810000</v>
      </c>
      <c r="AD56" s="4"/>
      <c r="AE56" s="4"/>
      <c r="AF56" s="4"/>
      <c r="AG56" s="4"/>
      <c r="AH56" s="4"/>
      <c r="AI56" s="4"/>
      <c r="AJ56" s="4"/>
      <c r="AK56" s="4"/>
      <c r="AL56" s="4"/>
      <c r="AM56" s="4">
        <f t="shared" si="10"/>
        <v>0</v>
      </c>
      <c r="AN56" s="4">
        <f t="shared" si="11"/>
        <v>0</v>
      </c>
      <c r="AO56" s="3"/>
      <c r="AP56" s="4">
        <f t="shared" si="12"/>
        <v>0</v>
      </c>
      <c r="AQ56" s="3"/>
      <c r="AR56" s="3"/>
      <c r="AS56" s="3"/>
      <c r="AT56" s="3"/>
    </row>
    <row r="57" spans="1:46" s="5" customFormat="1" ht="45">
      <c r="A57" s="386">
        <f t="shared" si="13"/>
        <v>52</v>
      </c>
      <c r="B57" s="3">
        <v>2183</v>
      </c>
      <c r="C57" s="3" t="s">
        <v>2277</v>
      </c>
      <c r="D57" s="4">
        <v>800000</v>
      </c>
      <c r="E57" s="4">
        <v>800000</v>
      </c>
      <c r="F57" s="4">
        <f t="shared" si="0"/>
        <v>0</v>
      </c>
      <c r="G57" s="4">
        <v>800000</v>
      </c>
      <c r="H57" s="4">
        <v>0</v>
      </c>
      <c r="I57" s="4">
        <v>0</v>
      </c>
      <c r="J57" s="4">
        <v>15701</v>
      </c>
      <c r="K57" s="4">
        <f t="shared" si="16"/>
        <v>15701</v>
      </c>
      <c r="L57" s="4">
        <f t="shared" si="2"/>
        <v>15701</v>
      </c>
      <c r="M57" s="4">
        <f>P57+S57-780000</f>
        <v>4299</v>
      </c>
      <c r="N57" s="4"/>
      <c r="O57" s="4">
        <f t="shared" si="4"/>
        <v>780000</v>
      </c>
      <c r="P57" s="4">
        <f t="shared" si="5"/>
        <v>784299</v>
      </c>
      <c r="Q57" s="4"/>
      <c r="R57" s="4"/>
      <c r="S57" s="4">
        <f t="shared" si="6"/>
        <v>0</v>
      </c>
      <c r="T57" s="4">
        <f t="shared" si="7"/>
        <v>780000</v>
      </c>
      <c r="U57" s="4">
        <f t="shared" si="8"/>
        <v>-780000</v>
      </c>
      <c r="V57" s="4"/>
      <c r="W57" s="4">
        <f t="shared" si="15"/>
        <v>-780000</v>
      </c>
      <c r="X57" s="4"/>
      <c r="Y57" s="4"/>
      <c r="Z57" s="4"/>
      <c r="AA57" s="3"/>
      <c r="AB57" s="3" t="s">
        <v>2002</v>
      </c>
      <c r="AC57" s="3">
        <v>725000</v>
      </c>
      <c r="AD57" s="4"/>
      <c r="AE57" s="4">
        <v>-780000</v>
      </c>
      <c r="AF57" s="4"/>
      <c r="AG57" s="4"/>
      <c r="AH57" s="4"/>
      <c r="AI57" s="4"/>
      <c r="AJ57" s="4"/>
      <c r="AK57" s="4"/>
      <c r="AL57" s="4"/>
      <c r="AM57" s="4">
        <f t="shared" si="10"/>
        <v>-780000</v>
      </c>
      <c r="AN57" s="4">
        <f t="shared" si="11"/>
        <v>0</v>
      </c>
      <c r="AO57" s="3"/>
      <c r="AP57" s="4">
        <f t="shared" si="12"/>
        <v>-780000</v>
      </c>
      <c r="AQ57" s="3"/>
      <c r="AR57" s="3"/>
      <c r="AS57" s="3"/>
      <c r="AT57" s="3"/>
    </row>
    <row r="58" spans="1:46" s="5" customFormat="1" ht="30" customHeight="1">
      <c r="A58" s="386">
        <f t="shared" si="13"/>
        <v>53</v>
      </c>
      <c r="B58" s="3">
        <v>2184</v>
      </c>
      <c r="C58" s="3" t="s">
        <v>636</v>
      </c>
      <c r="D58" s="4">
        <v>2180000</v>
      </c>
      <c r="E58" s="4">
        <v>2180000</v>
      </c>
      <c r="F58" s="4">
        <f t="shared" si="0"/>
        <v>0</v>
      </c>
      <c r="G58" s="4">
        <v>560000</v>
      </c>
      <c r="H58" s="4">
        <v>0</v>
      </c>
      <c r="I58" s="4">
        <v>0</v>
      </c>
      <c r="J58" s="4">
        <v>25887</v>
      </c>
      <c r="K58" s="4">
        <f t="shared" si="16"/>
        <v>25887</v>
      </c>
      <c r="L58" s="4">
        <f t="shared" si="2"/>
        <v>25887</v>
      </c>
      <c r="M58" s="4">
        <f t="shared" ref="M58:M65" si="17">P58+S58</f>
        <v>534113</v>
      </c>
      <c r="N58" s="4">
        <f>1620000-1620000</f>
        <v>0</v>
      </c>
      <c r="O58" s="4">
        <f t="shared" si="4"/>
        <v>1620000</v>
      </c>
      <c r="P58" s="4">
        <f t="shared" si="5"/>
        <v>534113</v>
      </c>
      <c r="Q58" s="4"/>
      <c r="R58" s="4"/>
      <c r="S58" s="4">
        <f t="shared" si="6"/>
        <v>0</v>
      </c>
      <c r="T58" s="4">
        <f t="shared" si="7"/>
        <v>0</v>
      </c>
      <c r="U58" s="4">
        <f t="shared" si="8"/>
        <v>0</v>
      </c>
      <c r="V58" s="4"/>
      <c r="W58" s="4">
        <f t="shared" si="15"/>
        <v>0</v>
      </c>
      <c r="X58" s="4"/>
      <c r="Y58" s="4"/>
      <c r="Z58" s="4"/>
      <c r="AA58" s="3"/>
      <c r="AB58" s="3" t="s">
        <v>778</v>
      </c>
      <c r="AC58" s="3">
        <v>930000</v>
      </c>
      <c r="AD58" s="4"/>
      <c r="AE58" s="4"/>
      <c r="AF58" s="4"/>
      <c r="AG58" s="4"/>
      <c r="AH58" s="4"/>
      <c r="AI58" s="4"/>
      <c r="AJ58" s="4"/>
      <c r="AK58" s="4"/>
      <c r="AL58" s="4"/>
      <c r="AM58" s="4">
        <f t="shared" si="10"/>
        <v>0</v>
      </c>
      <c r="AN58" s="4">
        <f t="shared" si="11"/>
        <v>0</v>
      </c>
      <c r="AO58" s="3"/>
      <c r="AP58" s="4">
        <f t="shared" si="12"/>
        <v>0</v>
      </c>
      <c r="AQ58" s="3"/>
      <c r="AR58" s="3"/>
      <c r="AS58" s="3"/>
      <c r="AT58" s="3"/>
    </row>
    <row r="59" spans="1:46" s="5" customFormat="1" ht="30" customHeight="1">
      <c r="A59" s="386">
        <f t="shared" si="13"/>
        <v>54</v>
      </c>
      <c r="B59" s="3">
        <v>2187</v>
      </c>
      <c r="C59" s="3" t="s">
        <v>660</v>
      </c>
      <c r="D59" s="4">
        <v>8600000</v>
      </c>
      <c r="E59" s="4">
        <v>800000</v>
      </c>
      <c r="F59" s="4">
        <f t="shared" si="0"/>
        <v>7800000</v>
      </c>
      <c r="G59" s="4">
        <v>800000</v>
      </c>
      <c r="H59" s="4">
        <v>0</v>
      </c>
      <c r="I59" s="4">
        <v>0</v>
      </c>
      <c r="J59" s="4">
        <v>0</v>
      </c>
      <c r="K59" s="4">
        <f t="shared" si="16"/>
        <v>0</v>
      </c>
      <c r="L59" s="4">
        <f t="shared" si="2"/>
        <v>0</v>
      </c>
      <c r="M59" s="4">
        <f t="shared" si="17"/>
        <v>800000</v>
      </c>
      <c r="N59" s="4">
        <v>7800000</v>
      </c>
      <c r="O59" s="4">
        <f t="shared" si="4"/>
        <v>0</v>
      </c>
      <c r="P59" s="4">
        <f t="shared" si="5"/>
        <v>800000</v>
      </c>
      <c r="Q59" s="4"/>
      <c r="R59" s="4"/>
      <c r="S59" s="4">
        <f t="shared" si="6"/>
        <v>0</v>
      </c>
      <c r="T59" s="4">
        <f t="shared" si="7"/>
        <v>0</v>
      </c>
      <c r="U59" s="4">
        <f t="shared" si="8"/>
        <v>7800000</v>
      </c>
      <c r="V59" s="4">
        <f>5800000-700000-600000</f>
        <v>4500000</v>
      </c>
      <c r="W59" s="4">
        <f t="shared" si="15"/>
        <v>3300000</v>
      </c>
      <c r="X59" s="4"/>
      <c r="Y59" s="4"/>
      <c r="Z59" s="4"/>
      <c r="AA59" s="3"/>
      <c r="AB59" s="3" t="s">
        <v>661</v>
      </c>
      <c r="AC59" s="3">
        <v>810000</v>
      </c>
      <c r="AD59" s="16"/>
      <c r="AE59" s="4">
        <v>7800000</v>
      </c>
      <c r="AF59" s="4"/>
      <c r="AG59" s="4"/>
      <c r="AH59" s="4"/>
      <c r="AI59" s="4"/>
      <c r="AJ59" s="4"/>
      <c r="AK59" s="4"/>
      <c r="AL59" s="4"/>
      <c r="AM59" s="4">
        <f t="shared" si="10"/>
        <v>7800000</v>
      </c>
      <c r="AN59" s="4">
        <f t="shared" si="11"/>
        <v>0</v>
      </c>
      <c r="AO59" s="190">
        <v>4500000</v>
      </c>
      <c r="AP59" s="4">
        <f t="shared" si="12"/>
        <v>3300000</v>
      </c>
      <c r="AQ59" s="3"/>
      <c r="AR59" s="3"/>
      <c r="AS59" s="3"/>
      <c r="AT59" s="3"/>
    </row>
    <row r="60" spans="1:46" ht="30" customHeight="1">
      <c r="A60" s="386">
        <f t="shared" si="13"/>
        <v>55</v>
      </c>
      <c r="B60" s="253">
        <v>2211</v>
      </c>
      <c r="C60" s="330" t="s">
        <v>2003</v>
      </c>
      <c r="D60" s="4">
        <v>800000</v>
      </c>
      <c r="E60" s="19"/>
      <c r="F60" s="4">
        <f t="shared" si="0"/>
        <v>800000</v>
      </c>
      <c r="G60" s="19"/>
      <c r="H60" s="19"/>
      <c r="I60" s="19"/>
      <c r="J60" s="19"/>
      <c r="K60" s="4">
        <f t="shared" si="16"/>
        <v>0</v>
      </c>
      <c r="L60" s="4">
        <f t="shared" si="2"/>
        <v>0</v>
      </c>
      <c r="M60" s="4">
        <f t="shared" si="17"/>
        <v>0</v>
      </c>
      <c r="N60" s="4">
        <v>800000</v>
      </c>
      <c r="O60" s="4">
        <f t="shared" si="4"/>
        <v>0</v>
      </c>
      <c r="P60" s="4">
        <f t="shared" si="5"/>
        <v>0</v>
      </c>
      <c r="Q60" s="19"/>
      <c r="R60" s="19"/>
      <c r="S60" s="4">
        <f t="shared" si="6"/>
        <v>0</v>
      </c>
      <c r="T60" s="4">
        <f t="shared" si="7"/>
        <v>0</v>
      </c>
      <c r="U60" s="4">
        <f t="shared" si="8"/>
        <v>800000</v>
      </c>
      <c r="V60" s="4"/>
      <c r="W60" s="4">
        <f t="shared" si="15"/>
        <v>800000</v>
      </c>
      <c r="X60" s="35"/>
      <c r="Y60" s="35"/>
      <c r="Z60" s="35"/>
      <c r="AA60" s="35"/>
      <c r="AB60" s="330" t="s">
        <v>884</v>
      </c>
      <c r="AC60" s="3">
        <v>810000</v>
      </c>
      <c r="AD60" s="16"/>
      <c r="AE60" s="4"/>
      <c r="AF60" s="4">
        <v>800000</v>
      </c>
      <c r="AG60" s="4"/>
      <c r="AH60" s="4"/>
      <c r="AI60" s="4"/>
      <c r="AJ60" s="4"/>
      <c r="AK60" s="4"/>
      <c r="AL60" s="4"/>
      <c r="AM60" s="4">
        <f t="shared" si="10"/>
        <v>800000</v>
      </c>
      <c r="AN60" s="4">
        <f t="shared" si="11"/>
        <v>0</v>
      </c>
      <c r="AO60" s="3"/>
      <c r="AP60" s="4">
        <f t="shared" si="12"/>
        <v>800000</v>
      </c>
      <c r="AQ60" s="35"/>
      <c r="AR60" s="35"/>
      <c r="AS60" s="35"/>
      <c r="AT60" s="35"/>
    </row>
    <row r="61" spans="1:46" s="5" customFormat="1" ht="30" customHeight="1">
      <c r="A61" s="386">
        <f t="shared" si="13"/>
        <v>56</v>
      </c>
      <c r="B61" s="253">
        <v>2212</v>
      </c>
      <c r="C61" s="3" t="s">
        <v>664</v>
      </c>
      <c r="D61" s="4">
        <v>8000000</v>
      </c>
      <c r="E61" s="4"/>
      <c r="F61" s="4">
        <f t="shared" si="0"/>
        <v>8000000</v>
      </c>
      <c r="G61" s="19"/>
      <c r="H61" s="19"/>
      <c r="I61" s="19"/>
      <c r="J61" s="19"/>
      <c r="K61" s="4">
        <f>SUM(I61:J61)</f>
        <v>0</v>
      </c>
      <c r="L61" s="4">
        <f>K61+H61</f>
        <v>0</v>
      </c>
      <c r="M61" s="4">
        <f t="shared" si="17"/>
        <v>0</v>
      </c>
      <c r="N61" s="4">
        <f>8000000-4000000-2000000</f>
        <v>2000000</v>
      </c>
      <c r="O61" s="4">
        <f>D61-L61-M61-N61</f>
        <v>6000000</v>
      </c>
      <c r="P61" s="4">
        <f>G61-L61</f>
        <v>0</v>
      </c>
      <c r="Q61" s="19"/>
      <c r="R61" s="19"/>
      <c r="S61" s="4">
        <f>SUM(Q61:R61)</f>
        <v>0</v>
      </c>
      <c r="T61" s="4">
        <f>P61-M61+S61</f>
        <v>0</v>
      </c>
      <c r="U61" s="4">
        <f t="shared" si="8"/>
        <v>2000000</v>
      </c>
      <c r="V61" s="4"/>
      <c r="W61" s="4">
        <f>U61-V61-AA61</f>
        <v>2000000</v>
      </c>
      <c r="X61" s="4"/>
      <c r="Y61" s="4"/>
      <c r="Z61" s="4"/>
      <c r="AA61" s="4"/>
      <c r="AB61" s="3" t="s">
        <v>2004</v>
      </c>
      <c r="AC61" s="3">
        <v>810000</v>
      </c>
      <c r="AD61" s="16"/>
      <c r="AE61" s="4">
        <v>500000</v>
      </c>
      <c r="AF61" s="4">
        <v>1500000</v>
      </c>
      <c r="AG61" s="4"/>
      <c r="AH61" s="4"/>
      <c r="AI61" s="4"/>
      <c r="AJ61" s="4"/>
      <c r="AK61" s="4"/>
      <c r="AL61" s="4"/>
      <c r="AM61" s="4">
        <f t="shared" si="10"/>
        <v>2000000</v>
      </c>
      <c r="AN61" s="4">
        <f t="shared" si="11"/>
        <v>0</v>
      </c>
      <c r="AO61" s="3"/>
      <c r="AP61" s="4">
        <f t="shared" si="12"/>
        <v>2000000</v>
      </c>
      <c r="AQ61" s="3"/>
      <c r="AR61" s="3"/>
      <c r="AS61" s="3"/>
      <c r="AT61" s="3"/>
    </row>
    <row r="62" spans="1:46" s="5" customFormat="1" ht="30" customHeight="1">
      <c r="A62" s="386">
        <f t="shared" si="13"/>
        <v>57</v>
      </c>
      <c r="B62" s="253">
        <v>2213</v>
      </c>
      <c r="C62" s="3" t="s">
        <v>665</v>
      </c>
      <c r="D62" s="4">
        <v>7100000</v>
      </c>
      <c r="E62" s="4"/>
      <c r="F62" s="4">
        <f t="shared" si="0"/>
        <v>7100000</v>
      </c>
      <c r="G62" s="19"/>
      <c r="H62" s="19"/>
      <c r="I62" s="19"/>
      <c r="J62" s="19"/>
      <c r="K62" s="4">
        <f>SUM(I62:J62)</f>
        <v>0</v>
      </c>
      <c r="L62" s="4">
        <f>K62+H62</f>
        <v>0</v>
      </c>
      <c r="M62" s="4">
        <f t="shared" si="17"/>
        <v>0</v>
      </c>
      <c r="N62" s="4">
        <v>7100000</v>
      </c>
      <c r="O62" s="4">
        <f>D62-L62-M62-N62</f>
        <v>0</v>
      </c>
      <c r="P62" s="4">
        <f>G62-L62</f>
        <v>0</v>
      </c>
      <c r="Q62" s="19"/>
      <c r="R62" s="19"/>
      <c r="S62" s="4">
        <f>SUM(Q62:R62)</f>
        <v>0</v>
      </c>
      <c r="T62" s="4">
        <f>P62-M62+S62</f>
        <v>0</v>
      </c>
      <c r="U62" s="4">
        <f t="shared" si="8"/>
        <v>7100000</v>
      </c>
      <c r="V62" s="4"/>
      <c r="W62" s="4">
        <f>U62-V62-AA62-Z62</f>
        <v>0</v>
      </c>
      <c r="X62" s="4"/>
      <c r="Y62" s="4"/>
      <c r="Z62" s="4">
        <v>7100000</v>
      </c>
      <c r="AA62" s="4"/>
      <c r="AB62" s="3" t="s">
        <v>756</v>
      </c>
      <c r="AC62" s="3">
        <v>870000</v>
      </c>
      <c r="AD62" s="16"/>
      <c r="AE62" s="4"/>
      <c r="AF62" s="4"/>
      <c r="AG62" s="4"/>
      <c r="AH62" s="4"/>
      <c r="AI62" s="4"/>
      <c r="AJ62" s="4"/>
      <c r="AK62" s="4"/>
      <c r="AL62" s="4"/>
      <c r="AM62" s="4">
        <f t="shared" si="10"/>
        <v>0</v>
      </c>
      <c r="AN62" s="4">
        <f t="shared" si="11"/>
        <v>7100000</v>
      </c>
      <c r="AO62" s="3"/>
      <c r="AP62" s="4">
        <f t="shared" si="12"/>
        <v>0</v>
      </c>
      <c r="AQ62" s="3"/>
      <c r="AR62" s="3"/>
      <c r="AS62" s="4">
        <f>AL62</f>
        <v>0</v>
      </c>
      <c r="AT62" s="3"/>
    </row>
    <row r="63" spans="1:46" s="5" customFormat="1" ht="30" customHeight="1">
      <c r="A63" s="386">
        <f t="shared" si="13"/>
        <v>58</v>
      </c>
      <c r="B63" s="253">
        <v>2214</v>
      </c>
      <c r="C63" s="3" t="s">
        <v>666</v>
      </c>
      <c r="D63" s="4">
        <v>200000</v>
      </c>
      <c r="E63" s="4"/>
      <c r="F63" s="4">
        <f t="shared" si="0"/>
        <v>200000</v>
      </c>
      <c r="G63" s="19"/>
      <c r="H63" s="19"/>
      <c r="I63" s="19"/>
      <c r="J63" s="19"/>
      <c r="K63" s="4">
        <f>SUM(I63:J63)</f>
        <v>0</v>
      </c>
      <c r="L63" s="4">
        <f>K63+H63</f>
        <v>0</v>
      </c>
      <c r="M63" s="4">
        <f t="shared" si="17"/>
        <v>0</v>
      </c>
      <c r="N63" s="4">
        <v>200000</v>
      </c>
      <c r="O63" s="4">
        <f>D63-L63-M63-N63</f>
        <v>0</v>
      </c>
      <c r="P63" s="4">
        <f>G63-L63</f>
        <v>0</v>
      </c>
      <c r="Q63" s="19"/>
      <c r="R63" s="19"/>
      <c r="S63" s="4">
        <f>SUM(Q63:R63)</f>
        <v>0</v>
      </c>
      <c r="T63" s="4">
        <f>P63-M63+S63</f>
        <v>0</v>
      </c>
      <c r="U63" s="4">
        <f t="shared" si="8"/>
        <v>200000</v>
      </c>
      <c r="V63" s="4"/>
      <c r="W63" s="4">
        <f>U63-V63-AA63</f>
        <v>200000</v>
      </c>
      <c r="X63" s="4"/>
      <c r="Y63" s="4"/>
      <c r="Z63" s="4"/>
      <c r="AA63" s="4"/>
      <c r="AB63" s="3" t="s">
        <v>667</v>
      </c>
      <c r="AC63" s="3">
        <v>930000</v>
      </c>
      <c r="AD63" s="4">
        <v>200000</v>
      </c>
      <c r="AE63" s="4"/>
      <c r="AF63" s="4"/>
      <c r="AG63" s="4"/>
      <c r="AH63" s="4"/>
      <c r="AI63" s="4"/>
      <c r="AJ63" s="4"/>
      <c r="AK63" s="4"/>
      <c r="AL63" s="4"/>
      <c r="AM63" s="4">
        <f t="shared" si="10"/>
        <v>200000</v>
      </c>
      <c r="AN63" s="4">
        <f t="shared" si="11"/>
        <v>0</v>
      </c>
      <c r="AO63" s="4"/>
      <c r="AP63" s="4">
        <f t="shared" si="12"/>
        <v>200000</v>
      </c>
      <c r="AQ63" s="3"/>
      <c r="AR63" s="3"/>
      <c r="AS63" s="3"/>
      <c r="AT63" s="3"/>
    </row>
    <row r="64" spans="1:46" s="5" customFormat="1" ht="30" customHeight="1">
      <c r="A64" s="386">
        <f t="shared" si="13"/>
        <v>59</v>
      </c>
      <c r="B64" s="253">
        <v>2215</v>
      </c>
      <c r="C64" s="3" t="s">
        <v>668</v>
      </c>
      <c r="D64" s="4">
        <v>420000</v>
      </c>
      <c r="E64" s="4"/>
      <c r="F64" s="4">
        <f t="shared" si="0"/>
        <v>420000</v>
      </c>
      <c r="G64" s="19"/>
      <c r="H64" s="19"/>
      <c r="I64" s="19"/>
      <c r="J64" s="19"/>
      <c r="K64" s="4">
        <f>SUM(I64:J64)</f>
        <v>0</v>
      </c>
      <c r="L64" s="4">
        <f>K64+H64</f>
        <v>0</v>
      </c>
      <c r="M64" s="4">
        <f t="shared" si="17"/>
        <v>0</v>
      </c>
      <c r="N64" s="4">
        <v>420000</v>
      </c>
      <c r="O64" s="4">
        <f>D64-L64-M64-N64</f>
        <v>0</v>
      </c>
      <c r="P64" s="4">
        <f>G64-L64</f>
        <v>0</v>
      </c>
      <c r="Q64" s="19"/>
      <c r="R64" s="19"/>
      <c r="S64" s="4">
        <f>SUM(Q64:R64)</f>
        <v>0</v>
      </c>
      <c r="T64" s="4">
        <f>P64-M64+S64</f>
        <v>0</v>
      </c>
      <c r="U64" s="4">
        <f t="shared" si="8"/>
        <v>420000</v>
      </c>
      <c r="V64" s="4"/>
      <c r="W64" s="4">
        <f>U64-V64-AA64</f>
        <v>0</v>
      </c>
      <c r="X64" s="4"/>
      <c r="Y64" s="4"/>
      <c r="Z64" s="4"/>
      <c r="AA64" s="4">
        <v>420000</v>
      </c>
      <c r="AB64" s="3" t="s">
        <v>669</v>
      </c>
      <c r="AC64" s="3">
        <v>810000</v>
      </c>
      <c r="AD64" s="4">
        <v>420000</v>
      </c>
      <c r="AE64" s="4"/>
      <c r="AF64" s="4"/>
      <c r="AG64" s="4"/>
      <c r="AH64" s="4"/>
      <c r="AI64" s="4"/>
      <c r="AJ64" s="4"/>
      <c r="AK64" s="4"/>
      <c r="AL64" s="4"/>
      <c r="AM64" s="4">
        <f t="shared" si="10"/>
        <v>420000</v>
      </c>
      <c r="AN64" s="4">
        <f t="shared" si="11"/>
        <v>0</v>
      </c>
      <c r="AO64" s="4"/>
      <c r="AP64" s="4">
        <f t="shared" si="12"/>
        <v>0</v>
      </c>
      <c r="AQ64" s="3"/>
      <c r="AR64" s="3"/>
      <c r="AS64" s="3"/>
      <c r="AT64" s="4">
        <v>420000</v>
      </c>
    </row>
    <row r="65" spans="1:46" s="5" customFormat="1" ht="30" customHeight="1">
      <c r="A65" s="386">
        <f t="shared" si="13"/>
        <v>60</v>
      </c>
      <c r="B65" s="30">
        <v>2216</v>
      </c>
      <c r="C65" s="3" t="s">
        <v>674</v>
      </c>
      <c r="D65" s="4">
        <v>2600000</v>
      </c>
      <c r="E65" s="4"/>
      <c r="F65" s="4">
        <f t="shared" si="0"/>
        <v>2600000</v>
      </c>
      <c r="G65" s="4">
        <v>0</v>
      </c>
      <c r="H65" s="4">
        <v>0</v>
      </c>
      <c r="I65" s="4">
        <v>0</v>
      </c>
      <c r="J65" s="4">
        <v>0</v>
      </c>
      <c r="K65" s="4">
        <f>SUM(I65:J65)</f>
        <v>0</v>
      </c>
      <c r="L65" s="4">
        <f>H65+K65</f>
        <v>0</v>
      </c>
      <c r="M65" s="4">
        <f t="shared" si="17"/>
        <v>0</v>
      </c>
      <c r="N65" s="4">
        <f>1000000-300000</f>
        <v>700000</v>
      </c>
      <c r="O65" s="4">
        <f>D65-L65-M65-N65</f>
        <v>1900000</v>
      </c>
      <c r="P65" s="4">
        <f>G65-L65</f>
        <v>0</v>
      </c>
      <c r="Q65" s="4"/>
      <c r="R65" s="4"/>
      <c r="S65" s="4">
        <f>SUM(Q65:R65)</f>
        <v>0</v>
      </c>
      <c r="T65" s="4">
        <f>P65-M65+S65</f>
        <v>0</v>
      </c>
      <c r="U65" s="4">
        <f t="shared" si="8"/>
        <v>700000</v>
      </c>
      <c r="V65" s="4">
        <f>U65-AA65-W65-Z65</f>
        <v>0</v>
      </c>
      <c r="W65" s="4">
        <v>700000</v>
      </c>
      <c r="X65" s="4"/>
      <c r="Y65" s="4"/>
      <c r="Z65" s="4"/>
      <c r="AA65" s="4"/>
      <c r="AB65" s="3" t="s">
        <v>675</v>
      </c>
      <c r="AC65" s="3">
        <v>810000</v>
      </c>
      <c r="AD65" s="4"/>
      <c r="AE65" s="4"/>
      <c r="AF65" s="4">
        <v>300000</v>
      </c>
      <c r="AG65" s="4"/>
      <c r="AH65" s="4"/>
      <c r="AI65" s="4"/>
      <c r="AJ65" s="4"/>
      <c r="AK65" s="4"/>
      <c r="AL65" s="4"/>
      <c r="AM65" s="4">
        <f t="shared" si="10"/>
        <v>300000</v>
      </c>
      <c r="AN65" s="4">
        <f t="shared" si="11"/>
        <v>400000</v>
      </c>
      <c r="AO65" s="4"/>
      <c r="AP65" s="4">
        <f t="shared" si="12"/>
        <v>300000</v>
      </c>
      <c r="AQ65" s="3"/>
      <c r="AR65" s="3"/>
      <c r="AS65" s="3"/>
      <c r="AT65" s="3"/>
    </row>
    <row r="66" spans="1:46" s="370" customFormat="1" ht="30" customHeight="1">
      <c r="A66" s="388">
        <f>A65</f>
        <v>60</v>
      </c>
      <c r="B66" s="302"/>
      <c r="C66" s="32" t="s">
        <v>639</v>
      </c>
      <c r="D66" s="369">
        <f>SUM(D6:D65)</f>
        <v>449596201</v>
      </c>
      <c r="E66" s="369">
        <f t="shared" ref="E66:AT66" si="18">SUM(E6:E65)</f>
        <v>410399105</v>
      </c>
      <c r="F66" s="369">
        <f t="shared" si="18"/>
        <v>39197096</v>
      </c>
      <c r="G66" s="369">
        <f t="shared" si="18"/>
        <v>271815901</v>
      </c>
      <c r="H66" s="369">
        <f t="shared" si="18"/>
        <v>208629485</v>
      </c>
      <c r="I66" s="369">
        <f t="shared" si="18"/>
        <v>12784862</v>
      </c>
      <c r="J66" s="369">
        <f t="shared" si="18"/>
        <v>33564893</v>
      </c>
      <c r="K66" s="369">
        <f t="shared" si="18"/>
        <v>46349755</v>
      </c>
      <c r="L66" s="369">
        <f t="shared" si="18"/>
        <v>254979240</v>
      </c>
      <c r="M66" s="369">
        <f t="shared" si="18"/>
        <v>15956661</v>
      </c>
      <c r="N66" s="369">
        <f t="shared" si="18"/>
        <v>68461300</v>
      </c>
      <c r="O66" s="369">
        <f t="shared" si="18"/>
        <v>110199000</v>
      </c>
      <c r="P66" s="369">
        <f t="shared" si="18"/>
        <v>16836661</v>
      </c>
      <c r="Q66" s="369">
        <f t="shared" si="18"/>
        <v>0</v>
      </c>
      <c r="R66" s="369">
        <f t="shared" si="18"/>
        <v>0</v>
      </c>
      <c r="S66" s="369">
        <f t="shared" si="18"/>
        <v>0</v>
      </c>
      <c r="T66" s="369">
        <f t="shared" si="18"/>
        <v>880000</v>
      </c>
      <c r="U66" s="369">
        <f t="shared" si="18"/>
        <v>67581300</v>
      </c>
      <c r="V66" s="369">
        <f t="shared" si="18"/>
        <v>22191300</v>
      </c>
      <c r="W66" s="369">
        <f t="shared" si="18"/>
        <v>24724113</v>
      </c>
      <c r="X66" s="369">
        <f t="shared" si="18"/>
        <v>0</v>
      </c>
      <c r="Y66" s="369">
        <f t="shared" si="18"/>
        <v>0</v>
      </c>
      <c r="Z66" s="369">
        <f t="shared" si="18"/>
        <v>7100000</v>
      </c>
      <c r="AA66" s="369">
        <f t="shared" si="18"/>
        <v>13565887</v>
      </c>
      <c r="AB66" s="369">
        <f t="shared" si="18"/>
        <v>0</v>
      </c>
      <c r="AC66" s="369">
        <f t="shared" si="18"/>
        <v>49041500</v>
      </c>
      <c r="AD66" s="369">
        <f t="shared" si="18"/>
        <v>520000</v>
      </c>
      <c r="AE66" s="369">
        <f>SUM(AE6:AE65)</f>
        <v>16420000</v>
      </c>
      <c r="AF66" s="369">
        <f>SUM(AF6:AF65)</f>
        <v>11267500</v>
      </c>
      <c r="AG66" s="369">
        <f t="shared" si="18"/>
        <v>3100000</v>
      </c>
      <c r="AH66" s="369">
        <f>SUM(AH6:AH65)</f>
        <v>4160000</v>
      </c>
      <c r="AI66" s="369">
        <f>SUM(AI6:AI65)</f>
        <v>3092500</v>
      </c>
      <c r="AJ66" s="369">
        <f>SUM(AJ6:AJ65)</f>
        <v>3850000</v>
      </c>
      <c r="AK66" s="369">
        <f>SUM(AK6:AK65)</f>
        <v>3550000</v>
      </c>
      <c r="AL66" s="369">
        <f>SUM(AL6:AL65)</f>
        <v>2020000</v>
      </c>
      <c r="AM66" s="369">
        <f t="shared" si="18"/>
        <v>47980000</v>
      </c>
      <c r="AN66" s="369">
        <f t="shared" si="18"/>
        <v>19601300</v>
      </c>
      <c r="AO66" s="369">
        <f t="shared" si="18"/>
        <v>21650000</v>
      </c>
      <c r="AP66" s="369">
        <f t="shared" si="18"/>
        <v>24491728</v>
      </c>
      <c r="AQ66" s="369">
        <f t="shared" si="18"/>
        <v>0</v>
      </c>
      <c r="AR66" s="369">
        <f t="shared" si="18"/>
        <v>0</v>
      </c>
      <c r="AS66" s="369">
        <f t="shared" si="18"/>
        <v>0</v>
      </c>
      <c r="AT66" s="369">
        <f t="shared" si="18"/>
        <v>1838272</v>
      </c>
    </row>
    <row r="67" spans="1:46">
      <c r="A67" s="12"/>
      <c r="D67" s="12"/>
      <c r="E67" s="12"/>
      <c r="F67" s="12"/>
      <c r="G67" s="12"/>
      <c r="H67" s="12"/>
      <c r="I67" s="12"/>
      <c r="J67" s="12"/>
      <c r="K67" s="12"/>
      <c r="L67" s="14">
        <f>K66+H66</f>
        <v>254979240</v>
      </c>
      <c r="M67" s="14">
        <f>P66+S66-T66</f>
        <v>15956661</v>
      </c>
      <c r="N67" s="21"/>
      <c r="O67" s="21"/>
      <c r="P67" s="21"/>
      <c r="Q67" s="21"/>
      <c r="R67" s="21"/>
      <c r="S67" s="21"/>
      <c r="T67" s="21"/>
      <c r="U67" s="17"/>
    </row>
    <row r="68" spans="1:46">
      <c r="A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21"/>
      <c r="O68" s="21"/>
      <c r="P68" s="21"/>
      <c r="Q68" s="21"/>
      <c r="R68" s="21"/>
      <c r="S68" s="21"/>
      <c r="T68" s="21"/>
      <c r="U68" s="17"/>
    </row>
    <row r="69" spans="1:46">
      <c r="A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21"/>
      <c r="O69" s="21"/>
      <c r="P69" s="21"/>
      <c r="Q69" s="21"/>
      <c r="R69" s="21"/>
      <c r="S69" s="21"/>
      <c r="T69" s="21"/>
      <c r="U69" s="17"/>
    </row>
    <row r="71" spans="1:46">
      <c r="A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S71" s="33"/>
    </row>
    <row r="72" spans="1:46">
      <c r="A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S72" s="33"/>
    </row>
    <row r="73" spans="1:46">
      <c r="A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S73" s="33"/>
    </row>
    <row r="74" spans="1:46">
      <c r="A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S74" s="33"/>
      <c r="AQ74" s="21"/>
    </row>
    <row r="75" spans="1:46">
      <c r="A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S75" s="33"/>
    </row>
    <row r="77" spans="1:46">
      <c r="A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S77" s="33"/>
    </row>
    <row r="78" spans="1:46">
      <c r="A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AQ78" s="21"/>
    </row>
    <row r="79" spans="1:46">
      <c r="A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T79" s="12"/>
      <c r="U79" s="14"/>
    </row>
    <row r="80" spans="1:46">
      <c r="A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4"/>
      <c r="AB80" s="12"/>
      <c r="AM80" s="12"/>
      <c r="AN80" s="12"/>
      <c r="AO80" s="12"/>
      <c r="AP80" s="12"/>
      <c r="AQ80" s="12"/>
    </row>
  </sheetData>
  <sheetProtection formatCells="0" formatColumns="0" formatRows="0" insertColumns="0" insertRows="0" insertHyperlinks="0" deleteColumns="0" deleteRows="0" sort="0" autoFilter="0" pivotTables="0"/>
  <mergeCells count="4">
    <mergeCell ref="V4:AA4"/>
    <mergeCell ref="AD4:AM4"/>
    <mergeCell ref="AO4:AT4"/>
    <mergeCell ref="T4:U4"/>
  </mergeCells>
  <conditionalFormatting sqref="AB5">
    <cfRule type="cellIs" dxfId="60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AU9"/>
  <sheetViews>
    <sheetView showZeros="0" rightToLeft="1" zoomScaleNormal="100" workbookViewId="0">
      <pane xSplit="3" ySplit="5" topLeftCell="D6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9.28515625" defaultRowHeight="18.75"/>
  <cols>
    <col min="1" max="1" width="3.28515625" style="261" customWidth="1"/>
    <col min="2" max="2" width="4.7109375" style="154" customWidth="1"/>
    <col min="3" max="3" width="24.5703125" style="154" customWidth="1"/>
    <col min="4" max="18" width="9.7109375" style="155" hidden="1" customWidth="1"/>
    <col min="19" max="19" width="9.7109375" style="382" hidden="1" customWidth="1"/>
    <col min="20" max="20" width="9.7109375" style="155" hidden="1" customWidth="1"/>
    <col min="21" max="23" width="12.140625" style="154" customWidth="1"/>
    <col min="24" max="26" width="9.28515625" style="154" hidden="1" customWidth="1"/>
    <col min="27" max="27" width="12.140625" style="154" customWidth="1"/>
    <col min="28" max="28" width="40.85546875" style="261" hidden="1" customWidth="1"/>
    <col min="29" max="29" width="7.7109375" style="154" hidden="1" customWidth="1"/>
    <col min="30" max="38" width="11.7109375" style="258" hidden="1" customWidth="1"/>
    <col min="39" max="40" width="12.140625" style="154" customWidth="1"/>
    <col min="41" max="41" width="12.140625" style="269" customWidth="1"/>
    <col min="42" max="42" width="12.140625" style="154" customWidth="1"/>
    <col min="43" max="45" width="11.7109375" style="154" hidden="1" customWidth="1"/>
    <col min="46" max="46" width="12.140625" style="154" customWidth="1"/>
    <col min="47" max="16384" width="9.28515625" style="154"/>
  </cols>
  <sheetData>
    <row r="1" spans="1:47" s="259" customFormat="1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379"/>
      <c r="T1" s="257"/>
      <c r="U1" s="257"/>
      <c r="V1" s="257"/>
      <c r="W1" s="257"/>
      <c r="X1" s="257"/>
      <c r="Y1" s="257"/>
      <c r="Z1" s="257"/>
      <c r="AA1" s="257"/>
      <c r="AB1" s="258"/>
      <c r="AD1" s="258"/>
      <c r="AE1" s="258"/>
      <c r="AF1" s="258"/>
      <c r="AG1" s="258"/>
      <c r="AH1" s="258"/>
      <c r="AI1" s="258"/>
      <c r="AJ1" s="258"/>
      <c r="AK1" s="258"/>
      <c r="AL1" s="258"/>
      <c r="AO1" s="269"/>
    </row>
    <row r="2" spans="1:47">
      <c r="A2" s="257" t="s">
        <v>2281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379"/>
      <c r="T2" s="257"/>
      <c r="U2" s="257"/>
      <c r="V2" s="257"/>
      <c r="W2" s="257"/>
      <c r="X2" s="257"/>
      <c r="Y2" s="257"/>
      <c r="Z2" s="257"/>
      <c r="AA2" s="257"/>
    </row>
    <row r="3" spans="1:47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379"/>
      <c r="T3" s="257"/>
      <c r="U3" s="257"/>
      <c r="V3" s="257"/>
      <c r="W3" s="257"/>
      <c r="X3" s="257"/>
      <c r="Y3" s="257"/>
      <c r="Z3" s="257"/>
      <c r="AA3" s="257"/>
    </row>
    <row r="4" spans="1:47" ht="25.15" customHeight="1">
      <c r="A4" s="688"/>
      <c r="B4" s="171"/>
      <c r="C4" s="171"/>
      <c r="T4" s="876" t="s">
        <v>256</v>
      </c>
      <c r="U4" s="878"/>
      <c r="V4" s="880" t="s">
        <v>88</v>
      </c>
      <c r="W4" s="880"/>
      <c r="X4" s="880"/>
      <c r="Y4" s="880"/>
      <c r="Z4" s="880"/>
      <c r="AA4" s="880"/>
      <c r="AB4" s="576"/>
      <c r="AC4" s="18"/>
      <c r="AD4" s="876" t="s">
        <v>246</v>
      </c>
      <c r="AE4" s="877"/>
      <c r="AF4" s="877"/>
      <c r="AG4" s="877"/>
      <c r="AH4" s="877"/>
      <c r="AI4" s="877"/>
      <c r="AJ4" s="877"/>
      <c r="AK4" s="877"/>
      <c r="AL4" s="877"/>
      <c r="AM4" s="878"/>
      <c r="AN4" s="575"/>
      <c r="AO4" s="876" t="s">
        <v>2269</v>
      </c>
      <c r="AP4" s="877"/>
      <c r="AQ4" s="877"/>
      <c r="AR4" s="877"/>
      <c r="AS4" s="877"/>
      <c r="AT4" s="878"/>
      <c r="AU4" s="577"/>
    </row>
    <row r="5" spans="1:47" s="276" customFormat="1" ht="90">
      <c r="A5" s="175" t="s">
        <v>0</v>
      </c>
      <c r="B5" s="175" t="s">
        <v>1</v>
      </c>
      <c r="C5" s="175" t="s">
        <v>2</v>
      </c>
      <c r="D5" s="175" t="s">
        <v>3</v>
      </c>
      <c r="E5" s="175" t="s">
        <v>4</v>
      </c>
      <c r="F5" s="175" t="s">
        <v>5</v>
      </c>
      <c r="G5" s="175" t="s">
        <v>6</v>
      </c>
      <c r="H5" s="175" t="s">
        <v>7</v>
      </c>
      <c r="I5" s="175" t="s">
        <v>9</v>
      </c>
      <c r="J5" s="175" t="s">
        <v>153</v>
      </c>
      <c r="K5" s="175" t="s">
        <v>10</v>
      </c>
      <c r="L5" s="175" t="s">
        <v>11</v>
      </c>
      <c r="M5" s="9" t="s">
        <v>618</v>
      </c>
      <c r="N5" s="175" t="s">
        <v>619</v>
      </c>
      <c r="O5" s="175" t="s">
        <v>620</v>
      </c>
      <c r="P5" s="175" t="s">
        <v>12</v>
      </c>
      <c r="Q5" s="175" t="s">
        <v>621</v>
      </c>
      <c r="R5" s="175" t="s">
        <v>622</v>
      </c>
      <c r="S5" s="380" t="s">
        <v>623</v>
      </c>
      <c r="T5" s="175" t="s">
        <v>624</v>
      </c>
      <c r="U5" s="175" t="s">
        <v>625</v>
      </c>
      <c r="V5" s="175" t="s">
        <v>13</v>
      </c>
      <c r="W5" s="342" t="s">
        <v>14</v>
      </c>
      <c r="X5" s="175" t="s">
        <v>15</v>
      </c>
      <c r="Y5" s="175" t="s">
        <v>265</v>
      </c>
      <c r="Z5" s="175" t="s">
        <v>749</v>
      </c>
      <c r="AA5" s="175" t="s">
        <v>84</v>
      </c>
      <c r="AB5" s="16" t="s">
        <v>304</v>
      </c>
      <c r="AC5" s="175" t="s">
        <v>16</v>
      </c>
      <c r="AD5" s="9" t="s">
        <v>1911</v>
      </c>
      <c r="AE5" s="9" t="s">
        <v>1912</v>
      </c>
      <c r="AF5" s="9" t="s">
        <v>247</v>
      </c>
      <c r="AG5" s="9" t="s">
        <v>248</v>
      </c>
      <c r="AH5" s="9" t="s">
        <v>1913</v>
      </c>
      <c r="AI5" s="9" t="s">
        <v>1914</v>
      </c>
      <c r="AJ5" s="9" t="s">
        <v>1915</v>
      </c>
      <c r="AK5" s="9" t="s">
        <v>1916</v>
      </c>
      <c r="AL5" s="9" t="s">
        <v>1917</v>
      </c>
      <c r="AM5" s="20" t="s">
        <v>2037</v>
      </c>
      <c r="AN5" s="20" t="s">
        <v>852</v>
      </c>
      <c r="AO5" s="567" t="s">
        <v>13</v>
      </c>
      <c r="AP5" s="567" t="s">
        <v>14</v>
      </c>
      <c r="AQ5" s="567" t="s">
        <v>15</v>
      </c>
      <c r="AR5" s="567" t="s">
        <v>265</v>
      </c>
      <c r="AS5" s="567" t="s">
        <v>749</v>
      </c>
      <c r="AT5" s="567" t="s">
        <v>84</v>
      </c>
    </row>
    <row r="6" spans="1:47" s="164" customFormat="1" ht="36" customHeight="1">
      <c r="A6" s="160">
        <v>1</v>
      </c>
      <c r="B6" s="160">
        <v>1621</v>
      </c>
      <c r="C6" s="160" t="s">
        <v>53</v>
      </c>
      <c r="D6" s="161">
        <v>3300000</v>
      </c>
      <c r="E6" s="161">
        <v>3300000</v>
      </c>
      <c r="F6" s="161">
        <f>D6-E6</f>
        <v>0</v>
      </c>
      <c r="G6" s="161">
        <v>2800000</v>
      </c>
      <c r="H6" s="161">
        <v>1908729</v>
      </c>
      <c r="I6" s="161">
        <v>0</v>
      </c>
      <c r="J6" s="161">
        <v>128958</v>
      </c>
      <c r="K6" s="161">
        <f>SUM(I6:J6)</f>
        <v>128958</v>
      </c>
      <c r="L6" s="161">
        <f>H6+K6</f>
        <v>2037687</v>
      </c>
      <c r="M6" s="161">
        <f>P6+S6-700000</f>
        <v>62313</v>
      </c>
      <c r="N6" s="161">
        <f>500000+700000-500000</f>
        <v>700000</v>
      </c>
      <c r="O6" s="161">
        <f>D6-L6-M6-N6</f>
        <v>500000</v>
      </c>
      <c r="P6" s="161">
        <f>G6-L6</f>
        <v>762313</v>
      </c>
      <c r="Q6" s="161"/>
      <c r="R6" s="161"/>
      <c r="S6" s="381">
        <f>SUM(Q6:R6)</f>
        <v>0</v>
      </c>
      <c r="T6" s="161">
        <f>P6-M6+S6</f>
        <v>700000</v>
      </c>
      <c r="U6" s="161">
        <f>N6-T6</f>
        <v>0</v>
      </c>
      <c r="V6" s="161"/>
      <c r="W6" s="161">
        <f>U6-V6-AA6</f>
        <v>0</v>
      </c>
      <c r="X6" s="161"/>
      <c r="Y6" s="161"/>
      <c r="Z6" s="161"/>
      <c r="AA6" s="160"/>
      <c r="AB6" s="268" t="s">
        <v>484</v>
      </c>
      <c r="AC6" s="160">
        <v>723000</v>
      </c>
      <c r="AD6" s="284"/>
      <c r="AE6" s="284"/>
      <c r="AF6" s="284"/>
      <c r="AG6" s="284"/>
      <c r="AH6" s="284"/>
      <c r="AI6" s="284"/>
      <c r="AJ6" s="284"/>
      <c r="AK6" s="284"/>
      <c r="AL6" s="284"/>
      <c r="AM6" s="160">
        <f>SUM(AD6:AL6)</f>
        <v>0</v>
      </c>
      <c r="AN6" s="161"/>
      <c r="AO6" s="160"/>
      <c r="AP6" s="160"/>
      <c r="AQ6" s="160"/>
      <c r="AR6" s="160"/>
      <c r="AS6" s="160"/>
      <c r="AT6" s="160"/>
    </row>
    <row r="7" spans="1:47" s="164" customFormat="1" ht="75">
      <c r="A7" s="160">
        <v>2</v>
      </c>
      <c r="B7" s="272">
        <v>2094</v>
      </c>
      <c r="C7" s="160" t="s">
        <v>350</v>
      </c>
      <c r="D7" s="161">
        <v>1000000</v>
      </c>
      <c r="E7" s="161">
        <v>1000000</v>
      </c>
      <c r="F7" s="161">
        <f>D7-E7</f>
        <v>0</v>
      </c>
      <c r="G7" s="161">
        <v>300000</v>
      </c>
      <c r="H7" s="161">
        <v>0</v>
      </c>
      <c r="I7" s="161">
        <v>0</v>
      </c>
      <c r="J7" s="161">
        <v>15210</v>
      </c>
      <c r="K7" s="161">
        <f>SUM(I7:J7)</f>
        <v>15210</v>
      </c>
      <c r="L7" s="161">
        <f>H7+K7</f>
        <v>15210</v>
      </c>
      <c r="M7" s="161">
        <f>P7+S7</f>
        <v>284790</v>
      </c>
      <c r="N7" s="161">
        <f>700000-700000</f>
        <v>0</v>
      </c>
      <c r="O7" s="161">
        <f>D7-L7-M7-N7</f>
        <v>700000</v>
      </c>
      <c r="P7" s="161">
        <f>G7-L7</f>
        <v>284790</v>
      </c>
      <c r="Q7" s="161"/>
      <c r="R7" s="161"/>
      <c r="S7" s="381">
        <f>SUM(Q7:R7)</f>
        <v>0</v>
      </c>
      <c r="T7" s="161">
        <f>P7-M7+S7</f>
        <v>0</v>
      </c>
      <c r="U7" s="161">
        <f>N7-T7</f>
        <v>0</v>
      </c>
      <c r="V7" s="161"/>
      <c r="W7" s="161">
        <f>U7-V7-AA7</f>
        <v>0</v>
      </c>
      <c r="X7" s="161"/>
      <c r="Y7" s="161"/>
      <c r="Z7" s="161"/>
      <c r="AA7" s="160"/>
      <c r="AB7" s="268" t="s">
        <v>779</v>
      </c>
      <c r="AC7" s="160">
        <v>720000</v>
      </c>
      <c r="AD7" s="284"/>
      <c r="AE7" s="284"/>
      <c r="AF7" s="284"/>
      <c r="AG7" s="284"/>
      <c r="AH7" s="284"/>
      <c r="AI7" s="284"/>
      <c r="AJ7" s="284"/>
      <c r="AK7" s="284"/>
      <c r="AL7" s="284"/>
      <c r="AM7" s="160">
        <f>SUM(AD7:AL7)</f>
        <v>0</v>
      </c>
      <c r="AN7" s="160"/>
      <c r="AO7" s="160"/>
      <c r="AP7" s="160"/>
      <c r="AQ7" s="160"/>
      <c r="AR7" s="160"/>
      <c r="AS7" s="160"/>
      <c r="AT7" s="160"/>
    </row>
    <row r="8" spans="1:47" s="370" customFormat="1" ht="30" customHeight="1">
      <c r="A8" s="302">
        <f>A7</f>
        <v>2</v>
      </c>
      <c r="B8" s="302"/>
      <c r="C8" s="32" t="s">
        <v>418</v>
      </c>
      <c r="D8" s="369">
        <f>SUM(D6:D7)</f>
        <v>4300000</v>
      </c>
      <c r="E8" s="369">
        <f t="shared" ref="E8:AT8" si="0">SUM(E6:E7)</f>
        <v>4300000</v>
      </c>
      <c r="F8" s="369">
        <f t="shared" si="0"/>
        <v>0</v>
      </c>
      <c r="G8" s="369">
        <f t="shared" si="0"/>
        <v>3100000</v>
      </c>
      <c r="H8" s="369">
        <f t="shared" si="0"/>
        <v>1908729</v>
      </c>
      <c r="I8" s="369">
        <f t="shared" si="0"/>
        <v>0</v>
      </c>
      <c r="J8" s="369">
        <f t="shared" si="0"/>
        <v>144168</v>
      </c>
      <c r="K8" s="369">
        <f t="shared" si="0"/>
        <v>144168</v>
      </c>
      <c r="L8" s="369">
        <f t="shared" si="0"/>
        <v>2052897</v>
      </c>
      <c r="M8" s="369">
        <f t="shared" si="0"/>
        <v>347103</v>
      </c>
      <c r="N8" s="369">
        <f t="shared" si="0"/>
        <v>700000</v>
      </c>
      <c r="O8" s="369">
        <f t="shared" si="0"/>
        <v>1200000</v>
      </c>
      <c r="P8" s="369">
        <f t="shared" si="0"/>
        <v>1047103</v>
      </c>
      <c r="Q8" s="369">
        <f t="shared" si="0"/>
        <v>0</v>
      </c>
      <c r="R8" s="369">
        <f t="shared" si="0"/>
        <v>0</v>
      </c>
      <c r="S8" s="369">
        <f t="shared" si="0"/>
        <v>0</v>
      </c>
      <c r="T8" s="369">
        <f t="shared" si="0"/>
        <v>700000</v>
      </c>
      <c r="U8" s="369">
        <f t="shared" si="0"/>
        <v>0</v>
      </c>
      <c r="V8" s="369">
        <f t="shared" si="0"/>
        <v>0</v>
      </c>
      <c r="W8" s="369">
        <f t="shared" si="0"/>
        <v>0</v>
      </c>
      <c r="X8" s="369">
        <f t="shared" si="0"/>
        <v>0</v>
      </c>
      <c r="Y8" s="369">
        <f t="shared" si="0"/>
        <v>0</v>
      </c>
      <c r="Z8" s="369">
        <f t="shared" si="0"/>
        <v>0</v>
      </c>
      <c r="AA8" s="369">
        <f t="shared" si="0"/>
        <v>0</v>
      </c>
      <c r="AB8" s="369">
        <f t="shared" si="0"/>
        <v>0</v>
      </c>
      <c r="AC8" s="369">
        <f t="shared" si="0"/>
        <v>1443000</v>
      </c>
      <c r="AD8" s="369">
        <f t="shared" si="0"/>
        <v>0</v>
      </c>
      <c r="AE8" s="369">
        <f>SUM(AE6:AE7)</f>
        <v>0</v>
      </c>
      <c r="AF8" s="369">
        <f>SUM(AF6:AF7)</f>
        <v>0</v>
      </c>
      <c r="AG8" s="369">
        <f t="shared" si="0"/>
        <v>0</v>
      </c>
      <c r="AH8" s="369">
        <f>SUM(AH6:AH7)</f>
        <v>0</v>
      </c>
      <c r="AI8" s="369">
        <f>SUM(AI6:AI7)</f>
        <v>0</v>
      </c>
      <c r="AJ8" s="369">
        <f>SUM(AJ6:AJ7)</f>
        <v>0</v>
      </c>
      <c r="AK8" s="369">
        <f>SUM(AK6:AK7)</f>
        <v>0</v>
      </c>
      <c r="AL8" s="369">
        <f>SUM(AL6:AL7)</f>
        <v>0</v>
      </c>
      <c r="AM8" s="369">
        <f t="shared" si="0"/>
        <v>0</v>
      </c>
      <c r="AN8" s="369">
        <f t="shared" si="0"/>
        <v>0</v>
      </c>
      <c r="AO8" s="369">
        <f t="shared" si="0"/>
        <v>0</v>
      </c>
      <c r="AP8" s="369">
        <f t="shared" si="0"/>
        <v>0</v>
      </c>
      <c r="AQ8" s="369">
        <f t="shared" si="0"/>
        <v>0</v>
      </c>
      <c r="AR8" s="369">
        <f t="shared" si="0"/>
        <v>0</v>
      </c>
      <c r="AS8" s="369">
        <f t="shared" si="0"/>
        <v>0</v>
      </c>
      <c r="AT8" s="369">
        <f t="shared" si="0"/>
        <v>0</v>
      </c>
    </row>
    <row r="9" spans="1:47" ht="18" hidden="1" customHeight="1">
      <c r="L9" s="155">
        <f>K8+H8</f>
        <v>2052897</v>
      </c>
      <c r="M9" s="155">
        <f>P9+S8-T8</f>
        <v>347103</v>
      </c>
      <c r="P9" s="155">
        <f>G8-L9</f>
        <v>1047103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D4:AM4"/>
    <mergeCell ref="AO4:AT4"/>
    <mergeCell ref="T4:U4"/>
    <mergeCell ref="V4:AA4"/>
  </mergeCells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AU28"/>
  <sheetViews>
    <sheetView showZeros="0" rightToLeft="1" zoomScaleNormal="100" workbookViewId="0">
      <pane xSplit="3" ySplit="5" topLeftCell="U6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8.5703125" defaultRowHeight="15"/>
  <cols>
    <col min="1" max="1" width="3.28515625" style="12" customWidth="1"/>
    <col min="2" max="2" width="5" style="12" bestFit="1" customWidth="1"/>
    <col min="3" max="3" width="24.5703125" style="18" customWidth="1"/>
    <col min="4" max="12" width="9.7109375" style="14" hidden="1" customWidth="1"/>
    <col min="13" max="13" width="9.85546875" style="14" hidden="1" customWidth="1"/>
    <col min="14" max="20" width="9.7109375" style="14" hidden="1" customWidth="1"/>
    <col min="21" max="23" width="12.140625" style="12" customWidth="1"/>
    <col min="24" max="26" width="9.7109375" style="12" hidden="1" customWidth="1"/>
    <col min="27" max="27" width="12.140625" style="12" customWidth="1"/>
    <col min="28" max="28" width="33.7109375" style="18" hidden="1" customWidth="1"/>
    <col min="29" max="29" width="7.42578125" style="12" hidden="1" customWidth="1"/>
    <col min="30" max="38" width="11.7109375" style="698" hidden="1" customWidth="1"/>
    <col min="39" max="41" width="12.140625" style="698" customWidth="1"/>
    <col min="42" max="42" width="12.140625" style="12" customWidth="1"/>
    <col min="43" max="45" width="11.7109375" style="12" hidden="1" customWidth="1"/>
    <col min="46" max="46" width="12.140625" style="12" customWidth="1"/>
    <col min="47" max="16384" width="8.5703125" style="12"/>
  </cols>
  <sheetData>
    <row r="1" spans="1:47" s="699" customFormat="1" ht="13.15" customHeight="1">
      <c r="A1" s="693"/>
      <c r="B1" s="693"/>
      <c r="C1" s="694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5"/>
      <c r="Y1" s="695"/>
      <c r="Z1" s="695"/>
      <c r="AA1" s="696"/>
      <c r="AB1" s="697"/>
      <c r="AC1" s="696"/>
      <c r="AD1" s="698"/>
      <c r="AE1" s="698"/>
      <c r="AF1" s="698"/>
      <c r="AG1" s="698"/>
      <c r="AH1" s="698"/>
      <c r="AI1" s="698"/>
      <c r="AJ1" s="698"/>
      <c r="AK1" s="698"/>
      <c r="AL1" s="698"/>
      <c r="AM1" s="698"/>
      <c r="AN1" s="698"/>
      <c r="AO1" s="698"/>
    </row>
    <row r="2" spans="1:47" s="699" customFormat="1" ht="18.75">
      <c r="A2" s="693" t="s">
        <v>2282</v>
      </c>
      <c r="B2" s="693"/>
      <c r="C2" s="694"/>
      <c r="D2" s="693"/>
      <c r="E2" s="700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  <c r="U2" s="693"/>
      <c r="V2" s="693"/>
      <c r="W2" s="693"/>
      <c r="X2" s="698"/>
      <c r="Y2" s="698"/>
      <c r="Z2" s="698"/>
      <c r="AA2" s="698"/>
      <c r="AB2" s="698"/>
      <c r="AC2" s="698"/>
      <c r="AD2" s="698"/>
      <c r="AE2" s="698"/>
      <c r="AF2" s="698"/>
      <c r="AG2" s="698"/>
      <c r="AH2" s="698"/>
      <c r="AI2" s="698"/>
      <c r="AJ2" s="698"/>
      <c r="AK2" s="698"/>
      <c r="AL2" s="698"/>
      <c r="AM2" s="698"/>
      <c r="AN2" s="698"/>
      <c r="AO2" s="698"/>
    </row>
    <row r="3" spans="1:47" s="699" customFormat="1" ht="18.75">
      <c r="A3" s="693"/>
      <c r="B3" s="693"/>
      <c r="C3" s="694"/>
      <c r="D3" s="693"/>
      <c r="E3" s="700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  <c r="R3" s="693"/>
      <c r="S3" s="693"/>
      <c r="T3" s="693"/>
      <c r="U3" s="693"/>
      <c r="V3" s="693"/>
      <c r="W3" s="693"/>
      <c r="X3" s="698"/>
      <c r="Y3" s="698"/>
      <c r="Z3" s="698"/>
      <c r="AA3" s="698"/>
      <c r="AB3" s="698"/>
      <c r="AC3" s="698"/>
      <c r="AD3" s="698"/>
      <c r="AE3" s="698"/>
      <c r="AF3" s="698"/>
      <c r="AG3" s="698"/>
      <c r="AH3" s="698"/>
      <c r="AI3" s="698"/>
      <c r="AJ3" s="698"/>
      <c r="AK3" s="698"/>
      <c r="AL3" s="698"/>
      <c r="AM3" s="698"/>
      <c r="AN3" s="698"/>
      <c r="AO3" s="698"/>
    </row>
    <row r="4" spans="1:47" ht="20.45" customHeight="1">
      <c r="A4" s="35"/>
      <c r="B4" s="35"/>
      <c r="C4" s="330"/>
      <c r="T4" s="876" t="s">
        <v>256</v>
      </c>
      <c r="U4" s="877"/>
      <c r="V4" s="880" t="s">
        <v>88</v>
      </c>
      <c r="W4" s="880"/>
      <c r="X4" s="880"/>
      <c r="Y4" s="880"/>
      <c r="Z4" s="880"/>
      <c r="AA4" s="880"/>
      <c r="AB4" s="880"/>
      <c r="AC4" s="18"/>
      <c r="AD4" s="566" t="s">
        <v>246</v>
      </c>
      <c r="AE4" s="566"/>
      <c r="AF4" s="566"/>
      <c r="AG4" s="566"/>
      <c r="AH4" s="566"/>
      <c r="AI4" s="566"/>
      <c r="AJ4" s="566"/>
      <c r="AK4" s="566"/>
      <c r="AL4" s="566"/>
      <c r="AM4" s="566" t="s">
        <v>246</v>
      </c>
      <c r="AN4" s="566"/>
      <c r="AO4" s="876" t="s">
        <v>2269</v>
      </c>
      <c r="AP4" s="877"/>
      <c r="AQ4" s="877"/>
      <c r="AR4" s="877"/>
      <c r="AS4" s="877"/>
      <c r="AT4" s="878"/>
      <c r="AU4" s="577"/>
    </row>
    <row r="5" spans="1:47" s="702" customFormat="1" ht="86.25" customHeight="1">
      <c r="A5" s="175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9</v>
      </c>
      <c r="J5" s="16" t="s">
        <v>153</v>
      </c>
      <c r="K5" s="16" t="s">
        <v>10</v>
      </c>
      <c r="L5" s="16" t="s">
        <v>11</v>
      </c>
      <c r="M5" s="9" t="s">
        <v>618</v>
      </c>
      <c r="N5" s="16" t="s">
        <v>619</v>
      </c>
      <c r="O5" s="16" t="s">
        <v>620</v>
      </c>
      <c r="P5" s="16" t="s">
        <v>12</v>
      </c>
      <c r="Q5" s="16" t="s">
        <v>621</v>
      </c>
      <c r="R5" s="16" t="s">
        <v>622</v>
      </c>
      <c r="S5" s="16" t="s">
        <v>623</v>
      </c>
      <c r="T5" s="16" t="s">
        <v>624</v>
      </c>
      <c r="U5" s="16" t="s">
        <v>625</v>
      </c>
      <c r="V5" s="16" t="s">
        <v>13</v>
      </c>
      <c r="W5" s="16" t="s">
        <v>14</v>
      </c>
      <c r="X5" s="16" t="s">
        <v>15</v>
      </c>
      <c r="Y5" s="16" t="s">
        <v>265</v>
      </c>
      <c r="Z5" s="16" t="s">
        <v>749</v>
      </c>
      <c r="AA5" s="16" t="s">
        <v>84</v>
      </c>
      <c r="AB5" s="701" t="s">
        <v>304</v>
      </c>
      <c r="AC5" s="16" t="s">
        <v>16</v>
      </c>
      <c r="AD5" s="9" t="s">
        <v>1911</v>
      </c>
      <c r="AE5" s="9" t="s">
        <v>1912</v>
      </c>
      <c r="AF5" s="9" t="s">
        <v>247</v>
      </c>
      <c r="AG5" s="9" t="s">
        <v>248</v>
      </c>
      <c r="AH5" s="9" t="s">
        <v>1913</v>
      </c>
      <c r="AI5" s="9" t="s">
        <v>1914</v>
      </c>
      <c r="AJ5" s="9" t="s">
        <v>1915</v>
      </c>
      <c r="AK5" s="9" t="s">
        <v>1916</v>
      </c>
      <c r="AL5" s="9" t="s">
        <v>1917</v>
      </c>
      <c r="AM5" s="20" t="s">
        <v>2037</v>
      </c>
      <c r="AN5" s="20" t="s">
        <v>852</v>
      </c>
      <c r="AO5" s="567" t="s">
        <v>13</v>
      </c>
      <c r="AP5" s="567" t="s">
        <v>14</v>
      </c>
      <c r="AQ5" s="567" t="s">
        <v>15</v>
      </c>
      <c r="AR5" s="567" t="s">
        <v>265</v>
      </c>
      <c r="AS5" s="567" t="s">
        <v>749</v>
      </c>
      <c r="AT5" s="567" t="s">
        <v>84</v>
      </c>
    </row>
    <row r="6" spans="1:47" s="5" customFormat="1" ht="34.9" customHeight="1">
      <c r="A6" s="3">
        <v>1</v>
      </c>
      <c r="B6" s="3">
        <v>1776</v>
      </c>
      <c r="C6" s="3" t="s">
        <v>55</v>
      </c>
      <c r="D6" s="4">
        <v>2100000</v>
      </c>
      <c r="E6" s="4">
        <v>1255000</v>
      </c>
      <c r="F6" s="4">
        <f>D6-E6</f>
        <v>845000</v>
      </c>
      <c r="G6" s="4">
        <v>1255000</v>
      </c>
      <c r="H6" s="4">
        <v>993388</v>
      </c>
      <c r="I6" s="4">
        <v>0</v>
      </c>
      <c r="J6" s="4">
        <v>113314</v>
      </c>
      <c r="K6" s="4">
        <f>I6+J6</f>
        <v>113314</v>
      </c>
      <c r="L6" s="4">
        <f>H6+K6</f>
        <v>1106702</v>
      </c>
      <c r="M6" s="4">
        <f>P6+S6</f>
        <v>148298</v>
      </c>
      <c r="N6" s="4">
        <f>845000-445000+445000-245000</f>
        <v>600000</v>
      </c>
      <c r="O6" s="4">
        <f>D6-M6-N6-L6</f>
        <v>245000</v>
      </c>
      <c r="P6" s="4">
        <f>G6-L6</f>
        <v>148298</v>
      </c>
      <c r="Q6" s="4"/>
      <c r="R6" s="4"/>
      <c r="S6" s="4">
        <f>SUM(Q6:R6)</f>
        <v>0</v>
      </c>
      <c r="T6" s="4">
        <f>P6-M6+S6</f>
        <v>0</v>
      </c>
      <c r="U6" s="4">
        <f>N6-T6</f>
        <v>600000</v>
      </c>
      <c r="V6" s="4"/>
      <c r="W6" s="4">
        <f t="shared" ref="W6:W23" si="0">U6-V6-Z6-AA6</f>
        <v>600000</v>
      </c>
      <c r="X6" s="4"/>
      <c r="Y6" s="4"/>
      <c r="Z6" s="4"/>
      <c r="AA6" s="190"/>
      <c r="AB6" s="30" t="s">
        <v>757</v>
      </c>
      <c r="AC6" s="3">
        <v>810000</v>
      </c>
      <c r="AD6" s="4"/>
      <c r="AE6" s="4"/>
      <c r="AF6" s="4"/>
      <c r="AG6" s="4"/>
      <c r="AH6" s="4">
        <v>300000</v>
      </c>
      <c r="AI6" s="4"/>
      <c r="AJ6" s="4"/>
      <c r="AK6" s="4"/>
      <c r="AL6" s="4">
        <v>300000</v>
      </c>
      <c r="AM6" s="4">
        <f>SUM(AD6:AL6)</f>
        <v>600000</v>
      </c>
      <c r="AN6" s="4">
        <f>U6-AM6</f>
        <v>0</v>
      </c>
      <c r="AO6" s="4"/>
      <c r="AP6" s="4">
        <f>AM6-AQ6-AR6-AS6-AT6-AO6</f>
        <v>600000</v>
      </c>
      <c r="AQ6" s="4"/>
      <c r="AR6" s="4"/>
      <c r="AS6" s="4"/>
      <c r="AT6" s="4"/>
    </row>
    <row r="7" spans="1:47" s="5" customFormat="1" ht="30" customHeight="1">
      <c r="A7" s="3">
        <f>A6+1</f>
        <v>2</v>
      </c>
      <c r="B7" s="253">
        <v>1828</v>
      </c>
      <c r="C7" s="3" t="s">
        <v>2005</v>
      </c>
      <c r="D7" s="4">
        <v>240000</v>
      </c>
      <c r="E7" s="4">
        <v>240000</v>
      </c>
      <c r="F7" s="4">
        <f t="shared" ref="F7:F23" si="1">D7-E7</f>
        <v>0</v>
      </c>
      <c r="G7" s="4">
        <v>240000</v>
      </c>
      <c r="H7" s="4">
        <v>188718</v>
      </c>
      <c r="I7" s="4">
        <v>0</v>
      </c>
      <c r="J7" s="4">
        <v>0</v>
      </c>
      <c r="K7" s="4">
        <f t="shared" ref="K7:K23" si="2">I7+J7</f>
        <v>0</v>
      </c>
      <c r="L7" s="4">
        <f t="shared" ref="L7:L23" si="3">H7+K7</f>
        <v>188718</v>
      </c>
      <c r="M7" s="4">
        <f t="shared" ref="M7:M23" si="4">P7+S7</f>
        <v>51282</v>
      </c>
      <c r="N7" s="4"/>
      <c r="O7" s="4">
        <f t="shared" ref="O7:O23" si="5">D7-M7-N7-L7</f>
        <v>0</v>
      </c>
      <c r="P7" s="4">
        <f t="shared" ref="P7:P23" si="6">G7-L7</f>
        <v>51282</v>
      </c>
      <c r="Q7" s="4"/>
      <c r="R7" s="4"/>
      <c r="S7" s="4">
        <f t="shared" ref="S7:S23" si="7">SUM(Q7:R7)</f>
        <v>0</v>
      </c>
      <c r="T7" s="4">
        <f t="shared" ref="T7:T23" si="8">P7-M7+S7</f>
        <v>0</v>
      </c>
      <c r="U7" s="4">
        <f t="shared" ref="U7:U23" si="9">N7-T7</f>
        <v>0</v>
      </c>
      <c r="V7" s="4"/>
      <c r="W7" s="4">
        <f t="shared" si="0"/>
        <v>0</v>
      </c>
      <c r="X7" s="4"/>
      <c r="Y7" s="4"/>
      <c r="Z7" s="4"/>
      <c r="AA7" s="190"/>
      <c r="AB7" s="3" t="s">
        <v>544</v>
      </c>
      <c r="AC7" s="3">
        <v>810000</v>
      </c>
      <c r="AD7" s="4"/>
      <c r="AE7" s="4"/>
      <c r="AF7" s="4"/>
      <c r="AG7" s="4"/>
      <c r="AH7" s="4"/>
      <c r="AI7" s="4"/>
      <c r="AJ7" s="4"/>
      <c r="AK7" s="4"/>
      <c r="AL7" s="4"/>
      <c r="AM7" s="4">
        <f t="shared" ref="AM7:AM26" si="10">SUM(AD7:AL7)</f>
        <v>0</v>
      </c>
      <c r="AN7" s="4">
        <f t="shared" ref="AN7:AN26" si="11">U7-AM7</f>
        <v>0</v>
      </c>
      <c r="AO7" s="4"/>
      <c r="AP7" s="4">
        <f t="shared" ref="AP7:AP26" si="12">AM7-AQ7-AR7-AS7-AT7-AO7</f>
        <v>0</v>
      </c>
      <c r="AQ7" s="4"/>
      <c r="AR7" s="4"/>
      <c r="AS7" s="4"/>
      <c r="AT7" s="4"/>
    </row>
    <row r="8" spans="1:47" s="5" customFormat="1" ht="35.450000000000003" customHeight="1">
      <c r="A8" s="3">
        <f t="shared" ref="A8:A23" si="13">A7+1</f>
        <v>3</v>
      </c>
      <c r="B8" s="253">
        <v>1930</v>
      </c>
      <c r="C8" s="3" t="s">
        <v>127</v>
      </c>
      <c r="D8" s="4">
        <v>2530000</v>
      </c>
      <c r="E8" s="4">
        <v>1670000</v>
      </c>
      <c r="F8" s="4">
        <f t="shared" si="1"/>
        <v>860000</v>
      </c>
      <c r="G8" s="4">
        <v>1230000</v>
      </c>
      <c r="H8" s="4">
        <v>911352</v>
      </c>
      <c r="I8" s="4">
        <v>0</v>
      </c>
      <c r="J8" s="4">
        <v>184860</v>
      </c>
      <c r="K8" s="4">
        <f t="shared" si="2"/>
        <v>184860</v>
      </c>
      <c r="L8" s="4">
        <f t="shared" si="3"/>
        <v>1096212</v>
      </c>
      <c r="M8" s="4">
        <f t="shared" si="4"/>
        <v>133788</v>
      </c>
      <c r="N8" s="4">
        <f>860000-130000</f>
        <v>730000</v>
      </c>
      <c r="O8" s="4">
        <f t="shared" si="5"/>
        <v>570000</v>
      </c>
      <c r="P8" s="4">
        <f t="shared" si="6"/>
        <v>133788</v>
      </c>
      <c r="Q8" s="4"/>
      <c r="R8" s="4"/>
      <c r="S8" s="4">
        <f t="shared" si="7"/>
        <v>0</v>
      </c>
      <c r="T8" s="4">
        <f t="shared" si="8"/>
        <v>0</v>
      </c>
      <c r="U8" s="4">
        <f t="shared" si="9"/>
        <v>730000</v>
      </c>
      <c r="V8" s="4"/>
      <c r="W8" s="4">
        <f t="shared" si="0"/>
        <v>366000</v>
      </c>
      <c r="X8" s="4"/>
      <c r="Y8" s="4"/>
      <c r="Z8" s="4"/>
      <c r="AA8" s="4">
        <f>26000*14</f>
        <v>364000</v>
      </c>
      <c r="AB8" s="3" t="s">
        <v>2006</v>
      </c>
      <c r="AC8" s="3">
        <v>810000</v>
      </c>
      <c r="AD8" s="4"/>
      <c r="AE8" s="4"/>
      <c r="AF8" s="4"/>
      <c r="AG8" s="4"/>
      <c r="AH8" s="4">
        <v>350000</v>
      </c>
      <c r="AI8" s="4"/>
      <c r="AJ8" s="4"/>
      <c r="AK8" s="4">
        <v>16000</v>
      </c>
      <c r="AL8" s="4"/>
      <c r="AM8" s="4">
        <f t="shared" si="10"/>
        <v>366000</v>
      </c>
      <c r="AN8" s="4">
        <f t="shared" si="11"/>
        <v>364000</v>
      </c>
      <c r="AO8" s="4"/>
      <c r="AP8" s="4">
        <f t="shared" si="12"/>
        <v>366000</v>
      </c>
      <c r="AQ8" s="4"/>
      <c r="AR8" s="4"/>
      <c r="AS8" s="4"/>
      <c r="AT8" s="4"/>
    </row>
    <row r="9" spans="1:47" s="5" customFormat="1" ht="30" customHeight="1">
      <c r="A9" s="3">
        <f t="shared" si="13"/>
        <v>4</v>
      </c>
      <c r="B9" s="3">
        <v>1976</v>
      </c>
      <c r="C9" s="3" t="s">
        <v>2287</v>
      </c>
      <c r="D9" s="4">
        <v>644100</v>
      </c>
      <c r="E9" s="4">
        <v>644100</v>
      </c>
      <c r="F9" s="4">
        <f t="shared" si="1"/>
        <v>0</v>
      </c>
      <c r="G9" s="4">
        <v>644100</v>
      </c>
      <c r="H9" s="4">
        <v>504222</v>
      </c>
      <c r="I9" s="4">
        <v>0</v>
      </c>
      <c r="J9" s="4">
        <v>12644</v>
      </c>
      <c r="K9" s="4">
        <f t="shared" si="2"/>
        <v>12644</v>
      </c>
      <c r="L9" s="4">
        <f t="shared" si="3"/>
        <v>516866</v>
      </c>
      <c r="M9" s="4">
        <f t="shared" si="4"/>
        <v>127234</v>
      </c>
      <c r="N9" s="4"/>
      <c r="O9" s="4">
        <f t="shared" si="5"/>
        <v>0</v>
      </c>
      <c r="P9" s="4">
        <f t="shared" si="6"/>
        <v>127234</v>
      </c>
      <c r="Q9" s="4"/>
      <c r="R9" s="4"/>
      <c r="S9" s="4">
        <f t="shared" si="7"/>
        <v>0</v>
      </c>
      <c r="T9" s="4">
        <f t="shared" si="8"/>
        <v>0</v>
      </c>
      <c r="U9" s="4">
        <f t="shared" si="9"/>
        <v>0</v>
      </c>
      <c r="V9" s="4"/>
      <c r="W9" s="4">
        <f t="shared" si="0"/>
        <v>0</v>
      </c>
      <c r="X9" s="4"/>
      <c r="Y9" s="4"/>
      <c r="Z9" s="4"/>
      <c r="AA9" s="190"/>
      <c r="AB9" s="30" t="s">
        <v>2007</v>
      </c>
      <c r="AC9" s="3">
        <v>810000</v>
      </c>
      <c r="AD9" s="4"/>
      <c r="AE9" s="4"/>
      <c r="AF9" s="4"/>
      <c r="AG9" s="4"/>
      <c r="AH9" s="4"/>
      <c r="AI9" s="4"/>
      <c r="AJ9" s="4"/>
      <c r="AK9" s="4"/>
      <c r="AL9" s="4"/>
      <c r="AM9" s="4">
        <f t="shared" si="10"/>
        <v>0</v>
      </c>
      <c r="AN9" s="4">
        <f t="shared" si="11"/>
        <v>0</v>
      </c>
      <c r="AO9" s="4"/>
      <c r="AP9" s="4">
        <f t="shared" si="12"/>
        <v>0</v>
      </c>
      <c r="AQ9" s="4"/>
      <c r="AR9" s="4"/>
      <c r="AS9" s="4"/>
      <c r="AT9" s="4"/>
    </row>
    <row r="10" spans="1:47" s="5" customFormat="1" ht="30" customHeight="1">
      <c r="A10" s="3">
        <f t="shared" si="13"/>
        <v>5</v>
      </c>
      <c r="B10" s="3">
        <v>1977</v>
      </c>
      <c r="C10" s="3" t="s">
        <v>141</v>
      </c>
      <c r="D10" s="4">
        <v>44100</v>
      </c>
      <c r="E10" s="4">
        <v>44100</v>
      </c>
      <c r="F10" s="4">
        <f t="shared" si="1"/>
        <v>0</v>
      </c>
      <c r="G10" s="4">
        <v>44100</v>
      </c>
      <c r="H10" s="4">
        <v>43807</v>
      </c>
      <c r="I10" s="4">
        <v>0</v>
      </c>
      <c r="J10" s="4">
        <v>0</v>
      </c>
      <c r="K10" s="4">
        <f t="shared" si="2"/>
        <v>0</v>
      </c>
      <c r="L10" s="4">
        <f t="shared" si="3"/>
        <v>43807</v>
      </c>
      <c r="M10" s="4">
        <f t="shared" si="4"/>
        <v>293</v>
      </c>
      <c r="N10" s="4"/>
      <c r="O10" s="4">
        <f t="shared" si="5"/>
        <v>0</v>
      </c>
      <c r="P10" s="4">
        <f t="shared" si="6"/>
        <v>293</v>
      </c>
      <c r="Q10" s="4"/>
      <c r="R10" s="4"/>
      <c r="S10" s="4">
        <f t="shared" si="7"/>
        <v>0</v>
      </c>
      <c r="T10" s="4">
        <f t="shared" si="8"/>
        <v>0</v>
      </c>
      <c r="U10" s="4">
        <f t="shared" si="9"/>
        <v>0</v>
      </c>
      <c r="V10" s="4"/>
      <c r="W10" s="4">
        <f t="shared" si="0"/>
        <v>0</v>
      </c>
      <c r="X10" s="4"/>
      <c r="Y10" s="4"/>
      <c r="Z10" s="4"/>
      <c r="AA10" s="190"/>
      <c r="AB10" s="3" t="s">
        <v>535</v>
      </c>
      <c r="AC10" s="3">
        <v>810000</v>
      </c>
      <c r="AD10" s="4"/>
      <c r="AE10" s="4"/>
      <c r="AF10" s="4"/>
      <c r="AG10" s="4"/>
      <c r="AH10" s="4"/>
      <c r="AI10" s="4"/>
      <c r="AJ10" s="4"/>
      <c r="AK10" s="4"/>
      <c r="AL10" s="4"/>
      <c r="AM10" s="4">
        <f t="shared" si="10"/>
        <v>0</v>
      </c>
      <c r="AN10" s="4">
        <f t="shared" si="11"/>
        <v>0</v>
      </c>
      <c r="AO10" s="4"/>
      <c r="AP10" s="4">
        <f t="shared" si="12"/>
        <v>0</v>
      </c>
      <c r="AQ10" s="4"/>
      <c r="AR10" s="4"/>
      <c r="AS10" s="4"/>
      <c r="AT10" s="4"/>
    </row>
    <row r="11" spans="1:47" s="5" customFormat="1" ht="30" customHeight="1">
      <c r="A11" s="3">
        <f t="shared" si="13"/>
        <v>6</v>
      </c>
      <c r="B11" s="253">
        <v>1987</v>
      </c>
      <c r="C11" s="3" t="s">
        <v>156</v>
      </c>
      <c r="D11" s="4">
        <v>120000</v>
      </c>
      <c r="E11" s="4">
        <v>120000</v>
      </c>
      <c r="F11" s="4">
        <f t="shared" si="1"/>
        <v>0</v>
      </c>
      <c r="G11" s="4">
        <v>120000</v>
      </c>
      <c r="H11" s="4">
        <v>77677</v>
      </c>
      <c r="I11" s="4">
        <v>0</v>
      </c>
      <c r="J11" s="4">
        <v>0</v>
      </c>
      <c r="K11" s="4">
        <f t="shared" si="2"/>
        <v>0</v>
      </c>
      <c r="L11" s="4">
        <f t="shared" si="3"/>
        <v>77677</v>
      </c>
      <c r="M11" s="4">
        <f t="shared" si="4"/>
        <v>42323</v>
      </c>
      <c r="N11" s="4"/>
      <c r="O11" s="4">
        <f t="shared" si="5"/>
        <v>0</v>
      </c>
      <c r="P11" s="4">
        <f t="shared" si="6"/>
        <v>42323</v>
      </c>
      <c r="Q11" s="4"/>
      <c r="R11" s="4"/>
      <c r="S11" s="4">
        <f t="shared" si="7"/>
        <v>0</v>
      </c>
      <c r="T11" s="4">
        <f t="shared" si="8"/>
        <v>0</v>
      </c>
      <c r="U11" s="4">
        <f t="shared" si="9"/>
        <v>0</v>
      </c>
      <c r="V11" s="4"/>
      <c r="W11" s="4">
        <f t="shared" si="0"/>
        <v>0</v>
      </c>
      <c r="X11" s="4"/>
      <c r="Y11" s="4"/>
      <c r="Z11" s="4"/>
      <c r="AA11" s="190"/>
      <c r="AB11" s="3" t="s">
        <v>535</v>
      </c>
      <c r="AC11" s="3">
        <v>810000</v>
      </c>
      <c r="AD11" s="4"/>
      <c r="AE11" s="4"/>
      <c r="AF11" s="4"/>
      <c r="AG11" s="4"/>
      <c r="AH11" s="4"/>
      <c r="AI11" s="4"/>
      <c r="AJ11" s="4"/>
      <c r="AK11" s="4"/>
      <c r="AL11" s="4"/>
      <c r="AM11" s="4">
        <f t="shared" si="10"/>
        <v>0</v>
      </c>
      <c r="AN11" s="4">
        <f t="shared" si="11"/>
        <v>0</v>
      </c>
      <c r="AO11" s="4"/>
      <c r="AP11" s="4">
        <f t="shared" si="12"/>
        <v>0</v>
      </c>
      <c r="AQ11" s="4"/>
      <c r="AR11" s="4"/>
      <c r="AS11" s="4"/>
      <c r="AT11" s="4"/>
    </row>
    <row r="12" spans="1:47" s="5" customFormat="1" ht="30" customHeight="1">
      <c r="A12" s="3">
        <f t="shared" si="13"/>
        <v>7</v>
      </c>
      <c r="B12" s="253">
        <v>1990</v>
      </c>
      <c r="C12" s="3" t="s">
        <v>2008</v>
      </c>
      <c r="D12" s="4">
        <v>58800</v>
      </c>
      <c r="E12" s="4">
        <v>58800</v>
      </c>
      <c r="F12" s="4">
        <f t="shared" si="1"/>
        <v>0</v>
      </c>
      <c r="G12" s="4">
        <v>58800</v>
      </c>
      <c r="H12" s="4">
        <v>54353</v>
      </c>
      <c r="I12" s="4">
        <v>0</v>
      </c>
      <c r="J12" s="4">
        <v>4393</v>
      </c>
      <c r="K12" s="4">
        <f t="shared" si="2"/>
        <v>4393</v>
      </c>
      <c r="L12" s="4">
        <f t="shared" si="3"/>
        <v>58746</v>
      </c>
      <c r="M12" s="4">
        <f t="shared" si="4"/>
        <v>54</v>
      </c>
      <c r="N12" s="4"/>
      <c r="O12" s="4">
        <f t="shared" si="5"/>
        <v>0</v>
      </c>
      <c r="P12" s="4">
        <f t="shared" si="6"/>
        <v>54</v>
      </c>
      <c r="Q12" s="4"/>
      <c r="R12" s="4"/>
      <c r="S12" s="4">
        <f t="shared" si="7"/>
        <v>0</v>
      </c>
      <c r="T12" s="4">
        <f t="shared" si="8"/>
        <v>0</v>
      </c>
      <c r="U12" s="4">
        <f t="shared" si="9"/>
        <v>0</v>
      </c>
      <c r="V12" s="4"/>
      <c r="W12" s="4">
        <f t="shared" si="0"/>
        <v>0</v>
      </c>
      <c r="X12" s="4"/>
      <c r="Y12" s="4"/>
      <c r="Z12" s="4"/>
      <c r="AA12" s="190"/>
      <c r="AB12" s="3"/>
      <c r="AC12" s="3">
        <v>810000</v>
      </c>
      <c r="AD12" s="4"/>
      <c r="AE12" s="4"/>
      <c r="AF12" s="4"/>
      <c r="AG12" s="4"/>
      <c r="AH12" s="4"/>
      <c r="AI12" s="4"/>
      <c r="AJ12" s="4"/>
      <c r="AK12" s="4"/>
      <c r="AL12" s="4"/>
      <c r="AM12" s="4">
        <f t="shared" si="10"/>
        <v>0</v>
      </c>
      <c r="AN12" s="4">
        <f t="shared" si="11"/>
        <v>0</v>
      </c>
      <c r="AO12" s="4"/>
      <c r="AP12" s="4">
        <f t="shared" si="12"/>
        <v>0</v>
      </c>
      <c r="AQ12" s="4"/>
      <c r="AR12" s="4"/>
      <c r="AS12" s="4"/>
      <c r="AT12" s="4"/>
    </row>
    <row r="13" spans="1:47" s="5" customFormat="1" ht="30" customHeight="1">
      <c r="A13" s="3">
        <f t="shared" si="13"/>
        <v>8</v>
      </c>
      <c r="B13" s="253">
        <v>2033</v>
      </c>
      <c r="C13" s="3" t="s">
        <v>351</v>
      </c>
      <c r="D13" s="4">
        <v>900000</v>
      </c>
      <c r="E13" s="4">
        <v>1000000</v>
      </c>
      <c r="F13" s="4">
        <f t="shared" si="1"/>
        <v>-100000</v>
      </c>
      <c r="G13" s="4">
        <v>900000</v>
      </c>
      <c r="H13" s="4">
        <v>590007</v>
      </c>
      <c r="I13" s="4">
        <v>0</v>
      </c>
      <c r="J13" s="4">
        <v>84302</v>
      </c>
      <c r="K13" s="4">
        <f t="shared" si="2"/>
        <v>84302</v>
      </c>
      <c r="L13" s="4">
        <f t="shared" si="3"/>
        <v>674309</v>
      </c>
      <c r="M13" s="4">
        <f t="shared" si="4"/>
        <v>225691</v>
      </c>
      <c r="N13" s="4"/>
      <c r="O13" s="4">
        <f t="shared" si="5"/>
        <v>0</v>
      </c>
      <c r="P13" s="4">
        <f t="shared" si="6"/>
        <v>225691</v>
      </c>
      <c r="Q13" s="4"/>
      <c r="R13" s="4"/>
      <c r="S13" s="4">
        <f t="shared" si="7"/>
        <v>0</v>
      </c>
      <c r="T13" s="4">
        <f t="shared" si="8"/>
        <v>0</v>
      </c>
      <c r="U13" s="4">
        <f t="shared" si="9"/>
        <v>0</v>
      </c>
      <c r="V13" s="4"/>
      <c r="W13" s="4">
        <f t="shared" si="0"/>
        <v>0</v>
      </c>
      <c r="X13" s="4"/>
      <c r="Y13" s="4"/>
      <c r="Z13" s="4"/>
      <c r="AA13" s="190"/>
      <c r="AB13" s="3" t="s">
        <v>352</v>
      </c>
      <c r="AC13" s="3">
        <v>810000</v>
      </c>
      <c r="AD13" s="4"/>
      <c r="AE13" s="4"/>
      <c r="AF13" s="4"/>
      <c r="AG13" s="4"/>
      <c r="AH13" s="4"/>
      <c r="AI13" s="4"/>
      <c r="AJ13" s="4"/>
      <c r="AK13" s="4"/>
      <c r="AL13" s="4"/>
      <c r="AM13" s="4">
        <f t="shared" si="10"/>
        <v>0</v>
      </c>
      <c r="AN13" s="4">
        <f t="shared" si="11"/>
        <v>0</v>
      </c>
      <c r="AO13" s="4"/>
      <c r="AP13" s="4">
        <f t="shared" si="12"/>
        <v>0</v>
      </c>
      <c r="AQ13" s="4"/>
      <c r="AR13" s="4"/>
      <c r="AS13" s="4"/>
      <c r="AT13" s="4"/>
    </row>
    <row r="14" spans="1:47" s="5" customFormat="1" ht="42" customHeight="1">
      <c r="A14" s="3">
        <f t="shared" si="13"/>
        <v>9</v>
      </c>
      <c r="B14" s="253">
        <v>2034</v>
      </c>
      <c r="C14" s="3" t="s">
        <v>353</v>
      </c>
      <c r="D14" s="4">
        <v>3670000</v>
      </c>
      <c r="E14" s="4">
        <f>2515000+85000</f>
        <v>2600000</v>
      </c>
      <c r="F14" s="4">
        <f t="shared" si="1"/>
        <v>1070000</v>
      </c>
      <c r="G14" s="4">
        <v>2600000</v>
      </c>
      <c r="H14" s="4">
        <v>2148965</v>
      </c>
      <c r="I14" s="4">
        <v>0</v>
      </c>
      <c r="J14" s="4">
        <v>131126</v>
      </c>
      <c r="K14" s="4">
        <f t="shared" si="2"/>
        <v>131126</v>
      </c>
      <c r="L14" s="4">
        <f t="shared" si="3"/>
        <v>2280091</v>
      </c>
      <c r="M14" s="4">
        <f t="shared" si="4"/>
        <v>319909</v>
      </c>
      <c r="N14" s="4">
        <f>475000-75000</f>
        <v>400000</v>
      </c>
      <c r="O14" s="4">
        <f t="shared" si="5"/>
        <v>670000</v>
      </c>
      <c r="P14" s="4">
        <f t="shared" si="6"/>
        <v>319909</v>
      </c>
      <c r="Q14" s="4"/>
      <c r="R14" s="4"/>
      <c r="S14" s="4">
        <f t="shared" si="7"/>
        <v>0</v>
      </c>
      <c r="T14" s="4">
        <f t="shared" si="8"/>
        <v>0</v>
      </c>
      <c r="U14" s="4">
        <f t="shared" si="9"/>
        <v>400000</v>
      </c>
      <c r="V14" s="4"/>
      <c r="W14" s="4">
        <f t="shared" si="0"/>
        <v>0</v>
      </c>
      <c r="X14" s="4"/>
      <c r="Y14" s="4"/>
      <c r="Z14" s="4"/>
      <c r="AA14" s="190">
        <v>400000</v>
      </c>
      <c r="AB14" s="3" t="s">
        <v>2009</v>
      </c>
      <c r="AC14" s="3">
        <v>810000</v>
      </c>
      <c r="AD14" s="4"/>
      <c r="AE14" s="4"/>
      <c r="AF14" s="4"/>
      <c r="AG14" s="4">
        <v>400000</v>
      </c>
      <c r="AH14" s="4"/>
      <c r="AI14" s="4"/>
      <c r="AJ14" s="4"/>
      <c r="AK14" s="4"/>
      <c r="AL14" s="4"/>
      <c r="AM14" s="4">
        <f t="shared" si="10"/>
        <v>400000</v>
      </c>
      <c r="AN14" s="4">
        <f t="shared" si="11"/>
        <v>0</v>
      </c>
      <c r="AO14" s="4"/>
      <c r="AP14" s="4">
        <f t="shared" si="12"/>
        <v>0</v>
      </c>
      <c r="AQ14" s="4"/>
      <c r="AR14" s="4"/>
      <c r="AS14" s="4"/>
      <c r="AT14" s="190">
        <v>400000</v>
      </c>
    </row>
    <row r="15" spans="1:47" s="5" customFormat="1" ht="30" customHeight="1">
      <c r="A15" s="3">
        <f t="shared" si="13"/>
        <v>10</v>
      </c>
      <c r="B15" s="253">
        <v>2070</v>
      </c>
      <c r="C15" s="3" t="s">
        <v>354</v>
      </c>
      <c r="D15" s="4">
        <v>500000</v>
      </c>
      <c r="E15" s="4">
        <v>500000</v>
      </c>
      <c r="F15" s="4">
        <f t="shared" si="1"/>
        <v>0</v>
      </c>
      <c r="G15" s="4">
        <v>500000</v>
      </c>
      <c r="H15" s="4">
        <v>363008</v>
      </c>
      <c r="I15" s="4">
        <v>0</v>
      </c>
      <c r="J15" s="4">
        <v>49944</v>
      </c>
      <c r="K15" s="4">
        <f t="shared" si="2"/>
        <v>49944</v>
      </c>
      <c r="L15" s="4">
        <f t="shared" si="3"/>
        <v>412952</v>
      </c>
      <c r="M15" s="4">
        <f t="shared" si="4"/>
        <v>87048</v>
      </c>
      <c r="N15" s="4"/>
      <c r="O15" s="4">
        <f t="shared" si="5"/>
        <v>0</v>
      </c>
      <c r="P15" s="4">
        <f t="shared" si="6"/>
        <v>87048</v>
      </c>
      <c r="Q15" s="4"/>
      <c r="R15" s="4"/>
      <c r="S15" s="4">
        <f t="shared" si="7"/>
        <v>0</v>
      </c>
      <c r="T15" s="4">
        <f t="shared" si="8"/>
        <v>0</v>
      </c>
      <c r="U15" s="4">
        <f t="shared" si="9"/>
        <v>0</v>
      </c>
      <c r="V15" s="4"/>
      <c r="W15" s="4">
        <f t="shared" si="0"/>
        <v>0</v>
      </c>
      <c r="X15" s="4"/>
      <c r="Y15" s="4"/>
      <c r="Z15" s="4"/>
      <c r="AA15" s="190"/>
      <c r="AB15" s="3" t="s">
        <v>535</v>
      </c>
      <c r="AC15" s="3">
        <v>810000</v>
      </c>
      <c r="AD15" s="4"/>
      <c r="AE15" s="4"/>
      <c r="AF15" s="4"/>
      <c r="AG15" s="4"/>
      <c r="AH15" s="4"/>
      <c r="AI15" s="4"/>
      <c r="AJ15" s="4"/>
      <c r="AK15" s="4"/>
      <c r="AL15" s="4"/>
      <c r="AM15" s="4">
        <f t="shared" si="10"/>
        <v>0</v>
      </c>
      <c r="AN15" s="4">
        <f t="shared" si="11"/>
        <v>0</v>
      </c>
      <c r="AO15" s="4"/>
      <c r="AP15" s="4">
        <f t="shared" si="12"/>
        <v>0</v>
      </c>
      <c r="AQ15" s="4"/>
      <c r="AR15" s="4"/>
      <c r="AS15" s="4"/>
      <c r="AT15" s="4"/>
    </row>
    <row r="16" spans="1:47" s="5" customFormat="1" ht="30" customHeight="1">
      <c r="A16" s="3">
        <f t="shared" si="13"/>
        <v>11</v>
      </c>
      <c r="B16" s="30">
        <v>2090</v>
      </c>
      <c r="C16" s="3" t="s">
        <v>356</v>
      </c>
      <c r="D16" s="4">
        <v>350000</v>
      </c>
      <c r="E16" s="4">
        <v>350000</v>
      </c>
      <c r="F16" s="4">
        <f t="shared" si="1"/>
        <v>0</v>
      </c>
      <c r="G16" s="4">
        <v>350000</v>
      </c>
      <c r="H16" s="4">
        <v>0</v>
      </c>
      <c r="I16" s="4">
        <v>0</v>
      </c>
      <c r="J16" s="4">
        <v>143099</v>
      </c>
      <c r="K16" s="4">
        <f t="shared" si="2"/>
        <v>143099</v>
      </c>
      <c r="L16" s="4">
        <f t="shared" si="3"/>
        <v>143099</v>
      </c>
      <c r="M16" s="4">
        <f t="shared" si="4"/>
        <v>206901</v>
      </c>
      <c r="N16" s="4"/>
      <c r="O16" s="4">
        <f t="shared" si="5"/>
        <v>0</v>
      </c>
      <c r="P16" s="4">
        <f t="shared" si="6"/>
        <v>206901</v>
      </c>
      <c r="Q16" s="4"/>
      <c r="R16" s="4"/>
      <c r="S16" s="4">
        <f t="shared" si="7"/>
        <v>0</v>
      </c>
      <c r="T16" s="4">
        <f t="shared" si="8"/>
        <v>0</v>
      </c>
      <c r="U16" s="4">
        <f t="shared" si="9"/>
        <v>0</v>
      </c>
      <c r="V16" s="4"/>
      <c r="W16" s="4">
        <f t="shared" si="0"/>
        <v>0</v>
      </c>
      <c r="X16" s="4"/>
      <c r="Y16" s="4"/>
      <c r="Z16" s="4"/>
      <c r="AA16" s="190"/>
      <c r="AB16" s="3" t="s">
        <v>844</v>
      </c>
      <c r="AC16" s="3">
        <v>810000</v>
      </c>
      <c r="AD16" s="4"/>
      <c r="AE16" s="4"/>
      <c r="AF16" s="4"/>
      <c r="AG16" s="4"/>
      <c r="AH16" s="4"/>
      <c r="AI16" s="4"/>
      <c r="AJ16" s="4"/>
      <c r="AK16" s="4"/>
      <c r="AL16" s="4"/>
      <c r="AM16" s="4">
        <f t="shared" si="10"/>
        <v>0</v>
      </c>
      <c r="AN16" s="4">
        <f t="shared" si="11"/>
        <v>0</v>
      </c>
      <c r="AO16" s="4"/>
      <c r="AP16" s="4">
        <f t="shared" si="12"/>
        <v>0</v>
      </c>
      <c r="AQ16" s="4"/>
      <c r="AR16" s="4"/>
      <c r="AS16" s="4"/>
      <c r="AT16" s="4"/>
    </row>
    <row r="17" spans="1:46" s="5" customFormat="1" ht="30" customHeight="1">
      <c r="A17" s="3">
        <f t="shared" si="13"/>
        <v>12</v>
      </c>
      <c r="B17" s="30">
        <v>2091</v>
      </c>
      <c r="C17" s="3" t="s">
        <v>357</v>
      </c>
      <c r="D17" s="4">
        <v>1500000</v>
      </c>
      <c r="E17" s="4">
        <v>1500000</v>
      </c>
      <c r="F17" s="4">
        <f t="shared" si="1"/>
        <v>0</v>
      </c>
      <c r="G17" s="4">
        <v>0</v>
      </c>
      <c r="H17" s="4">
        <v>0</v>
      </c>
      <c r="I17" s="4">
        <v>0</v>
      </c>
      <c r="J17" s="4">
        <v>0</v>
      </c>
      <c r="K17" s="4">
        <f t="shared" si="2"/>
        <v>0</v>
      </c>
      <c r="L17" s="4">
        <f t="shared" si="3"/>
        <v>0</v>
      </c>
      <c r="M17" s="4">
        <f t="shared" si="4"/>
        <v>0</v>
      </c>
      <c r="N17" s="4">
        <v>1200000</v>
      </c>
      <c r="O17" s="4">
        <f t="shared" si="5"/>
        <v>300000</v>
      </c>
      <c r="P17" s="4">
        <f t="shared" si="6"/>
        <v>0</v>
      </c>
      <c r="Q17" s="4"/>
      <c r="R17" s="4"/>
      <c r="S17" s="4">
        <f t="shared" si="7"/>
        <v>0</v>
      </c>
      <c r="T17" s="4">
        <f t="shared" si="8"/>
        <v>0</v>
      </c>
      <c r="U17" s="4">
        <f t="shared" si="9"/>
        <v>1200000</v>
      </c>
      <c r="V17" s="4"/>
      <c r="W17" s="4">
        <f t="shared" si="0"/>
        <v>0</v>
      </c>
      <c r="X17" s="4"/>
      <c r="Y17" s="4"/>
      <c r="Z17" s="4"/>
      <c r="AA17" s="190">
        <v>1200000</v>
      </c>
      <c r="AB17" s="3" t="s">
        <v>771</v>
      </c>
      <c r="AC17" s="3">
        <v>810000</v>
      </c>
      <c r="AD17" s="4"/>
      <c r="AE17" s="4"/>
      <c r="AF17" s="4"/>
      <c r="AG17" s="4">
        <v>80000</v>
      </c>
      <c r="AH17" s="4"/>
      <c r="AI17" s="4"/>
      <c r="AJ17" s="4"/>
      <c r="AK17" s="4"/>
      <c r="AL17" s="4"/>
      <c r="AM17" s="4">
        <f t="shared" si="10"/>
        <v>80000</v>
      </c>
      <c r="AN17" s="4">
        <f t="shared" si="11"/>
        <v>1120000</v>
      </c>
      <c r="AO17" s="4"/>
      <c r="AP17" s="4">
        <f t="shared" si="12"/>
        <v>0</v>
      </c>
      <c r="AQ17" s="4"/>
      <c r="AR17" s="4"/>
      <c r="AS17" s="4"/>
      <c r="AT17" s="190">
        <v>80000</v>
      </c>
    </row>
    <row r="18" spans="1:46" s="5" customFormat="1" ht="30" customHeight="1">
      <c r="A18" s="3">
        <f t="shared" si="13"/>
        <v>13</v>
      </c>
      <c r="B18" s="30">
        <v>2092</v>
      </c>
      <c r="C18" s="3" t="s">
        <v>438</v>
      </c>
      <c r="D18" s="4">
        <v>4050720</v>
      </c>
      <c r="E18" s="4">
        <v>4050720</v>
      </c>
      <c r="F18" s="4">
        <f t="shared" si="1"/>
        <v>0</v>
      </c>
      <c r="G18" s="4">
        <v>4050720</v>
      </c>
      <c r="H18" s="4">
        <v>1703690</v>
      </c>
      <c r="I18" s="4">
        <v>1483152</v>
      </c>
      <c r="J18" s="4">
        <v>118081</v>
      </c>
      <c r="K18" s="4">
        <f t="shared" si="2"/>
        <v>1601233</v>
      </c>
      <c r="L18" s="4">
        <f t="shared" si="3"/>
        <v>3304923</v>
      </c>
      <c r="M18" s="4">
        <f t="shared" si="4"/>
        <v>745797</v>
      </c>
      <c r="N18" s="4"/>
      <c r="O18" s="4">
        <f t="shared" si="5"/>
        <v>0</v>
      </c>
      <c r="P18" s="4">
        <f t="shared" si="6"/>
        <v>745797</v>
      </c>
      <c r="Q18" s="4"/>
      <c r="R18" s="4"/>
      <c r="S18" s="4">
        <f t="shared" si="7"/>
        <v>0</v>
      </c>
      <c r="T18" s="4">
        <f t="shared" si="8"/>
        <v>0</v>
      </c>
      <c r="U18" s="4">
        <f t="shared" si="9"/>
        <v>0</v>
      </c>
      <c r="V18" s="4"/>
      <c r="W18" s="4">
        <f t="shared" si="0"/>
        <v>0</v>
      </c>
      <c r="X18" s="4"/>
      <c r="Y18" s="4"/>
      <c r="Z18" s="4"/>
      <c r="AA18" s="190"/>
      <c r="AB18" s="3" t="s">
        <v>439</v>
      </c>
      <c r="AC18" s="3">
        <v>810000</v>
      </c>
      <c r="AD18" s="4"/>
      <c r="AE18" s="4"/>
      <c r="AF18" s="4"/>
      <c r="AG18" s="4"/>
      <c r="AH18" s="4"/>
      <c r="AI18" s="4"/>
      <c r="AJ18" s="4"/>
      <c r="AK18" s="4"/>
      <c r="AL18" s="4"/>
      <c r="AM18" s="4">
        <f t="shared" si="10"/>
        <v>0</v>
      </c>
      <c r="AN18" s="4">
        <f t="shared" si="11"/>
        <v>0</v>
      </c>
      <c r="AO18" s="4"/>
      <c r="AP18" s="4">
        <f t="shared" si="12"/>
        <v>0</v>
      </c>
      <c r="AQ18" s="4"/>
      <c r="AR18" s="4"/>
      <c r="AS18" s="4"/>
      <c r="AT18" s="4"/>
    </row>
    <row r="19" spans="1:46" s="5" customFormat="1" ht="30" customHeight="1">
      <c r="A19" s="3">
        <f t="shared" si="13"/>
        <v>14</v>
      </c>
      <c r="B19" s="30">
        <v>2135</v>
      </c>
      <c r="C19" s="3" t="s">
        <v>504</v>
      </c>
      <c r="D19" s="4">
        <v>23000000</v>
      </c>
      <c r="E19" s="4">
        <v>23000000</v>
      </c>
      <c r="F19" s="4">
        <f t="shared" si="1"/>
        <v>0</v>
      </c>
      <c r="G19" s="4">
        <v>0</v>
      </c>
      <c r="H19" s="4">
        <v>0</v>
      </c>
      <c r="I19" s="4">
        <v>0</v>
      </c>
      <c r="J19" s="4">
        <v>0</v>
      </c>
      <c r="K19" s="4">
        <f t="shared" si="2"/>
        <v>0</v>
      </c>
      <c r="L19" s="4">
        <f t="shared" si="3"/>
        <v>0</v>
      </c>
      <c r="M19" s="4">
        <f t="shared" si="4"/>
        <v>0</v>
      </c>
      <c r="N19" s="4"/>
      <c r="O19" s="4">
        <f t="shared" si="5"/>
        <v>23000000</v>
      </c>
      <c r="P19" s="4">
        <f t="shared" si="6"/>
        <v>0</v>
      </c>
      <c r="Q19" s="4"/>
      <c r="R19" s="4"/>
      <c r="S19" s="4">
        <f t="shared" si="7"/>
        <v>0</v>
      </c>
      <c r="T19" s="4">
        <f t="shared" si="8"/>
        <v>0</v>
      </c>
      <c r="U19" s="4">
        <f t="shared" si="9"/>
        <v>0</v>
      </c>
      <c r="V19" s="4"/>
      <c r="W19" s="4">
        <f t="shared" si="0"/>
        <v>0</v>
      </c>
      <c r="X19" s="4"/>
      <c r="Y19" s="4"/>
      <c r="Z19" s="4"/>
      <c r="AA19" s="190"/>
      <c r="AB19" s="3" t="s">
        <v>2010</v>
      </c>
      <c r="AC19" s="3">
        <v>810000</v>
      </c>
      <c r="AD19" s="4"/>
      <c r="AE19" s="4"/>
      <c r="AF19" s="4"/>
      <c r="AG19" s="4"/>
      <c r="AH19" s="4"/>
      <c r="AI19" s="4"/>
      <c r="AJ19" s="4"/>
      <c r="AK19" s="4"/>
      <c r="AL19" s="4"/>
      <c r="AM19" s="4">
        <f t="shared" si="10"/>
        <v>0</v>
      </c>
      <c r="AN19" s="4">
        <f t="shared" si="11"/>
        <v>0</v>
      </c>
      <c r="AO19" s="4"/>
      <c r="AP19" s="4">
        <f t="shared" si="12"/>
        <v>0</v>
      </c>
      <c r="AQ19" s="4"/>
      <c r="AR19" s="4"/>
      <c r="AS19" s="4"/>
      <c r="AT19" s="4"/>
    </row>
    <row r="20" spans="1:46" s="5" customFormat="1" ht="45">
      <c r="A20" s="3">
        <f t="shared" si="13"/>
        <v>15</v>
      </c>
      <c r="B20" s="30">
        <v>2159</v>
      </c>
      <c r="C20" s="3" t="s">
        <v>545</v>
      </c>
      <c r="D20" s="4">
        <v>200000</v>
      </c>
      <c r="E20" s="4">
        <v>200000</v>
      </c>
      <c r="F20" s="4">
        <f t="shared" si="1"/>
        <v>0</v>
      </c>
      <c r="G20" s="4">
        <v>200000</v>
      </c>
      <c r="H20" s="4">
        <v>24396</v>
      </c>
      <c r="I20" s="4">
        <v>0</v>
      </c>
      <c r="J20" s="4">
        <v>81338</v>
      </c>
      <c r="K20" s="4">
        <f t="shared" si="2"/>
        <v>81338</v>
      </c>
      <c r="L20" s="4">
        <f t="shared" si="3"/>
        <v>105734</v>
      </c>
      <c r="M20" s="4">
        <f t="shared" si="4"/>
        <v>94266</v>
      </c>
      <c r="N20" s="4"/>
      <c r="O20" s="4">
        <f t="shared" si="5"/>
        <v>0</v>
      </c>
      <c r="P20" s="4">
        <f t="shared" si="6"/>
        <v>94266</v>
      </c>
      <c r="Q20" s="4"/>
      <c r="R20" s="4"/>
      <c r="S20" s="4">
        <f t="shared" si="7"/>
        <v>0</v>
      </c>
      <c r="T20" s="4">
        <f t="shared" si="8"/>
        <v>0</v>
      </c>
      <c r="U20" s="4">
        <f t="shared" si="9"/>
        <v>0</v>
      </c>
      <c r="V20" s="4"/>
      <c r="W20" s="4">
        <f t="shared" si="0"/>
        <v>0</v>
      </c>
      <c r="X20" s="4"/>
      <c r="Y20" s="4"/>
      <c r="Z20" s="4"/>
      <c r="AA20" s="190"/>
      <c r="AB20" s="3" t="s">
        <v>546</v>
      </c>
      <c r="AC20" s="3">
        <v>810000</v>
      </c>
      <c r="AD20" s="4"/>
      <c r="AE20" s="4"/>
      <c r="AF20" s="4"/>
      <c r="AG20" s="4"/>
      <c r="AH20" s="4"/>
      <c r="AI20" s="4"/>
      <c r="AJ20" s="4"/>
      <c r="AK20" s="4"/>
      <c r="AL20" s="4"/>
      <c r="AM20" s="4">
        <f t="shared" si="10"/>
        <v>0</v>
      </c>
      <c r="AN20" s="4">
        <f t="shared" si="11"/>
        <v>0</v>
      </c>
      <c r="AO20" s="4"/>
      <c r="AP20" s="4">
        <f t="shared" si="12"/>
        <v>0</v>
      </c>
      <c r="AQ20" s="4"/>
      <c r="AR20" s="4"/>
      <c r="AS20" s="4"/>
      <c r="AT20" s="4"/>
    </row>
    <row r="21" spans="1:46" s="5" customFormat="1" ht="30" customHeight="1">
      <c r="A21" s="3">
        <f t="shared" si="13"/>
        <v>16</v>
      </c>
      <c r="B21" s="30">
        <v>2160</v>
      </c>
      <c r="C21" s="3" t="s">
        <v>547</v>
      </c>
      <c r="D21" s="4">
        <v>180000</v>
      </c>
      <c r="E21" s="4">
        <v>180000</v>
      </c>
      <c r="F21" s="4">
        <f t="shared" si="1"/>
        <v>0</v>
      </c>
      <c r="G21" s="4">
        <v>0</v>
      </c>
      <c r="H21" s="4">
        <v>0</v>
      </c>
      <c r="I21" s="4">
        <v>0</v>
      </c>
      <c r="J21" s="4">
        <v>0</v>
      </c>
      <c r="K21" s="4">
        <f t="shared" si="2"/>
        <v>0</v>
      </c>
      <c r="L21" s="4">
        <f t="shared" si="3"/>
        <v>0</v>
      </c>
      <c r="M21" s="4">
        <f t="shared" si="4"/>
        <v>0</v>
      </c>
      <c r="N21" s="4">
        <f>180000-180000</f>
        <v>0</v>
      </c>
      <c r="O21" s="4">
        <f t="shared" si="5"/>
        <v>180000</v>
      </c>
      <c r="P21" s="4">
        <f t="shared" si="6"/>
        <v>0</v>
      </c>
      <c r="Q21" s="4"/>
      <c r="R21" s="4"/>
      <c r="S21" s="4">
        <f t="shared" si="7"/>
        <v>0</v>
      </c>
      <c r="T21" s="4">
        <f t="shared" si="8"/>
        <v>0</v>
      </c>
      <c r="U21" s="4">
        <f t="shared" si="9"/>
        <v>0</v>
      </c>
      <c r="V21" s="4"/>
      <c r="W21" s="4">
        <f t="shared" si="0"/>
        <v>0</v>
      </c>
      <c r="X21" s="4"/>
      <c r="Y21" s="4"/>
      <c r="Z21" s="4"/>
      <c r="AA21" s="190"/>
      <c r="AB21" s="3" t="s">
        <v>548</v>
      </c>
      <c r="AC21" s="3">
        <v>810000</v>
      </c>
      <c r="AD21" s="4"/>
      <c r="AE21" s="4"/>
      <c r="AF21" s="4"/>
      <c r="AG21" s="4"/>
      <c r="AH21" s="4"/>
      <c r="AI21" s="4"/>
      <c r="AJ21" s="4"/>
      <c r="AK21" s="4"/>
      <c r="AL21" s="4"/>
      <c r="AM21" s="4">
        <f t="shared" si="10"/>
        <v>0</v>
      </c>
      <c r="AN21" s="4">
        <f t="shared" si="11"/>
        <v>0</v>
      </c>
      <c r="AO21" s="4"/>
      <c r="AP21" s="4">
        <f t="shared" si="12"/>
        <v>0</v>
      </c>
      <c r="AQ21" s="4"/>
      <c r="AR21" s="4"/>
      <c r="AS21" s="4"/>
      <c r="AT21" s="4"/>
    </row>
    <row r="22" spans="1:46" s="5" customFormat="1" ht="30" customHeight="1">
      <c r="A22" s="3">
        <f t="shared" si="13"/>
        <v>17</v>
      </c>
      <c r="B22" s="30">
        <v>2161</v>
      </c>
      <c r="C22" s="3" t="s">
        <v>2283</v>
      </c>
      <c r="D22" s="4">
        <v>180000</v>
      </c>
      <c r="E22" s="4">
        <v>180000</v>
      </c>
      <c r="F22" s="4">
        <f t="shared" si="1"/>
        <v>0</v>
      </c>
      <c r="G22" s="4">
        <v>180000</v>
      </c>
      <c r="H22" s="4">
        <v>7419</v>
      </c>
      <c r="I22" s="4">
        <v>0</v>
      </c>
      <c r="J22" s="4">
        <v>119726</v>
      </c>
      <c r="K22" s="4">
        <f t="shared" si="2"/>
        <v>119726</v>
      </c>
      <c r="L22" s="4">
        <f t="shared" si="3"/>
        <v>127145</v>
      </c>
      <c r="M22" s="4">
        <f t="shared" si="4"/>
        <v>52855</v>
      </c>
      <c r="N22" s="4"/>
      <c r="O22" s="4">
        <f t="shared" si="5"/>
        <v>0</v>
      </c>
      <c r="P22" s="4">
        <f t="shared" si="6"/>
        <v>52855</v>
      </c>
      <c r="Q22" s="4"/>
      <c r="R22" s="4"/>
      <c r="S22" s="4">
        <f t="shared" si="7"/>
        <v>0</v>
      </c>
      <c r="T22" s="4">
        <f t="shared" si="8"/>
        <v>0</v>
      </c>
      <c r="U22" s="4">
        <f t="shared" si="9"/>
        <v>0</v>
      </c>
      <c r="V22" s="4"/>
      <c r="W22" s="4">
        <f t="shared" si="0"/>
        <v>0</v>
      </c>
      <c r="X22" s="4"/>
      <c r="Y22" s="4"/>
      <c r="Z22" s="4"/>
      <c r="AA22" s="190"/>
      <c r="AB22" s="3" t="s">
        <v>605</v>
      </c>
      <c r="AC22" s="3">
        <v>810000</v>
      </c>
      <c r="AD22" s="4"/>
      <c r="AE22" s="4"/>
      <c r="AF22" s="4"/>
      <c r="AG22" s="4"/>
      <c r="AH22" s="4"/>
      <c r="AI22" s="4"/>
      <c r="AJ22" s="4"/>
      <c r="AK22" s="4"/>
      <c r="AL22" s="4"/>
      <c r="AM22" s="4">
        <f t="shared" si="10"/>
        <v>0</v>
      </c>
      <c r="AN22" s="4">
        <f t="shared" si="11"/>
        <v>0</v>
      </c>
      <c r="AO22" s="4"/>
      <c r="AP22" s="4">
        <f t="shared" si="12"/>
        <v>0</v>
      </c>
      <c r="AQ22" s="4"/>
      <c r="AR22" s="4"/>
      <c r="AS22" s="4"/>
      <c r="AT22" s="4"/>
    </row>
    <row r="23" spans="1:46" s="5" customFormat="1" ht="30" customHeight="1">
      <c r="A23" s="3">
        <f t="shared" si="13"/>
        <v>18</v>
      </c>
      <c r="B23" s="30">
        <v>2179</v>
      </c>
      <c r="C23" s="3" t="s">
        <v>690</v>
      </c>
      <c r="D23" s="4">
        <v>460000</v>
      </c>
      <c r="E23" s="4">
        <v>460000</v>
      </c>
      <c r="F23" s="4">
        <f t="shared" si="1"/>
        <v>0</v>
      </c>
      <c r="G23" s="4">
        <v>460000</v>
      </c>
      <c r="H23" s="4">
        <v>0</v>
      </c>
      <c r="I23" s="4">
        <v>0</v>
      </c>
      <c r="J23" s="4">
        <v>250178</v>
      </c>
      <c r="K23" s="4">
        <f t="shared" si="2"/>
        <v>250178</v>
      </c>
      <c r="L23" s="4">
        <f t="shared" si="3"/>
        <v>250178</v>
      </c>
      <c r="M23" s="4">
        <f t="shared" si="4"/>
        <v>209822</v>
      </c>
      <c r="N23" s="4"/>
      <c r="O23" s="4">
        <f t="shared" si="5"/>
        <v>0</v>
      </c>
      <c r="P23" s="4">
        <f t="shared" si="6"/>
        <v>209822</v>
      </c>
      <c r="Q23" s="4"/>
      <c r="R23" s="4"/>
      <c r="S23" s="4">
        <f t="shared" si="7"/>
        <v>0</v>
      </c>
      <c r="T23" s="4">
        <f t="shared" si="8"/>
        <v>0</v>
      </c>
      <c r="U23" s="4">
        <f t="shared" si="9"/>
        <v>0</v>
      </c>
      <c r="V23" s="4"/>
      <c r="W23" s="4">
        <f t="shared" si="0"/>
        <v>0</v>
      </c>
      <c r="X23" s="4"/>
      <c r="Y23" s="4"/>
      <c r="Z23" s="4"/>
      <c r="AA23" s="190"/>
      <c r="AB23" s="3" t="s">
        <v>691</v>
      </c>
      <c r="AC23" s="3">
        <v>810000</v>
      </c>
      <c r="AD23" s="4"/>
      <c r="AE23" s="4"/>
      <c r="AF23" s="4"/>
      <c r="AG23" s="4"/>
      <c r="AH23" s="4"/>
      <c r="AI23" s="4"/>
      <c r="AJ23" s="4"/>
      <c r="AK23" s="4"/>
      <c r="AL23" s="4"/>
      <c r="AM23" s="4">
        <f t="shared" si="10"/>
        <v>0</v>
      </c>
      <c r="AN23" s="4">
        <f t="shared" si="11"/>
        <v>0</v>
      </c>
      <c r="AO23" s="4"/>
      <c r="AP23" s="4">
        <f t="shared" si="12"/>
        <v>0</v>
      </c>
      <c r="AQ23" s="4"/>
      <c r="AR23" s="4"/>
      <c r="AS23" s="4"/>
      <c r="AT23" s="4"/>
    </row>
    <row r="24" spans="1:46" s="5" customFormat="1" ht="60">
      <c r="A24" s="3">
        <f>A23+1</f>
        <v>19</v>
      </c>
      <c r="B24" s="30">
        <v>2217</v>
      </c>
      <c r="C24" s="3" t="s">
        <v>2011</v>
      </c>
      <c r="D24" s="4">
        <v>1210000</v>
      </c>
      <c r="E24" s="4"/>
      <c r="F24" s="4">
        <f>D24-E24</f>
        <v>1210000</v>
      </c>
      <c r="G24" s="4">
        <v>0</v>
      </c>
      <c r="H24" s="4">
        <v>0</v>
      </c>
      <c r="I24" s="4">
        <v>0</v>
      </c>
      <c r="J24" s="4">
        <v>0</v>
      </c>
      <c r="K24" s="4">
        <f>I24+J24</f>
        <v>0</v>
      </c>
      <c r="L24" s="4">
        <f>H24+K24</f>
        <v>0</v>
      </c>
      <c r="M24" s="4">
        <f>P24+S24</f>
        <v>0</v>
      </c>
      <c r="N24" s="4">
        <v>1210000</v>
      </c>
      <c r="O24" s="4">
        <f>D24-M24-N24-L24</f>
        <v>0</v>
      </c>
      <c r="P24" s="4">
        <f>G24-L24</f>
        <v>0</v>
      </c>
      <c r="Q24" s="4"/>
      <c r="R24" s="4"/>
      <c r="S24" s="4">
        <f>SUM(Q24:R24)</f>
        <v>0</v>
      </c>
      <c r="T24" s="4">
        <f>P24-M24+S24</f>
        <v>0</v>
      </c>
      <c r="U24" s="4">
        <f>N24-T24</f>
        <v>1210000</v>
      </c>
      <c r="V24" s="4"/>
      <c r="W24" s="4">
        <f>U24-V24-Z24-AA24</f>
        <v>950000</v>
      </c>
      <c r="X24" s="4"/>
      <c r="Y24" s="4"/>
      <c r="Z24" s="4"/>
      <c r="AA24" s="4">
        <f>2*26000+3*26000+5*26000</f>
        <v>260000</v>
      </c>
      <c r="AB24" s="3" t="s">
        <v>2012</v>
      </c>
      <c r="AC24" s="3">
        <v>810000</v>
      </c>
      <c r="AD24" s="4"/>
      <c r="AE24" s="4">
        <v>200000</v>
      </c>
      <c r="AF24" s="4"/>
      <c r="AG24" s="4"/>
      <c r="AH24" s="4">
        <v>750000</v>
      </c>
      <c r="AI24" s="4"/>
      <c r="AJ24" s="4"/>
      <c r="AK24" s="4"/>
      <c r="AL24" s="4"/>
      <c r="AM24" s="4">
        <f t="shared" si="10"/>
        <v>950000</v>
      </c>
      <c r="AN24" s="4">
        <f t="shared" si="11"/>
        <v>260000</v>
      </c>
      <c r="AO24" s="4"/>
      <c r="AP24" s="4">
        <f t="shared" si="12"/>
        <v>950000</v>
      </c>
      <c r="AQ24" s="4"/>
      <c r="AR24" s="4"/>
      <c r="AS24" s="4"/>
      <c r="AT24" s="4"/>
    </row>
    <row r="25" spans="1:46" s="5" customFormat="1" ht="30" customHeight="1">
      <c r="A25" s="3">
        <f>A24+1</f>
        <v>20</v>
      </c>
      <c r="B25" s="30">
        <v>2218</v>
      </c>
      <c r="C25" s="3" t="s">
        <v>692</v>
      </c>
      <c r="D25" s="4">
        <v>2300000</v>
      </c>
      <c r="E25" s="4"/>
      <c r="F25" s="4">
        <f>D25-E25</f>
        <v>2300000</v>
      </c>
      <c r="G25" s="4">
        <v>0</v>
      </c>
      <c r="H25" s="4">
        <v>0</v>
      </c>
      <c r="I25" s="4">
        <v>0</v>
      </c>
      <c r="J25" s="4">
        <v>0</v>
      </c>
      <c r="K25" s="4">
        <f>I25+J25</f>
        <v>0</v>
      </c>
      <c r="L25" s="4">
        <f>H25+K25</f>
        <v>0</v>
      </c>
      <c r="M25" s="4">
        <f>P25+S25</f>
        <v>0</v>
      </c>
      <c r="N25" s="4">
        <f>2300000-300000-500000</f>
        <v>1500000</v>
      </c>
      <c r="O25" s="4">
        <f>D25-M25-N25-L25</f>
        <v>800000</v>
      </c>
      <c r="P25" s="4">
        <f>G25-L25</f>
        <v>0</v>
      </c>
      <c r="Q25" s="4"/>
      <c r="R25" s="4"/>
      <c r="S25" s="4">
        <f>SUM(Q25:R25)</f>
        <v>0</v>
      </c>
      <c r="T25" s="4">
        <f>P25-M25+S25</f>
        <v>0</v>
      </c>
      <c r="U25" s="4">
        <f>N25-T25</f>
        <v>1500000</v>
      </c>
      <c r="V25" s="4"/>
      <c r="W25" s="4">
        <f>U25-V25-Z25-AA25</f>
        <v>900000</v>
      </c>
      <c r="X25" s="4"/>
      <c r="Y25" s="4"/>
      <c r="Z25" s="4"/>
      <c r="AA25" s="4">
        <v>600000</v>
      </c>
      <c r="AB25" s="3" t="s">
        <v>770</v>
      </c>
      <c r="AC25" s="3">
        <v>810000</v>
      </c>
      <c r="AD25" s="4"/>
      <c r="AE25" s="4">
        <v>300000</v>
      </c>
      <c r="AF25" s="4"/>
      <c r="AG25" s="4">
        <v>600000</v>
      </c>
      <c r="AH25" s="4">
        <v>600000</v>
      </c>
      <c r="AI25" s="4"/>
      <c r="AJ25" s="4"/>
      <c r="AK25" s="4"/>
      <c r="AL25" s="4"/>
      <c r="AM25" s="4">
        <f t="shared" si="10"/>
        <v>1500000</v>
      </c>
      <c r="AN25" s="4">
        <f t="shared" si="11"/>
        <v>0</v>
      </c>
      <c r="AO25" s="4"/>
      <c r="AP25" s="4">
        <f t="shared" si="12"/>
        <v>900000</v>
      </c>
      <c r="AQ25" s="4"/>
      <c r="AR25" s="4"/>
      <c r="AS25" s="4"/>
      <c r="AT25" s="4">
        <v>600000</v>
      </c>
    </row>
    <row r="26" spans="1:46" s="5" customFormat="1" ht="30" customHeight="1">
      <c r="A26" s="3">
        <f>A25+1</f>
        <v>21</v>
      </c>
      <c r="B26" s="30">
        <v>2219</v>
      </c>
      <c r="C26" s="3" t="s">
        <v>693</v>
      </c>
      <c r="D26" s="4">
        <v>750000</v>
      </c>
      <c r="E26" s="4"/>
      <c r="F26" s="4">
        <f>D26-E26</f>
        <v>750000</v>
      </c>
      <c r="G26" s="4">
        <v>0</v>
      </c>
      <c r="H26" s="4">
        <v>0</v>
      </c>
      <c r="I26" s="4">
        <v>0</v>
      </c>
      <c r="J26" s="4">
        <v>0</v>
      </c>
      <c r="K26" s="4">
        <f>I26+J26</f>
        <v>0</v>
      </c>
      <c r="L26" s="4">
        <f>H26+K26</f>
        <v>0</v>
      </c>
      <c r="M26" s="4">
        <f>P26+S26</f>
        <v>0</v>
      </c>
      <c r="N26" s="4">
        <f>750000-70000</f>
        <v>680000</v>
      </c>
      <c r="O26" s="4">
        <f>D26-M26-N26-L26</f>
        <v>70000</v>
      </c>
      <c r="P26" s="4">
        <f>G26-L26</f>
        <v>0</v>
      </c>
      <c r="Q26" s="4"/>
      <c r="R26" s="4"/>
      <c r="S26" s="4">
        <f>SUM(Q26:R26)</f>
        <v>0</v>
      </c>
      <c r="T26" s="4">
        <f>P26-M26+S26</f>
        <v>0</v>
      </c>
      <c r="U26" s="4">
        <f>N26-T26</f>
        <v>680000</v>
      </c>
      <c r="V26" s="4"/>
      <c r="W26" s="4">
        <f>U26-V26-Z26-AA26</f>
        <v>680000</v>
      </c>
      <c r="X26" s="4"/>
      <c r="Y26" s="4"/>
      <c r="Z26" s="4"/>
      <c r="AA26" s="4"/>
      <c r="AB26" s="3" t="s">
        <v>2013</v>
      </c>
      <c r="AC26" s="3">
        <v>810000</v>
      </c>
      <c r="AD26" s="4"/>
      <c r="AE26" s="4"/>
      <c r="AF26" s="4"/>
      <c r="AG26" s="4"/>
      <c r="AH26" s="4">
        <v>680000</v>
      </c>
      <c r="AI26" s="4"/>
      <c r="AJ26" s="4"/>
      <c r="AK26" s="4"/>
      <c r="AL26" s="4"/>
      <c r="AM26" s="4">
        <f t="shared" si="10"/>
        <v>680000</v>
      </c>
      <c r="AN26" s="4">
        <f t="shared" si="11"/>
        <v>0</v>
      </c>
      <c r="AO26" s="4"/>
      <c r="AP26" s="4">
        <f t="shared" si="12"/>
        <v>680000</v>
      </c>
      <c r="AQ26" s="4"/>
      <c r="AR26" s="4"/>
      <c r="AS26" s="4"/>
      <c r="AT26" s="4"/>
    </row>
    <row r="27" spans="1:46" s="370" customFormat="1" ht="30" customHeight="1">
      <c r="A27" s="302">
        <f>A26</f>
        <v>21</v>
      </c>
      <c r="B27" s="302"/>
      <c r="C27" s="32" t="s">
        <v>641</v>
      </c>
      <c r="D27" s="369">
        <f t="shared" ref="D27:AT27" si="14">SUM(D6:D26)</f>
        <v>44987720</v>
      </c>
      <c r="E27" s="369">
        <f t="shared" si="14"/>
        <v>38052720</v>
      </c>
      <c r="F27" s="369">
        <f t="shared" si="14"/>
        <v>6935000</v>
      </c>
      <c r="G27" s="369">
        <f t="shared" si="14"/>
        <v>12832720</v>
      </c>
      <c r="H27" s="369">
        <f t="shared" si="14"/>
        <v>7611002</v>
      </c>
      <c r="I27" s="369">
        <f t="shared" si="14"/>
        <v>1483152</v>
      </c>
      <c r="J27" s="369">
        <f t="shared" si="14"/>
        <v>1293005</v>
      </c>
      <c r="K27" s="369">
        <f t="shared" si="14"/>
        <v>2776157</v>
      </c>
      <c r="L27" s="369">
        <f t="shared" si="14"/>
        <v>10387159</v>
      </c>
      <c r="M27" s="369">
        <f t="shared" si="14"/>
        <v>2445561</v>
      </c>
      <c r="N27" s="369">
        <f t="shared" si="14"/>
        <v>6320000</v>
      </c>
      <c r="O27" s="369">
        <f t="shared" si="14"/>
        <v>25835000</v>
      </c>
      <c r="P27" s="369">
        <f t="shared" si="14"/>
        <v>2445561</v>
      </c>
      <c r="Q27" s="369">
        <f t="shared" si="14"/>
        <v>0</v>
      </c>
      <c r="R27" s="369">
        <f t="shared" si="14"/>
        <v>0</v>
      </c>
      <c r="S27" s="369">
        <f t="shared" si="14"/>
        <v>0</v>
      </c>
      <c r="T27" s="369">
        <f t="shared" si="14"/>
        <v>0</v>
      </c>
      <c r="U27" s="369">
        <f t="shared" si="14"/>
        <v>6320000</v>
      </c>
      <c r="V27" s="369">
        <f t="shared" si="14"/>
        <v>0</v>
      </c>
      <c r="W27" s="369">
        <f t="shared" si="14"/>
        <v>3496000</v>
      </c>
      <c r="X27" s="369">
        <f t="shared" si="14"/>
        <v>0</v>
      </c>
      <c r="Y27" s="369">
        <f t="shared" si="14"/>
        <v>0</v>
      </c>
      <c r="Z27" s="369">
        <f t="shared" si="14"/>
        <v>0</v>
      </c>
      <c r="AA27" s="369">
        <f t="shared" si="14"/>
        <v>2824000</v>
      </c>
      <c r="AB27" s="369">
        <f t="shared" si="14"/>
        <v>0</v>
      </c>
      <c r="AC27" s="369">
        <f t="shared" si="14"/>
        <v>17010000</v>
      </c>
      <c r="AD27" s="369">
        <f t="shared" si="14"/>
        <v>0</v>
      </c>
      <c r="AE27" s="369">
        <f>SUM(AE6:AE26)</f>
        <v>500000</v>
      </c>
      <c r="AF27" s="369">
        <f>SUM(AF6:AF26)</f>
        <v>0</v>
      </c>
      <c r="AG27" s="369">
        <f t="shared" si="14"/>
        <v>1080000</v>
      </c>
      <c r="AH27" s="369">
        <f>SUM(AH6:AH26)</f>
        <v>2680000</v>
      </c>
      <c r="AI27" s="369">
        <f>SUM(AI6:AI26)</f>
        <v>0</v>
      </c>
      <c r="AJ27" s="369">
        <f>SUM(AJ6:AJ26)</f>
        <v>0</v>
      </c>
      <c r="AK27" s="369">
        <f>SUM(AK6:AK26)</f>
        <v>16000</v>
      </c>
      <c r="AL27" s="369">
        <f>SUM(AL6:AL26)</f>
        <v>300000</v>
      </c>
      <c r="AM27" s="369">
        <f t="shared" si="14"/>
        <v>4576000</v>
      </c>
      <c r="AN27" s="369">
        <f t="shared" si="14"/>
        <v>1744000</v>
      </c>
      <c r="AO27" s="369">
        <f t="shared" si="14"/>
        <v>0</v>
      </c>
      <c r="AP27" s="369">
        <f t="shared" si="14"/>
        <v>3496000</v>
      </c>
      <c r="AQ27" s="369">
        <f t="shared" si="14"/>
        <v>0</v>
      </c>
      <c r="AR27" s="369">
        <f t="shared" si="14"/>
        <v>0</v>
      </c>
      <c r="AS27" s="369">
        <f t="shared" si="14"/>
        <v>0</v>
      </c>
      <c r="AT27" s="369">
        <f t="shared" si="14"/>
        <v>1080000</v>
      </c>
    </row>
    <row r="28" spans="1:46" hidden="1">
      <c r="L28" s="14">
        <f>K27+H27</f>
        <v>10387159</v>
      </c>
      <c r="P28" s="14">
        <f>G27-L28</f>
        <v>2445561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O4:AT4"/>
    <mergeCell ref="T4:U4"/>
    <mergeCell ref="V4:AB4"/>
  </mergeCells>
  <conditionalFormatting sqref="A1:W3 Z1:AC1 Z2:AA3 AC2:AC3 AD1:AD3 AD28:AD1048576 AG28:AG1048576 AG1:AG3 AM1:XFD3 AM28:AO1048576">
    <cfRule type="cellIs" dxfId="59" priority="12" operator="equal">
      <formula>0</formula>
    </cfRule>
  </conditionalFormatting>
  <conditionalFormatting sqref="AB5">
    <cfRule type="cellIs" dxfId="58" priority="11" operator="equal">
      <formula>0</formula>
    </cfRule>
  </conditionalFormatting>
  <conditionalFormatting sqref="X1:X3">
    <cfRule type="cellIs" dxfId="57" priority="10" operator="equal">
      <formula>0</formula>
    </cfRule>
  </conditionalFormatting>
  <conditionalFormatting sqref="AB2:AB3">
    <cfRule type="cellIs" dxfId="56" priority="9" operator="equal">
      <formula>0</formula>
    </cfRule>
  </conditionalFormatting>
  <conditionalFormatting sqref="Y1:Y3">
    <cfRule type="cellIs" dxfId="55" priority="8" operator="equal">
      <formula>0</formula>
    </cfRule>
  </conditionalFormatting>
  <conditionalFormatting sqref="AE28:AE1048576 AE1:AE3">
    <cfRule type="cellIs" dxfId="54" priority="7" operator="equal">
      <formula>0</formula>
    </cfRule>
  </conditionalFormatting>
  <conditionalFormatting sqref="AF28:AF1048576 AF1:AF3">
    <cfRule type="cellIs" dxfId="53" priority="6" operator="equal">
      <formula>0</formula>
    </cfRule>
  </conditionalFormatting>
  <conditionalFormatting sqref="AL28:AL1048576 AL1:AL3">
    <cfRule type="cellIs" dxfId="52" priority="5" operator="equal">
      <formula>0</formula>
    </cfRule>
  </conditionalFormatting>
  <conditionalFormatting sqref="AH28:AH1048576 AH1:AH3">
    <cfRule type="cellIs" dxfId="51" priority="4" operator="equal">
      <formula>0</formula>
    </cfRule>
  </conditionalFormatting>
  <conditionalFormatting sqref="AI28:AI1048576 AI1:AI3">
    <cfRule type="cellIs" dxfId="50" priority="3" operator="equal">
      <formula>0</formula>
    </cfRule>
  </conditionalFormatting>
  <conditionalFormatting sqref="AJ28:AJ1048576 AJ1:AJ3">
    <cfRule type="cellIs" dxfId="49" priority="2" operator="equal">
      <formula>0</formula>
    </cfRule>
  </conditionalFormatting>
  <conditionalFormatting sqref="AK28:AK1048576 AK1:AK3">
    <cfRule type="cellIs" dxfId="48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AT30"/>
  <sheetViews>
    <sheetView showZeros="0" rightToLeft="1" zoomScaleNormal="100" workbookViewId="0">
      <pane xSplit="3" ySplit="5" topLeftCell="AG9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9.140625" defaultRowHeight="15"/>
  <cols>
    <col min="1" max="1" width="3.42578125" style="28" customWidth="1"/>
    <col min="2" max="2" width="4.7109375" style="12" customWidth="1"/>
    <col min="3" max="3" width="24.5703125" style="12" customWidth="1"/>
    <col min="4" max="20" width="9.7109375" style="14" hidden="1" customWidth="1"/>
    <col min="21" max="23" width="12.140625" style="12" customWidth="1"/>
    <col min="24" max="26" width="8.7109375" style="12" hidden="1" customWidth="1"/>
    <col min="27" max="27" width="12.140625" style="12" customWidth="1"/>
    <col min="28" max="28" width="43" style="28" hidden="1" customWidth="1"/>
    <col min="29" max="29" width="7.85546875" style="12" hidden="1" customWidth="1"/>
    <col min="30" max="38" width="11.7109375" style="12" hidden="1" customWidth="1"/>
    <col min="39" max="42" width="12.140625" style="12" customWidth="1"/>
    <col min="43" max="45" width="11.7109375" style="12" hidden="1" customWidth="1"/>
    <col min="46" max="46" width="12.140625" style="12" customWidth="1"/>
    <col min="47" max="16384" width="9.140625" style="12"/>
  </cols>
  <sheetData>
    <row r="1" spans="1:46" s="580" customFormat="1" ht="18.75">
      <c r="A1" s="578"/>
      <c r="B1" s="578"/>
      <c r="C1" s="578"/>
      <c r="D1" s="579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</row>
    <row r="2" spans="1:46" s="580" customFormat="1" ht="18.75">
      <c r="A2" s="578" t="s">
        <v>2284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  <c r="U2" s="578"/>
      <c r="V2" s="578"/>
      <c r="W2" s="578"/>
      <c r="X2" s="578"/>
      <c r="Y2" s="578"/>
      <c r="Z2" s="578"/>
      <c r="AA2" s="578"/>
      <c r="AB2" s="578"/>
      <c r="AC2" s="578"/>
    </row>
    <row r="3" spans="1:46" s="580" customFormat="1" ht="18.75">
      <c r="A3" s="578"/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</row>
    <row r="4" spans="1:46" ht="25.15" customHeight="1">
      <c r="A4" s="691"/>
      <c r="B4" s="35"/>
      <c r="C4" s="35"/>
      <c r="T4" s="876" t="s">
        <v>256</v>
      </c>
      <c r="U4" s="877"/>
      <c r="V4" s="880" t="s">
        <v>88</v>
      </c>
      <c r="W4" s="880"/>
      <c r="X4" s="880"/>
      <c r="Y4" s="880"/>
      <c r="Z4" s="880"/>
      <c r="AA4" s="880"/>
      <c r="AB4" s="880"/>
      <c r="AC4" s="18"/>
      <c r="AD4" s="851" t="s">
        <v>246</v>
      </c>
      <c r="AE4" s="575"/>
      <c r="AF4" s="575"/>
      <c r="AG4" s="575"/>
      <c r="AH4" s="575"/>
      <c r="AI4" s="575"/>
      <c r="AJ4" s="575"/>
      <c r="AK4" s="575"/>
      <c r="AL4" s="575"/>
      <c r="AM4" s="566" t="s">
        <v>246</v>
      </c>
      <c r="AN4" s="576"/>
      <c r="AO4" s="876" t="s">
        <v>2269</v>
      </c>
      <c r="AP4" s="877"/>
      <c r="AQ4" s="877"/>
      <c r="AR4" s="877"/>
      <c r="AS4" s="877"/>
      <c r="AT4" s="878"/>
    </row>
    <row r="5" spans="1:46" s="24" customFormat="1" ht="86.25" customHeight="1">
      <c r="A5" s="16" t="s">
        <v>0</v>
      </c>
      <c r="B5" s="16" t="s">
        <v>587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9</v>
      </c>
      <c r="J5" s="16" t="s">
        <v>153</v>
      </c>
      <c r="K5" s="16" t="s">
        <v>10</v>
      </c>
      <c r="L5" s="16" t="s">
        <v>11</v>
      </c>
      <c r="M5" s="9" t="s">
        <v>618</v>
      </c>
      <c r="N5" s="16" t="s">
        <v>619</v>
      </c>
      <c r="O5" s="16" t="s">
        <v>620</v>
      </c>
      <c r="P5" s="16" t="s">
        <v>12</v>
      </c>
      <c r="Q5" s="16" t="s">
        <v>621</v>
      </c>
      <c r="R5" s="16" t="s">
        <v>622</v>
      </c>
      <c r="S5" s="16" t="s">
        <v>623</v>
      </c>
      <c r="T5" s="16" t="s">
        <v>624</v>
      </c>
      <c r="U5" s="16" t="s">
        <v>625</v>
      </c>
      <c r="V5" s="16" t="s">
        <v>13</v>
      </c>
      <c r="W5" s="16" t="s">
        <v>14</v>
      </c>
      <c r="X5" s="16" t="s">
        <v>15</v>
      </c>
      <c r="Y5" s="16" t="s">
        <v>265</v>
      </c>
      <c r="Z5" s="16" t="s">
        <v>749</v>
      </c>
      <c r="AA5" s="16" t="s">
        <v>84</v>
      </c>
      <c r="AB5" s="16" t="s">
        <v>304</v>
      </c>
      <c r="AC5" s="16" t="s">
        <v>16</v>
      </c>
      <c r="AD5" s="9" t="s">
        <v>1911</v>
      </c>
      <c r="AE5" s="9" t="s">
        <v>1912</v>
      </c>
      <c r="AF5" s="9" t="s">
        <v>247</v>
      </c>
      <c r="AG5" s="9" t="s">
        <v>248</v>
      </c>
      <c r="AH5" s="9" t="s">
        <v>1913</v>
      </c>
      <c r="AI5" s="9" t="s">
        <v>1914</v>
      </c>
      <c r="AJ5" s="9" t="s">
        <v>1915</v>
      </c>
      <c r="AK5" s="9" t="s">
        <v>1916</v>
      </c>
      <c r="AL5" s="9" t="s">
        <v>1917</v>
      </c>
      <c r="AM5" s="20" t="s">
        <v>2037</v>
      </c>
      <c r="AN5" s="20" t="s">
        <v>852</v>
      </c>
      <c r="AO5" s="9" t="s">
        <v>13</v>
      </c>
      <c r="AP5" s="9" t="s">
        <v>14</v>
      </c>
      <c r="AQ5" s="9" t="s">
        <v>15</v>
      </c>
      <c r="AR5" s="9" t="s">
        <v>265</v>
      </c>
      <c r="AS5" s="9" t="s">
        <v>749</v>
      </c>
      <c r="AT5" s="9" t="s">
        <v>84</v>
      </c>
    </row>
    <row r="6" spans="1:46" s="5" customFormat="1" ht="30" customHeight="1">
      <c r="A6" s="30">
        <v>1</v>
      </c>
      <c r="B6" s="3">
        <v>1486</v>
      </c>
      <c r="C6" s="3" t="s">
        <v>492</v>
      </c>
      <c r="D6" s="4">
        <v>9110365</v>
      </c>
      <c r="E6" s="4">
        <v>9110365</v>
      </c>
      <c r="F6" s="4">
        <f t="shared" ref="F6:F14" si="0">D6-E6</f>
        <v>0</v>
      </c>
      <c r="G6" s="4">
        <v>5790365</v>
      </c>
      <c r="H6" s="4">
        <v>5254148</v>
      </c>
      <c r="I6" s="4">
        <v>0</v>
      </c>
      <c r="J6" s="4">
        <v>63022</v>
      </c>
      <c r="K6" s="4">
        <f t="shared" ref="K6:K14" si="1">I6+J6</f>
        <v>63022</v>
      </c>
      <c r="L6" s="4">
        <f t="shared" ref="L6:L14" si="2">H6+K6</f>
        <v>5317170</v>
      </c>
      <c r="M6" s="4">
        <f t="shared" ref="M6:M14" si="3">P6+S6</f>
        <v>473195</v>
      </c>
      <c r="N6" s="4">
        <f>1500000-400000</f>
        <v>1100000</v>
      </c>
      <c r="O6" s="4">
        <f t="shared" ref="O6:O14" si="4">D6-L6-M6-N6</f>
        <v>2220000</v>
      </c>
      <c r="P6" s="4">
        <f t="shared" ref="P6:P14" si="5">G6-L6</f>
        <v>473195</v>
      </c>
      <c r="Q6" s="4"/>
      <c r="R6" s="4"/>
      <c r="S6" s="4">
        <f t="shared" ref="S6:S14" si="6">SUM(Q6:R6)</f>
        <v>0</v>
      </c>
      <c r="T6" s="4">
        <f t="shared" ref="T6:T14" si="7">P6-M6+S6</f>
        <v>0</v>
      </c>
      <c r="U6" s="4">
        <f t="shared" ref="U6:U14" si="8">N6-T6</f>
        <v>1100000</v>
      </c>
      <c r="V6" s="4"/>
      <c r="W6" s="4">
        <f t="shared" ref="W6:W14" si="9">U6-V6-Z6-AA6</f>
        <v>1100000</v>
      </c>
      <c r="X6" s="4"/>
      <c r="Y6" s="4"/>
      <c r="Z6" s="4"/>
      <c r="AA6" s="3"/>
      <c r="AB6" s="3" t="s">
        <v>358</v>
      </c>
      <c r="AC6" s="3">
        <v>930000</v>
      </c>
      <c r="AD6" s="3"/>
      <c r="AE6" s="3"/>
      <c r="AF6" s="3"/>
      <c r="AG6" s="3"/>
      <c r="AH6" s="4">
        <v>200000</v>
      </c>
      <c r="AI6" s="4"/>
      <c r="AJ6" s="4">
        <v>500000</v>
      </c>
      <c r="AK6" s="4">
        <v>200000</v>
      </c>
      <c r="AL6" s="4">
        <v>200000</v>
      </c>
      <c r="AM6" s="4">
        <f>SUM(AD6:AL6)</f>
        <v>1100000</v>
      </c>
      <c r="AN6" s="4">
        <f>U6-AM6</f>
        <v>0</v>
      </c>
      <c r="AO6" s="3"/>
      <c r="AP6" s="4">
        <f>AM6-AQ6-AR6-AS6-AT6-AO6</f>
        <v>1100000</v>
      </c>
      <c r="AQ6" s="3"/>
      <c r="AR6" s="3"/>
      <c r="AS6" s="3"/>
      <c r="AT6" s="3"/>
    </row>
    <row r="7" spans="1:46" s="5" customFormat="1" ht="30" customHeight="1">
      <c r="A7" s="30">
        <f>A6+1</f>
        <v>2</v>
      </c>
      <c r="B7" s="3">
        <v>1582</v>
      </c>
      <c r="C7" s="3" t="s">
        <v>54</v>
      </c>
      <c r="D7" s="4">
        <f>1774000+281000</f>
        <v>2055000</v>
      </c>
      <c r="E7" s="4">
        <v>1774000</v>
      </c>
      <c r="F7" s="4">
        <f t="shared" si="0"/>
        <v>281000</v>
      </c>
      <c r="G7" s="4">
        <v>934000</v>
      </c>
      <c r="H7" s="4">
        <v>909814</v>
      </c>
      <c r="I7" s="4">
        <v>0</v>
      </c>
      <c r="J7" s="4">
        <v>0</v>
      </c>
      <c r="K7" s="4">
        <f t="shared" si="1"/>
        <v>0</v>
      </c>
      <c r="L7" s="4">
        <f t="shared" si="2"/>
        <v>909814</v>
      </c>
      <c r="M7" s="4">
        <f t="shared" si="3"/>
        <v>24186</v>
      </c>
      <c r="N7" s="4">
        <f>1121000-421000-700000</f>
        <v>0</v>
      </c>
      <c r="O7" s="4">
        <f t="shared" si="4"/>
        <v>1121000</v>
      </c>
      <c r="P7" s="4">
        <f t="shared" si="5"/>
        <v>24186</v>
      </c>
      <c r="Q7" s="4"/>
      <c r="R7" s="4"/>
      <c r="S7" s="4">
        <f t="shared" si="6"/>
        <v>0</v>
      </c>
      <c r="T7" s="4">
        <f t="shared" si="7"/>
        <v>0</v>
      </c>
      <c r="U7" s="4">
        <f t="shared" si="8"/>
        <v>0</v>
      </c>
      <c r="V7" s="4"/>
      <c r="W7" s="4">
        <f t="shared" si="9"/>
        <v>0</v>
      </c>
      <c r="X7" s="4"/>
      <c r="Y7" s="4"/>
      <c r="Z7" s="4"/>
      <c r="AA7" s="3"/>
      <c r="AB7" s="64" t="s">
        <v>2014</v>
      </c>
      <c r="AC7" s="3">
        <v>829000</v>
      </c>
      <c r="AD7" s="3"/>
      <c r="AE7" s="3"/>
      <c r="AF7" s="3"/>
      <c r="AG7" s="3"/>
      <c r="AH7" s="3"/>
      <c r="AI7" s="3"/>
      <c r="AJ7" s="3"/>
      <c r="AK7" s="3"/>
      <c r="AL7" s="3"/>
      <c r="AM7" s="4">
        <f t="shared" ref="AM7:AM14" si="10">SUM(AD7:AL7)</f>
        <v>0</v>
      </c>
      <c r="AN7" s="4">
        <f t="shared" ref="AN7:AN14" si="11">U7-AM7</f>
        <v>0</v>
      </c>
      <c r="AO7" s="4"/>
      <c r="AP7" s="4">
        <f t="shared" ref="AP7:AP14" si="12">AM7-AQ7-AR7-AS7-AT7-AO7</f>
        <v>0</v>
      </c>
      <c r="AQ7" s="3"/>
      <c r="AR7" s="3"/>
      <c r="AS7" s="3"/>
      <c r="AT7" s="3"/>
    </row>
    <row r="8" spans="1:46" s="5" customFormat="1" ht="30" customHeight="1">
      <c r="A8" s="30">
        <f t="shared" ref="A8:A14" si="13">A7+1</f>
        <v>3</v>
      </c>
      <c r="B8" s="3">
        <v>1678</v>
      </c>
      <c r="C8" s="3" t="s">
        <v>441</v>
      </c>
      <c r="D8" s="4">
        <f>1760000+150000</f>
        <v>1910000</v>
      </c>
      <c r="E8" s="4">
        <v>1760000</v>
      </c>
      <c r="F8" s="4">
        <f t="shared" si="0"/>
        <v>150000</v>
      </c>
      <c r="G8" s="4">
        <v>1610000</v>
      </c>
      <c r="H8" s="4">
        <v>1503896</v>
      </c>
      <c r="I8" s="4">
        <v>0</v>
      </c>
      <c r="J8" s="4">
        <v>105973</v>
      </c>
      <c r="K8" s="4">
        <f t="shared" si="1"/>
        <v>105973</v>
      </c>
      <c r="L8" s="4">
        <f t="shared" si="2"/>
        <v>1609869</v>
      </c>
      <c r="M8" s="4">
        <f t="shared" si="3"/>
        <v>131</v>
      </c>
      <c r="N8" s="4">
        <f>300000-100000</f>
        <v>200000</v>
      </c>
      <c r="O8" s="4">
        <f t="shared" si="4"/>
        <v>100000</v>
      </c>
      <c r="P8" s="4">
        <f t="shared" si="5"/>
        <v>131</v>
      </c>
      <c r="Q8" s="4"/>
      <c r="R8" s="4"/>
      <c r="S8" s="4">
        <f t="shared" si="6"/>
        <v>0</v>
      </c>
      <c r="T8" s="4">
        <f t="shared" si="7"/>
        <v>0</v>
      </c>
      <c r="U8" s="4">
        <f t="shared" si="8"/>
        <v>200000</v>
      </c>
      <c r="V8" s="4"/>
      <c r="W8" s="4">
        <f t="shared" si="9"/>
        <v>200000</v>
      </c>
      <c r="X8" s="4"/>
      <c r="Y8" s="4"/>
      <c r="Z8" s="4"/>
      <c r="AA8" s="3"/>
      <c r="AB8" s="3" t="s">
        <v>442</v>
      </c>
      <c r="AC8" s="3">
        <v>829000</v>
      </c>
      <c r="AD8" s="4">
        <v>200000</v>
      </c>
      <c r="AE8" s="3"/>
      <c r="AF8" s="3"/>
      <c r="AG8" s="3"/>
      <c r="AH8" s="3"/>
      <c r="AI8" s="3"/>
      <c r="AJ8" s="3"/>
      <c r="AK8" s="3"/>
      <c r="AL8" s="3"/>
      <c r="AM8" s="4">
        <f t="shared" si="10"/>
        <v>200000</v>
      </c>
      <c r="AN8" s="4">
        <f t="shared" si="11"/>
        <v>0</v>
      </c>
      <c r="AO8" s="4"/>
      <c r="AP8" s="4">
        <f t="shared" si="12"/>
        <v>200000</v>
      </c>
      <c r="AQ8" s="3"/>
      <c r="AR8" s="3"/>
      <c r="AS8" s="3"/>
      <c r="AT8" s="3"/>
    </row>
    <row r="9" spans="1:46" s="5" customFormat="1" ht="45">
      <c r="A9" s="30">
        <f t="shared" si="13"/>
        <v>4</v>
      </c>
      <c r="B9" s="3">
        <v>1890</v>
      </c>
      <c r="C9" s="3" t="s">
        <v>2286</v>
      </c>
      <c r="D9" s="4">
        <v>1100000</v>
      </c>
      <c r="E9" s="4">
        <v>1100000</v>
      </c>
      <c r="F9" s="4">
        <f t="shared" si="0"/>
        <v>0</v>
      </c>
      <c r="G9" s="4">
        <v>1100000</v>
      </c>
      <c r="H9" s="4">
        <v>1015344</v>
      </c>
      <c r="I9" s="4">
        <v>0</v>
      </c>
      <c r="J9" s="4">
        <v>0</v>
      </c>
      <c r="K9" s="4">
        <f t="shared" si="1"/>
        <v>0</v>
      </c>
      <c r="L9" s="4">
        <f t="shared" si="2"/>
        <v>1015344</v>
      </c>
      <c r="M9" s="4">
        <f t="shared" si="3"/>
        <v>84656</v>
      </c>
      <c r="N9" s="4"/>
      <c r="O9" s="4">
        <f t="shared" si="4"/>
        <v>0</v>
      </c>
      <c r="P9" s="4">
        <f t="shared" si="5"/>
        <v>84656</v>
      </c>
      <c r="Q9" s="4"/>
      <c r="R9" s="4"/>
      <c r="S9" s="4">
        <f t="shared" si="6"/>
        <v>0</v>
      </c>
      <c r="T9" s="4">
        <f t="shared" si="7"/>
        <v>0</v>
      </c>
      <c r="U9" s="4">
        <f t="shared" si="8"/>
        <v>0</v>
      </c>
      <c r="V9" s="4"/>
      <c r="W9" s="4">
        <f t="shared" si="9"/>
        <v>0</v>
      </c>
      <c r="X9" s="4"/>
      <c r="Y9" s="4"/>
      <c r="Z9" s="4"/>
      <c r="AA9" s="4"/>
      <c r="AB9" s="3" t="s">
        <v>2015</v>
      </c>
      <c r="AC9" s="3">
        <v>829000</v>
      </c>
      <c r="AD9" s="3"/>
      <c r="AE9" s="3"/>
      <c r="AF9" s="3"/>
      <c r="AG9" s="3"/>
      <c r="AH9" s="3"/>
      <c r="AI9" s="3"/>
      <c r="AJ9" s="3"/>
      <c r="AK9" s="3"/>
      <c r="AL9" s="3"/>
      <c r="AM9" s="4">
        <f t="shared" si="10"/>
        <v>0</v>
      </c>
      <c r="AN9" s="4">
        <f t="shared" si="11"/>
        <v>0</v>
      </c>
      <c r="AO9" s="4"/>
      <c r="AP9" s="4">
        <f t="shared" si="12"/>
        <v>0</v>
      </c>
      <c r="AQ9" s="3"/>
      <c r="AR9" s="3"/>
      <c r="AS9" s="3"/>
      <c r="AT9" s="3"/>
    </row>
    <row r="10" spans="1:46" s="5" customFormat="1" ht="30" customHeight="1">
      <c r="A10" s="30">
        <f t="shared" si="13"/>
        <v>5</v>
      </c>
      <c r="B10" s="253">
        <v>2004</v>
      </c>
      <c r="C10" s="3" t="s">
        <v>157</v>
      </c>
      <c r="D10" s="4">
        <f>735000+120000+120000+20000</f>
        <v>995000</v>
      </c>
      <c r="E10" s="4">
        <v>735000</v>
      </c>
      <c r="F10" s="4">
        <f t="shared" si="0"/>
        <v>260000</v>
      </c>
      <c r="G10" s="4">
        <v>685000</v>
      </c>
      <c r="H10" s="4">
        <v>516571</v>
      </c>
      <c r="I10" s="4">
        <v>0</v>
      </c>
      <c r="J10" s="4">
        <v>159647</v>
      </c>
      <c r="K10" s="4">
        <f t="shared" si="1"/>
        <v>159647</v>
      </c>
      <c r="L10" s="4">
        <f t="shared" si="2"/>
        <v>676218</v>
      </c>
      <c r="M10" s="4">
        <f t="shared" si="3"/>
        <v>8782</v>
      </c>
      <c r="N10" s="4">
        <f>170000+120000+20000-160000</f>
        <v>150000</v>
      </c>
      <c r="O10" s="4">
        <f t="shared" si="4"/>
        <v>160000</v>
      </c>
      <c r="P10" s="4">
        <f t="shared" si="5"/>
        <v>8782</v>
      </c>
      <c r="Q10" s="4"/>
      <c r="R10" s="4"/>
      <c r="S10" s="4">
        <f t="shared" si="6"/>
        <v>0</v>
      </c>
      <c r="T10" s="4">
        <f t="shared" si="7"/>
        <v>0</v>
      </c>
      <c r="U10" s="4">
        <f t="shared" si="8"/>
        <v>150000</v>
      </c>
      <c r="V10" s="4"/>
      <c r="W10" s="4">
        <f t="shared" si="9"/>
        <v>150000</v>
      </c>
      <c r="X10" s="4"/>
      <c r="Y10" s="4"/>
      <c r="Z10" s="4"/>
      <c r="AA10" s="3"/>
      <c r="AB10" s="3" t="s">
        <v>2016</v>
      </c>
      <c r="AC10" s="3">
        <v>829000</v>
      </c>
      <c r="AD10" s="4">
        <v>150000</v>
      </c>
      <c r="AE10" s="3"/>
      <c r="AF10" s="3"/>
      <c r="AG10" s="3"/>
      <c r="AH10" s="3"/>
      <c r="AI10" s="3"/>
      <c r="AJ10" s="3"/>
      <c r="AK10" s="3"/>
      <c r="AL10" s="3"/>
      <c r="AM10" s="4">
        <f t="shared" si="10"/>
        <v>150000</v>
      </c>
      <c r="AN10" s="4">
        <f t="shared" si="11"/>
        <v>0</v>
      </c>
      <c r="AO10" s="4"/>
      <c r="AP10" s="4">
        <f t="shared" si="12"/>
        <v>150000</v>
      </c>
      <c r="AQ10" s="3"/>
      <c r="AR10" s="3"/>
      <c r="AS10" s="3"/>
      <c r="AT10" s="3"/>
    </row>
    <row r="11" spans="1:46" s="5" customFormat="1" ht="30" customHeight="1">
      <c r="A11" s="30">
        <f t="shared" si="13"/>
        <v>6</v>
      </c>
      <c r="B11" s="3">
        <v>2031</v>
      </c>
      <c r="C11" s="3" t="s">
        <v>359</v>
      </c>
      <c r="D11" s="4">
        <v>2700000</v>
      </c>
      <c r="E11" s="4">
        <v>2700000</v>
      </c>
      <c r="F11" s="4">
        <f t="shared" si="0"/>
        <v>0</v>
      </c>
      <c r="G11" s="4">
        <v>2100000</v>
      </c>
      <c r="H11" s="4">
        <v>1338082</v>
      </c>
      <c r="I11" s="4">
        <v>0</v>
      </c>
      <c r="J11" s="4">
        <v>224446</v>
      </c>
      <c r="K11" s="4">
        <f t="shared" si="1"/>
        <v>224446</v>
      </c>
      <c r="L11" s="4">
        <f t="shared" si="2"/>
        <v>1562528</v>
      </c>
      <c r="M11" s="4">
        <f t="shared" si="3"/>
        <v>537472</v>
      </c>
      <c r="N11" s="4">
        <f>600000-100000</f>
        <v>500000</v>
      </c>
      <c r="O11" s="4">
        <f t="shared" si="4"/>
        <v>100000</v>
      </c>
      <c r="P11" s="4">
        <f t="shared" si="5"/>
        <v>537472</v>
      </c>
      <c r="Q11" s="4"/>
      <c r="R11" s="4"/>
      <c r="S11" s="4">
        <f t="shared" si="6"/>
        <v>0</v>
      </c>
      <c r="T11" s="4">
        <f t="shared" si="7"/>
        <v>0</v>
      </c>
      <c r="U11" s="4">
        <f t="shared" si="8"/>
        <v>500000</v>
      </c>
      <c r="V11" s="4"/>
      <c r="W11" s="4">
        <f t="shared" si="9"/>
        <v>500000</v>
      </c>
      <c r="X11" s="4"/>
      <c r="Y11" s="4"/>
      <c r="Z11" s="4"/>
      <c r="AA11" s="3"/>
      <c r="AB11" s="3" t="s">
        <v>653</v>
      </c>
      <c r="AC11" s="3">
        <v>826000</v>
      </c>
      <c r="AD11" s="3"/>
      <c r="AE11" s="3"/>
      <c r="AF11" s="4">
        <v>100000</v>
      </c>
      <c r="AG11" s="4"/>
      <c r="AH11" s="4">
        <v>150000</v>
      </c>
      <c r="AI11" s="4"/>
      <c r="AJ11" s="4">
        <v>250000</v>
      </c>
      <c r="AK11" s="4"/>
      <c r="AL11" s="4"/>
      <c r="AM11" s="4">
        <f t="shared" si="10"/>
        <v>500000</v>
      </c>
      <c r="AN11" s="4">
        <f t="shared" si="11"/>
        <v>0</v>
      </c>
      <c r="AO11" s="4"/>
      <c r="AP11" s="4">
        <f t="shared" si="12"/>
        <v>500000</v>
      </c>
      <c r="AQ11" s="3"/>
      <c r="AR11" s="3"/>
      <c r="AS11" s="3"/>
      <c r="AT11" s="3"/>
    </row>
    <row r="12" spans="1:46" s="5" customFormat="1" ht="45">
      <c r="A12" s="30">
        <f t="shared" si="13"/>
        <v>7</v>
      </c>
      <c r="B12" s="253">
        <v>2060</v>
      </c>
      <c r="C12" s="3" t="s">
        <v>440</v>
      </c>
      <c r="D12" s="4">
        <v>2070229</v>
      </c>
      <c r="E12" s="4">
        <v>2070229</v>
      </c>
      <c r="F12" s="4">
        <f t="shared" si="0"/>
        <v>0</v>
      </c>
      <c r="G12" s="4">
        <v>1826000</v>
      </c>
      <c r="H12" s="4">
        <v>1480000</v>
      </c>
      <c r="I12" s="4">
        <v>0</v>
      </c>
      <c r="J12" s="4">
        <v>346000</v>
      </c>
      <c r="K12" s="4">
        <f t="shared" si="1"/>
        <v>346000</v>
      </c>
      <c r="L12" s="4">
        <f t="shared" si="2"/>
        <v>1826000</v>
      </c>
      <c r="M12" s="4">
        <f t="shared" si="3"/>
        <v>0</v>
      </c>
      <c r="N12" s="4">
        <v>180000</v>
      </c>
      <c r="O12" s="4">
        <f t="shared" si="4"/>
        <v>64229</v>
      </c>
      <c r="P12" s="4">
        <f t="shared" si="5"/>
        <v>0</v>
      </c>
      <c r="Q12" s="4"/>
      <c r="R12" s="4"/>
      <c r="S12" s="4">
        <f t="shared" si="6"/>
        <v>0</v>
      </c>
      <c r="T12" s="4">
        <f t="shared" si="7"/>
        <v>0</v>
      </c>
      <c r="U12" s="4">
        <f t="shared" si="8"/>
        <v>180000</v>
      </c>
      <c r="V12" s="4"/>
      <c r="W12" s="4">
        <f t="shared" si="9"/>
        <v>180000</v>
      </c>
      <c r="X12" s="4"/>
      <c r="Y12" s="4"/>
      <c r="Z12" s="4"/>
      <c r="AA12" s="4"/>
      <c r="AB12" s="3" t="s">
        <v>2017</v>
      </c>
      <c r="AC12" s="3">
        <v>829000</v>
      </c>
      <c r="AD12" s="3"/>
      <c r="AE12" s="3"/>
      <c r="AF12" s="4">
        <v>180000</v>
      </c>
      <c r="AG12" s="4"/>
      <c r="AH12" s="4"/>
      <c r="AI12" s="4"/>
      <c r="AJ12" s="4"/>
      <c r="AK12" s="4"/>
      <c r="AL12" s="4"/>
      <c r="AM12" s="4">
        <f t="shared" si="10"/>
        <v>180000</v>
      </c>
      <c r="AN12" s="4">
        <f t="shared" si="11"/>
        <v>0</v>
      </c>
      <c r="AO12" s="4"/>
      <c r="AP12" s="4">
        <f t="shared" si="12"/>
        <v>180000</v>
      </c>
      <c r="AQ12" s="3"/>
      <c r="AR12" s="3"/>
      <c r="AS12" s="3"/>
      <c r="AT12" s="3"/>
    </row>
    <row r="13" spans="1:46" s="5" customFormat="1" ht="60">
      <c r="A13" s="30">
        <f t="shared" si="13"/>
        <v>8</v>
      </c>
      <c r="B13" s="30">
        <v>2089</v>
      </c>
      <c r="C13" s="3" t="s">
        <v>2018</v>
      </c>
      <c r="D13" s="4">
        <v>350000</v>
      </c>
      <c r="E13" s="4">
        <v>350000</v>
      </c>
      <c r="F13" s="4">
        <f t="shared" si="0"/>
        <v>0</v>
      </c>
      <c r="G13" s="4">
        <v>350000</v>
      </c>
      <c r="H13" s="4">
        <v>310811</v>
      </c>
      <c r="I13" s="4">
        <v>0</v>
      </c>
      <c r="J13" s="4">
        <v>18486</v>
      </c>
      <c r="K13" s="4">
        <f t="shared" si="1"/>
        <v>18486</v>
      </c>
      <c r="L13" s="4">
        <f t="shared" si="2"/>
        <v>329297</v>
      </c>
      <c r="M13" s="4">
        <f t="shared" si="3"/>
        <v>20703</v>
      </c>
      <c r="N13" s="4"/>
      <c r="O13" s="4">
        <f t="shared" si="4"/>
        <v>0</v>
      </c>
      <c r="P13" s="4">
        <f t="shared" si="5"/>
        <v>20703</v>
      </c>
      <c r="Q13" s="4"/>
      <c r="R13" s="4"/>
      <c r="S13" s="4">
        <f t="shared" si="6"/>
        <v>0</v>
      </c>
      <c r="T13" s="4">
        <f t="shared" si="7"/>
        <v>0</v>
      </c>
      <c r="U13" s="4">
        <f t="shared" si="8"/>
        <v>0</v>
      </c>
      <c r="V13" s="4"/>
      <c r="W13" s="4">
        <f t="shared" si="9"/>
        <v>0</v>
      </c>
      <c r="X13" s="4"/>
      <c r="Y13" s="4"/>
      <c r="Z13" s="4"/>
      <c r="AA13" s="4"/>
      <c r="AB13" s="3" t="s">
        <v>2019</v>
      </c>
      <c r="AC13" s="3">
        <v>826000</v>
      </c>
      <c r="AD13" s="3"/>
      <c r="AE13" s="3"/>
      <c r="AF13" s="3"/>
      <c r="AG13" s="3"/>
      <c r="AH13" s="3"/>
      <c r="AI13" s="3"/>
      <c r="AJ13" s="3"/>
      <c r="AK13" s="3"/>
      <c r="AL13" s="3"/>
      <c r="AM13" s="4">
        <f t="shared" si="10"/>
        <v>0</v>
      </c>
      <c r="AN13" s="4">
        <f t="shared" si="11"/>
        <v>0</v>
      </c>
      <c r="AO13" s="3"/>
      <c r="AP13" s="4">
        <f t="shared" si="12"/>
        <v>0</v>
      </c>
      <c r="AQ13" s="3"/>
      <c r="AR13" s="3"/>
      <c r="AS13" s="3"/>
      <c r="AT13" s="3"/>
    </row>
    <row r="14" spans="1:46" s="5" customFormat="1" ht="30" customHeight="1">
      <c r="A14" s="30">
        <f t="shared" si="13"/>
        <v>9</v>
      </c>
      <c r="B14" s="349">
        <v>2162</v>
      </c>
      <c r="C14" s="3" t="s">
        <v>549</v>
      </c>
      <c r="D14" s="4">
        <v>540000</v>
      </c>
      <c r="E14" s="4">
        <v>540000</v>
      </c>
      <c r="F14" s="4">
        <f t="shared" si="0"/>
        <v>0</v>
      </c>
      <c r="G14" s="4">
        <v>0</v>
      </c>
      <c r="H14" s="4">
        <v>0</v>
      </c>
      <c r="I14" s="4">
        <v>0</v>
      </c>
      <c r="J14" s="4">
        <v>0</v>
      </c>
      <c r="K14" s="4">
        <f t="shared" si="1"/>
        <v>0</v>
      </c>
      <c r="L14" s="4">
        <f t="shared" si="2"/>
        <v>0</v>
      </c>
      <c r="M14" s="4">
        <f t="shared" si="3"/>
        <v>0</v>
      </c>
      <c r="N14" s="4">
        <f>540000-100000</f>
        <v>440000</v>
      </c>
      <c r="O14" s="4">
        <f t="shared" si="4"/>
        <v>100000</v>
      </c>
      <c r="P14" s="4">
        <f t="shared" si="5"/>
        <v>0</v>
      </c>
      <c r="Q14" s="4"/>
      <c r="R14" s="4"/>
      <c r="S14" s="4">
        <f t="shared" si="6"/>
        <v>0</v>
      </c>
      <c r="T14" s="4">
        <f t="shared" si="7"/>
        <v>0</v>
      </c>
      <c r="U14" s="4">
        <f t="shared" si="8"/>
        <v>440000</v>
      </c>
      <c r="V14" s="4"/>
      <c r="W14" s="4">
        <f t="shared" si="9"/>
        <v>440000</v>
      </c>
      <c r="X14" s="4"/>
      <c r="Y14" s="4"/>
      <c r="Z14" s="4"/>
      <c r="AA14" s="4"/>
      <c r="AB14" s="3" t="s">
        <v>550</v>
      </c>
      <c r="AC14" s="3">
        <v>828000</v>
      </c>
      <c r="AD14" s="3"/>
      <c r="AE14" s="3"/>
      <c r="AF14" s="4">
        <v>100000</v>
      </c>
      <c r="AG14" s="4"/>
      <c r="AH14" s="4">
        <v>340000</v>
      </c>
      <c r="AI14" s="4"/>
      <c r="AJ14" s="4"/>
      <c r="AK14" s="4"/>
      <c r="AL14" s="4"/>
      <c r="AM14" s="4">
        <f t="shared" si="10"/>
        <v>440000</v>
      </c>
      <c r="AN14" s="4">
        <f t="shared" si="11"/>
        <v>0</v>
      </c>
      <c r="AO14" s="4"/>
      <c r="AP14" s="4">
        <f t="shared" si="12"/>
        <v>440000</v>
      </c>
      <c r="AQ14" s="3"/>
      <c r="AR14" s="3"/>
      <c r="AS14" s="3"/>
      <c r="AT14" s="3"/>
    </row>
    <row r="15" spans="1:46" s="62" customFormat="1" ht="30" customHeight="1">
      <c r="A15" s="32">
        <f>A14</f>
        <v>9</v>
      </c>
      <c r="B15" s="32"/>
      <c r="C15" s="166" t="s">
        <v>417</v>
      </c>
      <c r="D15" s="65">
        <f t="shared" ref="D15:AT15" si="14">SUM(D6:D14)</f>
        <v>20830594</v>
      </c>
      <c r="E15" s="65">
        <f t="shared" si="14"/>
        <v>20139594</v>
      </c>
      <c r="F15" s="65">
        <f t="shared" si="14"/>
        <v>691000</v>
      </c>
      <c r="G15" s="65">
        <f t="shared" si="14"/>
        <v>14395365</v>
      </c>
      <c r="H15" s="65">
        <f t="shared" si="14"/>
        <v>12328666</v>
      </c>
      <c r="I15" s="65">
        <f t="shared" si="14"/>
        <v>0</v>
      </c>
      <c r="J15" s="65">
        <f t="shared" si="14"/>
        <v>917574</v>
      </c>
      <c r="K15" s="65">
        <f t="shared" si="14"/>
        <v>917574</v>
      </c>
      <c r="L15" s="65">
        <f t="shared" si="14"/>
        <v>13246240</v>
      </c>
      <c r="M15" s="65">
        <f t="shared" si="14"/>
        <v>1149125</v>
      </c>
      <c r="N15" s="65">
        <f t="shared" si="14"/>
        <v>2570000</v>
      </c>
      <c r="O15" s="65">
        <f t="shared" si="14"/>
        <v>3865229</v>
      </c>
      <c r="P15" s="65">
        <f t="shared" si="14"/>
        <v>1149125</v>
      </c>
      <c r="Q15" s="65">
        <f t="shared" si="14"/>
        <v>0</v>
      </c>
      <c r="R15" s="65">
        <f t="shared" si="14"/>
        <v>0</v>
      </c>
      <c r="S15" s="65">
        <f t="shared" si="14"/>
        <v>0</v>
      </c>
      <c r="T15" s="65">
        <f t="shared" si="14"/>
        <v>0</v>
      </c>
      <c r="U15" s="65">
        <f t="shared" si="14"/>
        <v>2570000</v>
      </c>
      <c r="V15" s="65">
        <f t="shared" si="14"/>
        <v>0</v>
      </c>
      <c r="W15" s="65">
        <f t="shared" si="14"/>
        <v>2570000</v>
      </c>
      <c r="X15" s="65">
        <f t="shared" si="14"/>
        <v>0</v>
      </c>
      <c r="Y15" s="65">
        <f t="shared" si="14"/>
        <v>0</v>
      </c>
      <c r="Z15" s="65">
        <f t="shared" si="14"/>
        <v>0</v>
      </c>
      <c r="AA15" s="65">
        <f t="shared" si="14"/>
        <v>0</v>
      </c>
      <c r="AB15" s="65">
        <f t="shared" si="14"/>
        <v>0</v>
      </c>
      <c r="AC15" s="65">
        <f t="shared" si="14"/>
        <v>7555000</v>
      </c>
      <c r="AD15" s="65">
        <f t="shared" si="14"/>
        <v>350000</v>
      </c>
      <c r="AE15" s="65">
        <f>SUM(AE6:AE14)</f>
        <v>0</v>
      </c>
      <c r="AF15" s="65">
        <f>SUM(AF6:AF14)</f>
        <v>380000</v>
      </c>
      <c r="AG15" s="65">
        <f t="shared" si="14"/>
        <v>0</v>
      </c>
      <c r="AH15" s="65">
        <f>SUM(AH6:AH14)</f>
        <v>690000</v>
      </c>
      <c r="AI15" s="65">
        <f>SUM(AI6:AI14)</f>
        <v>0</v>
      </c>
      <c r="AJ15" s="65">
        <f>SUM(AJ6:AJ14)</f>
        <v>750000</v>
      </c>
      <c r="AK15" s="65">
        <f>SUM(AK6:AK14)</f>
        <v>200000</v>
      </c>
      <c r="AL15" s="65">
        <f>SUM(AL6:AL14)</f>
        <v>200000</v>
      </c>
      <c r="AM15" s="65">
        <f t="shared" si="14"/>
        <v>2570000</v>
      </c>
      <c r="AN15" s="65">
        <f t="shared" si="14"/>
        <v>0</v>
      </c>
      <c r="AO15" s="65">
        <f t="shared" si="14"/>
        <v>0</v>
      </c>
      <c r="AP15" s="65">
        <f t="shared" si="14"/>
        <v>2570000</v>
      </c>
      <c r="AQ15" s="65">
        <f t="shared" si="14"/>
        <v>0</v>
      </c>
      <c r="AR15" s="65">
        <f t="shared" si="14"/>
        <v>0</v>
      </c>
      <c r="AS15" s="65">
        <f t="shared" si="14"/>
        <v>0</v>
      </c>
      <c r="AT15" s="65">
        <f t="shared" si="14"/>
        <v>0</v>
      </c>
    </row>
    <row r="16" spans="1:46" s="5" customFormat="1" hidden="1">
      <c r="A16" s="23"/>
      <c r="B16" s="12"/>
      <c r="C16" s="12"/>
      <c r="D16" s="14"/>
      <c r="E16" s="14"/>
      <c r="F16" s="14"/>
      <c r="G16" s="14"/>
      <c r="H16" s="14"/>
      <c r="I16" s="14"/>
      <c r="J16" s="14"/>
      <c r="K16" s="14"/>
      <c r="L16" s="19">
        <f>K15+H15</f>
        <v>13246240</v>
      </c>
      <c r="M16" s="19">
        <f>P16+S15-T15</f>
        <v>1149125</v>
      </c>
      <c r="N16" s="14"/>
      <c r="O16" s="14"/>
      <c r="P16" s="19">
        <f>G15-L16</f>
        <v>1149125</v>
      </c>
      <c r="Q16" s="14"/>
      <c r="R16" s="14"/>
      <c r="S16" s="14"/>
      <c r="T16" s="14">
        <f>P16+S15-M15</f>
        <v>0</v>
      </c>
      <c r="U16" s="14">
        <f>N15-T15</f>
        <v>2570000</v>
      </c>
      <c r="V16" s="12"/>
      <c r="W16" s="12"/>
      <c r="X16" s="12"/>
      <c r="Y16" s="12"/>
      <c r="Z16" s="12"/>
      <c r="AA16" s="12"/>
      <c r="AB16" s="12"/>
      <c r="AC16" s="12"/>
    </row>
    <row r="17" spans="1:28">
      <c r="M17" s="21"/>
      <c r="N17" s="21"/>
      <c r="O17" s="21"/>
      <c r="P17" s="23"/>
      <c r="Q17" s="21"/>
      <c r="R17" s="21"/>
      <c r="S17" s="21"/>
    </row>
    <row r="18" spans="1:28">
      <c r="A18" s="12"/>
      <c r="C18" s="18"/>
      <c r="U18" s="14"/>
      <c r="AB18" s="18"/>
    </row>
    <row r="19" spans="1:28">
      <c r="M19" s="21"/>
      <c r="N19" s="21"/>
      <c r="O19" s="21"/>
      <c r="P19" s="21"/>
      <c r="Q19" s="21"/>
      <c r="R19" s="21"/>
      <c r="S19" s="21"/>
    </row>
    <row r="20" spans="1:28">
      <c r="M20" s="21"/>
      <c r="N20" s="21"/>
      <c r="O20" s="21"/>
      <c r="P20" s="21"/>
      <c r="Q20" s="21"/>
      <c r="R20" s="21"/>
      <c r="S20" s="21"/>
    </row>
    <row r="21" spans="1:28">
      <c r="M21" s="21"/>
      <c r="N21" s="21"/>
      <c r="O21" s="21"/>
      <c r="P21" s="21"/>
      <c r="Q21" s="21"/>
      <c r="R21" s="21"/>
      <c r="S21" s="21"/>
    </row>
    <row r="22" spans="1:28">
      <c r="M22" s="21"/>
      <c r="N22" s="21"/>
      <c r="O22" s="21"/>
      <c r="P22" s="21"/>
      <c r="Q22" s="21"/>
      <c r="R22" s="21"/>
      <c r="S22" s="21"/>
    </row>
    <row r="23" spans="1:28">
      <c r="M23" s="21"/>
      <c r="N23" s="21"/>
      <c r="O23" s="21"/>
      <c r="P23" s="21"/>
      <c r="Q23" s="21"/>
      <c r="R23" s="21"/>
      <c r="S23" s="21"/>
    </row>
    <row r="24" spans="1:28">
      <c r="M24" s="21"/>
      <c r="N24" s="21"/>
      <c r="O24" s="21"/>
      <c r="P24" s="21"/>
      <c r="Q24" s="21"/>
      <c r="R24" s="21"/>
      <c r="S24" s="21"/>
    </row>
    <row r="25" spans="1:28">
      <c r="M25" s="21"/>
      <c r="N25" s="21"/>
      <c r="O25" s="21"/>
      <c r="P25" s="21"/>
      <c r="Q25" s="21"/>
      <c r="R25" s="21"/>
      <c r="S25" s="21"/>
    </row>
    <row r="26" spans="1:28">
      <c r="M26" s="21"/>
      <c r="N26" s="21"/>
      <c r="O26" s="21"/>
      <c r="P26" s="21"/>
      <c r="Q26" s="21"/>
      <c r="R26" s="21"/>
      <c r="S26" s="21"/>
    </row>
    <row r="27" spans="1:28">
      <c r="M27" s="21"/>
      <c r="N27" s="21"/>
      <c r="O27" s="21"/>
      <c r="P27" s="21"/>
      <c r="Q27" s="21"/>
      <c r="R27" s="21"/>
      <c r="S27" s="21"/>
    </row>
    <row r="28" spans="1:28">
      <c r="M28" s="21"/>
      <c r="N28" s="21"/>
      <c r="O28" s="21"/>
      <c r="P28" s="21"/>
      <c r="Q28" s="21"/>
      <c r="R28" s="21"/>
      <c r="S28" s="21"/>
    </row>
    <row r="29" spans="1:28">
      <c r="M29" s="21"/>
      <c r="N29" s="21"/>
      <c r="O29" s="21"/>
      <c r="P29" s="21"/>
      <c r="Q29" s="21"/>
      <c r="R29" s="21"/>
      <c r="S29" s="21"/>
    </row>
    <row r="30" spans="1:28">
      <c r="M30" s="21"/>
      <c r="N30" s="21"/>
      <c r="O30" s="21"/>
      <c r="P30" s="21"/>
      <c r="Q30" s="21"/>
      <c r="R30" s="21"/>
      <c r="S30" s="21"/>
    </row>
  </sheetData>
  <sheetProtection formatCells="0" formatColumns="0" formatRows="0" insertColumns="0" insertRows="0" insertHyperlinks="0" deleteColumns="0" deleteRows="0" sort="0" autoFilter="0" pivotTables="0"/>
  <mergeCells count="3">
    <mergeCell ref="V4:AB4"/>
    <mergeCell ref="AO4:AT4"/>
    <mergeCell ref="T4:U4"/>
  </mergeCells>
  <conditionalFormatting sqref="A1:A3 AD1:AD3 AG1:AG3 AM1:XFD3">
    <cfRule type="cellIs" dxfId="47" priority="8" operator="equal">
      <formula>0</formula>
    </cfRule>
  </conditionalFormatting>
  <conditionalFormatting sqref="AE1:AE3">
    <cfRule type="cellIs" dxfId="46" priority="7" operator="equal">
      <formula>0</formula>
    </cfRule>
  </conditionalFormatting>
  <conditionalFormatting sqref="AF1:AF3">
    <cfRule type="cellIs" dxfId="45" priority="6" operator="equal">
      <formula>0</formula>
    </cfRule>
  </conditionalFormatting>
  <conditionalFormatting sqref="AL1:AL3">
    <cfRule type="cellIs" dxfId="44" priority="5" operator="equal">
      <formula>0</formula>
    </cfRule>
  </conditionalFormatting>
  <conditionalFormatting sqref="AH1:AH3">
    <cfRule type="cellIs" dxfId="43" priority="4" operator="equal">
      <formula>0</formula>
    </cfRule>
  </conditionalFormatting>
  <conditionalFormatting sqref="AI1:AI3">
    <cfRule type="cellIs" dxfId="42" priority="3" operator="equal">
      <formula>0</formula>
    </cfRule>
  </conditionalFormatting>
  <conditionalFormatting sqref="AJ1:AJ3">
    <cfRule type="cellIs" dxfId="41" priority="2" operator="equal">
      <formula>0</formula>
    </cfRule>
  </conditionalFormatting>
  <conditionalFormatting sqref="AK1:AK3">
    <cfRule type="cellIs" dxfId="40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rowBreaks count="1" manualBreakCount="1">
    <brk id="24" max="16383" man="1"/>
  </rowBreak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AT48"/>
  <sheetViews>
    <sheetView showZeros="0" rightToLeft="1" zoomScale="93" zoomScaleNormal="93" workbookViewId="0">
      <pane xSplit="3" ySplit="5" topLeftCell="D38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9.140625" defaultRowHeight="15"/>
  <cols>
    <col min="1" max="1" width="3.28515625" style="28" customWidth="1"/>
    <col min="2" max="2" width="4.7109375" style="12" customWidth="1"/>
    <col min="3" max="3" width="25.5703125" style="12" customWidth="1"/>
    <col min="4" max="20" width="10.7109375" style="14" hidden="1" customWidth="1"/>
    <col min="21" max="23" width="12.140625" style="12" customWidth="1"/>
    <col min="24" max="26" width="10.7109375" style="12" hidden="1" customWidth="1"/>
    <col min="27" max="27" width="12.140625" style="14" customWidth="1"/>
    <col min="28" max="28" width="36.28515625" style="18" hidden="1" customWidth="1"/>
    <col min="29" max="29" width="7.85546875" style="12" hidden="1" customWidth="1"/>
    <col min="30" max="30" width="11.7109375" style="154" hidden="1" customWidth="1"/>
    <col min="31" max="38" width="11.7109375" style="17" hidden="1" customWidth="1"/>
    <col min="39" max="41" width="12.140625" style="17" customWidth="1"/>
    <col min="42" max="42" width="12.140625" style="12" customWidth="1"/>
    <col min="43" max="45" width="11.7109375" style="12" hidden="1" customWidth="1"/>
    <col min="46" max="46" width="12.140625" style="12" customWidth="1"/>
    <col min="47" max="16384" width="9.140625" style="12"/>
  </cols>
  <sheetData>
    <row r="1" spans="1:46" s="259" customFormat="1" ht="18.7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389"/>
      <c r="AB1" s="703"/>
      <c r="AD1" s="154"/>
    </row>
    <row r="2" spans="1:46" s="154" customFormat="1" ht="18.75">
      <c r="A2" s="257" t="s">
        <v>2288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389"/>
      <c r="AB2" s="170"/>
    </row>
    <row r="3" spans="1:46" s="154" customFormat="1" ht="18.75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389"/>
      <c r="AB3" s="170"/>
    </row>
    <row r="4" spans="1:46" ht="25.15" customHeight="1">
      <c r="A4" s="691"/>
      <c r="B4" s="35"/>
      <c r="C4" s="35"/>
      <c r="T4" s="876" t="s">
        <v>256</v>
      </c>
      <c r="U4" s="877"/>
      <c r="V4" s="876" t="s">
        <v>88</v>
      </c>
      <c r="W4" s="877"/>
      <c r="X4" s="877"/>
      <c r="Y4" s="877"/>
      <c r="Z4" s="877"/>
      <c r="AA4" s="878"/>
      <c r="AD4" s="876" t="s">
        <v>246</v>
      </c>
      <c r="AE4" s="877"/>
      <c r="AF4" s="877"/>
      <c r="AG4" s="877"/>
      <c r="AH4" s="877"/>
      <c r="AI4" s="877"/>
      <c r="AJ4" s="877"/>
      <c r="AK4" s="877"/>
      <c r="AL4" s="877"/>
      <c r="AM4" s="877"/>
      <c r="AN4" s="566"/>
      <c r="AO4" s="876" t="s">
        <v>2269</v>
      </c>
      <c r="AP4" s="877"/>
      <c r="AQ4" s="877"/>
      <c r="AR4" s="877"/>
      <c r="AS4" s="877"/>
      <c r="AT4" s="878"/>
    </row>
    <row r="5" spans="1:46" s="24" customFormat="1" ht="86.2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9</v>
      </c>
      <c r="J5" s="16" t="s">
        <v>153</v>
      </c>
      <c r="K5" s="16" t="s">
        <v>10</v>
      </c>
      <c r="L5" s="16" t="s">
        <v>11</v>
      </c>
      <c r="M5" s="9" t="s">
        <v>618</v>
      </c>
      <c r="N5" s="16" t="s">
        <v>619</v>
      </c>
      <c r="O5" s="16" t="s">
        <v>620</v>
      </c>
      <c r="P5" s="16" t="s">
        <v>12</v>
      </c>
      <c r="Q5" s="16" t="s">
        <v>621</v>
      </c>
      <c r="R5" s="16" t="s">
        <v>622</v>
      </c>
      <c r="S5" s="16" t="s">
        <v>623</v>
      </c>
      <c r="T5" s="16" t="s">
        <v>624</v>
      </c>
      <c r="U5" s="16" t="s">
        <v>625</v>
      </c>
      <c r="V5" s="16" t="s">
        <v>13</v>
      </c>
      <c r="W5" s="16" t="s">
        <v>14</v>
      </c>
      <c r="X5" s="16" t="s">
        <v>15</v>
      </c>
      <c r="Y5" s="16" t="s">
        <v>265</v>
      </c>
      <c r="Z5" s="16" t="s">
        <v>749</v>
      </c>
      <c r="AA5" s="9" t="s">
        <v>84</v>
      </c>
      <c r="AB5" s="16" t="s">
        <v>304</v>
      </c>
      <c r="AC5" s="16" t="s">
        <v>16</v>
      </c>
      <c r="AD5" s="9" t="s">
        <v>1911</v>
      </c>
      <c r="AE5" s="9" t="s">
        <v>1912</v>
      </c>
      <c r="AF5" s="9" t="s">
        <v>247</v>
      </c>
      <c r="AG5" s="9" t="s">
        <v>248</v>
      </c>
      <c r="AH5" s="9" t="s">
        <v>1913</v>
      </c>
      <c r="AI5" s="9" t="s">
        <v>1914</v>
      </c>
      <c r="AJ5" s="9" t="s">
        <v>1915</v>
      </c>
      <c r="AK5" s="9" t="s">
        <v>1916</v>
      </c>
      <c r="AL5" s="9" t="s">
        <v>1917</v>
      </c>
      <c r="AM5" s="20" t="s">
        <v>2037</v>
      </c>
      <c r="AN5" s="20" t="s">
        <v>852</v>
      </c>
      <c r="AO5" s="9" t="s">
        <v>13</v>
      </c>
      <c r="AP5" s="9" t="s">
        <v>14</v>
      </c>
      <c r="AQ5" s="9" t="s">
        <v>15</v>
      </c>
      <c r="AR5" s="9" t="s">
        <v>265</v>
      </c>
      <c r="AS5" s="9" t="s">
        <v>749</v>
      </c>
      <c r="AT5" s="9" t="s">
        <v>84</v>
      </c>
    </row>
    <row r="6" spans="1:46" s="5" customFormat="1" ht="30" customHeight="1">
      <c r="A6" s="3">
        <v>1</v>
      </c>
      <c r="B6" s="3">
        <v>1134</v>
      </c>
      <c r="C6" s="3" t="s">
        <v>60</v>
      </c>
      <c r="D6" s="4">
        <v>2795000</v>
      </c>
      <c r="E6" s="4">
        <v>2795000</v>
      </c>
      <c r="F6" s="4">
        <f t="shared" ref="F6:F42" si="0">D6-E6</f>
        <v>0</v>
      </c>
      <c r="G6" s="4">
        <v>2705000</v>
      </c>
      <c r="H6" s="4">
        <v>2514559</v>
      </c>
      <c r="I6" s="4">
        <v>0</v>
      </c>
      <c r="J6" s="4">
        <v>39610</v>
      </c>
      <c r="K6" s="4">
        <f t="shared" ref="K6:K41" si="1">I6+J6</f>
        <v>39610</v>
      </c>
      <c r="L6" s="4">
        <f t="shared" ref="L6:L42" si="2">H6+K6</f>
        <v>2554169</v>
      </c>
      <c r="M6" s="4">
        <f>P6+S6-150000</f>
        <v>831</v>
      </c>
      <c r="N6" s="4">
        <v>100000</v>
      </c>
      <c r="O6" s="4">
        <f t="shared" ref="O6:O42" si="3">D6-L6-M6-N6</f>
        <v>140000</v>
      </c>
      <c r="P6" s="4">
        <f t="shared" ref="P6:P42" si="4">G6-L6</f>
        <v>150831</v>
      </c>
      <c r="Q6" s="4"/>
      <c r="R6" s="4"/>
      <c r="S6" s="4">
        <f t="shared" ref="S6:S42" si="5">SUM(Q6:R6)</f>
        <v>0</v>
      </c>
      <c r="T6" s="4">
        <f t="shared" ref="T6:T42" si="6">P6-M6+S6</f>
        <v>150000</v>
      </c>
      <c r="U6" s="4">
        <f t="shared" ref="U6:U42" si="7">N6-T6</f>
        <v>-50000</v>
      </c>
      <c r="V6" s="10">
        <f>U6-W6-X6-Z6-AA6</f>
        <v>-50000</v>
      </c>
      <c r="W6" s="4"/>
      <c r="X6" s="4"/>
      <c r="Y6" s="4"/>
      <c r="Z6" s="4"/>
      <c r="AA6" s="4"/>
      <c r="AB6" s="3" t="s">
        <v>592</v>
      </c>
      <c r="AC6" s="3">
        <v>746000</v>
      </c>
      <c r="AD6" s="4"/>
      <c r="AE6" s="3"/>
      <c r="AF6" s="4">
        <v>-50000</v>
      </c>
      <c r="AG6" s="4"/>
      <c r="AH6" s="4"/>
      <c r="AI6" s="4"/>
      <c r="AJ6" s="4"/>
      <c r="AK6" s="4"/>
      <c r="AL6" s="4"/>
      <c r="AM6" s="4">
        <f>SUM(AD6:AL6)</f>
        <v>-50000</v>
      </c>
      <c r="AN6" s="4">
        <f t="shared" ref="AN6:AN42" si="8">U6-AM6</f>
        <v>0</v>
      </c>
      <c r="AO6" s="4">
        <f>AM6-AP6-AT6</f>
        <v>-50000</v>
      </c>
      <c r="AP6" s="3"/>
      <c r="AQ6" s="3"/>
      <c r="AR6" s="3"/>
      <c r="AS6" s="3"/>
      <c r="AT6" s="3"/>
    </row>
    <row r="7" spans="1:46" s="5" customFormat="1" ht="30" customHeight="1">
      <c r="A7" s="3">
        <f>A6+1</f>
        <v>2</v>
      </c>
      <c r="B7" s="3">
        <v>1165</v>
      </c>
      <c r="C7" s="3" t="s">
        <v>2020</v>
      </c>
      <c r="D7" s="4">
        <v>12050000</v>
      </c>
      <c r="E7" s="4">
        <v>12050000</v>
      </c>
      <c r="F7" s="4">
        <f t="shared" si="0"/>
        <v>0</v>
      </c>
      <c r="G7" s="4">
        <v>12050000</v>
      </c>
      <c r="H7" s="4">
        <v>12043918</v>
      </c>
      <c r="I7" s="4">
        <v>0</v>
      </c>
      <c r="J7" s="4">
        <v>3199</v>
      </c>
      <c r="K7" s="4">
        <f t="shared" si="1"/>
        <v>3199</v>
      </c>
      <c r="L7" s="4">
        <f t="shared" si="2"/>
        <v>12047117</v>
      </c>
      <c r="M7" s="4">
        <f>P7+S7</f>
        <v>2883</v>
      </c>
      <c r="N7" s="4"/>
      <c r="O7" s="4">
        <f t="shared" si="3"/>
        <v>0</v>
      </c>
      <c r="P7" s="4">
        <f t="shared" si="4"/>
        <v>2883</v>
      </c>
      <c r="Q7" s="4"/>
      <c r="R7" s="4"/>
      <c r="S7" s="4">
        <f t="shared" si="5"/>
        <v>0</v>
      </c>
      <c r="T7" s="4">
        <f t="shared" si="6"/>
        <v>0</v>
      </c>
      <c r="U7" s="4">
        <f t="shared" si="7"/>
        <v>0</v>
      </c>
      <c r="V7" s="10">
        <f>U7-W7-X7-Z7-AA7</f>
        <v>0</v>
      </c>
      <c r="W7" s="4"/>
      <c r="X7" s="4"/>
      <c r="Y7" s="4"/>
      <c r="Z7" s="4"/>
      <c r="AA7" s="4"/>
      <c r="AB7" s="3" t="s">
        <v>606</v>
      </c>
      <c r="AC7" s="3">
        <v>746000</v>
      </c>
      <c r="AD7" s="171"/>
      <c r="AE7" s="4"/>
      <c r="AF7" s="4"/>
      <c r="AG7" s="4"/>
      <c r="AH7" s="4"/>
      <c r="AI7" s="4"/>
      <c r="AJ7" s="4"/>
      <c r="AK7" s="4"/>
      <c r="AL7" s="4"/>
      <c r="AM7" s="4">
        <f t="shared" ref="AM7:AM42" si="9">SUM(AD7:AL7)</f>
        <v>0</v>
      </c>
      <c r="AN7" s="4">
        <f t="shared" si="8"/>
        <v>0</v>
      </c>
      <c r="AO7" s="4">
        <f>AM7-AP7-AT7</f>
        <v>0</v>
      </c>
      <c r="AP7" s="3"/>
      <c r="AQ7" s="3"/>
      <c r="AR7" s="3"/>
      <c r="AS7" s="3"/>
      <c r="AT7" s="3"/>
    </row>
    <row r="8" spans="1:46" s="5" customFormat="1" ht="30" customHeight="1">
      <c r="A8" s="3">
        <f t="shared" ref="A8:A42" si="10">A7+1</f>
        <v>3</v>
      </c>
      <c r="B8" s="3">
        <v>1210</v>
      </c>
      <c r="C8" s="3" t="s">
        <v>64</v>
      </c>
      <c r="D8" s="4">
        <v>113550000</v>
      </c>
      <c r="E8" s="4">
        <v>89650000</v>
      </c>
      <c r="F8" s="4">
        <f t="shared" si="0"/>
        <v>23900000</v>
      </c>
      <c r="G8" s="4">
        <v>85250000</v>
      </c>
      <c r="H8" s="4">
        <v>80024869</v>
      </c>
      <c r="I8" s="4">
        <v>0</v>
      </c>
      <c r="J8" s="4">
        <v>754523</v>
      </c>
      <c r="K8" s="4">
        <f t="shared" si="1"/>
        <v>754523</v>
      </c>
      <c r="L8" s="4">
        <f t="shared" si="2"/>
        <v>80779392</v>
      </c>
      <c r="M8" s="4">
        <f>P8+S8</f>
        <v>4470608</v>
      </c>
      <c r="N8" s="4">
        <v>19300000</v>
      </c>
      <c r="O8" s="4">
        <f t="shared" si="3"/>
        <v>9000000</v>
      </c>
      <c r="P8" s="4">
        <f t="shared" si="4"/>
        <v>4470608</v>
      </c>
      <c r="Q8" s="4"/>
      <c r="R8" s="4"/>
      <c r="S8" s="4">
        <f t="shared" si="5"/>
        <v>0</v>
      </c>
      <c r="T8" s="4">
        <f t="shared" si="6"/>
        <v>0</v>
      </c>
      <c r="U8" s="4">
        <f t="shared" si="7"/>
        <v>19300000</v>
      </c>
      <c r="V8" s="10"/>
      <c r="W8" s="4"/>
      <c r="X8" s="4"/>
      <c r="Y8" s="4"/>
      <c r="Z8" s="4"/>
      <c r="AA8" s="4">
        <f>U8</f>
        <v>19300000</v>
      </c>
      <c r="AB8" s="3" t="s">
        <v>588</v>
      </c>
      <c r="AC8" s="3">
        <v>764000</v>
      </c>
      <c r="AD8" s="171"/>
      <c r="AE8" s="4">
        <v>1000000</v>
      </c>
      <c r="AF8" s="4">
        <v>1000000</v>
      </c>
      <c r="AG8" s="4"/>
      <c r="AH8" s="4"/>
      <c r="AI8" s="4">
        <v>1650000</v>
      </c>
      <c r="AJ8" s="4">
        <v>1500000</v>
      </c>
      <c r="AK8" s="4">
        <v>2000000</v>
      </c>
      <c r="AL8" s="4"/>
      <c r="AM8" s="4">
        <f t="shared" si="9"/>
        <v>7150000</v>
      </c>
      <c r="AN8" s="4">
        <f t="shared" si="8"/>
        <v>12150000</v>
      </c>
      <c r="AO8" s="4"/>
      <c r="AP8" s="4"/>
      <c r="AQ8" s="3"/>
      <c r="AR8" s="3"/>
      <c r="AS8" s="3"/>
      <c r="AT8" s="190">
        <f>AM8</f>
        <v>7150000</v>
      </c>
    </row>
    <row r="9" spans="1:46" s="5" customFormat="1" ht="30" customHeight="1">
      <c r="A9" s="3">
        <f t="shared" si="10"/>
        <v>4</v>
      </c>
      <c r="B9" s="3">
        <v>1254</v>
      </c>
      <c r="C9" s="3" t="s">
        <v>360</v>
      </c>
      <c r="D9" s="4">
        <v>49000000</v>
      </c>
      <c r="E9" s="4">
        <v>45990000</v>
      </c>
      <c r="F9" s="4">
        <f t="shared" si="0"/>
        <v>3010000</v>
      </c>
      <c r="G9" s="4">
        <v>39772866</v>
      </c>
      <c r="H9" s="4">
        <v>37044062</v>
      </c>
      <c r="I9" s="4">
        <v>0</v>
      </c>
      <c r="J9" s="4">
        <v>2638448</v>
      </c>
      <c r="K9" s="4">
        <f t="shared" si="1"/>
        <v>2638448</v>
      </c>
      <c r="L9" s="4">
        <f t="shared" si="2"/>
        <v>39682510</v>
      </c>
      <c r="M9" s="4">
        <f>P9+S9</f>
        <v>90356</v>
      </c>
      <c r="N9" s="4">
        <f>7000000-1184000+484000-3000000</f>
        <v>3300000</v>
      </c>
      <c r="O9" s="4">
        <f t="shared" si="3"/>
        <v>5927134</v>
      </c>
      <c r="P9" s="4">
        <f t="shared" si="4"/>
        <v>90356</v>
      </c>
      <c r="Q9" s="4"/>
      <c r="R9" s="4"/>
      <c r="S9" s="4">
        <f t="shared" si="5"/>
        <v>0</v>
      </c>
      <c r="T9" s="4">
        <f t="shared" si="6"/>
        <v>0</v>
      </c>
      <c r="U9" s="4">
        <f t="shared" si="7"/>
        <v>3300000</v>
      </c>
      <c r="V9" s="10">
        <f t="shared" ref="V9:V41" si="11">U9-W9-X9-Z9-AA9</f>
        <v>0</v>
      </c>
      <c r="W9" s="4">
        <f>2000000+1300000</f>
        <v>3300000</v>
      </c>
      <c r="X9" s="4"/>
      <c r="Y9" s="4"/>
      <c r="Z9" s="4"/>
      <c r="AA9" s="4"/>
      <c r="AB9" s="3" t="s">
        <v>589</v>
      </c>
      <c r="AC9" s="3">
        <v>746000</v>
      </c>
      <c r="AD9" s="171"/>
      <c r="AE9" s="4">
        <v>1500000</v>
      </c>
      <c r="AF9" s="4">
        <v>1000000</v>
      </c>
      <c r="AG9" s="4"/>
      <c r="AH9" s="4">
        <v>150000</v>
      </c>
      <c r="AI9" s="4">
        <v>650000</v>
      </c>
      <c r="AJ9" s="4"/>
      <c r="AK9" s="4"/>
      <c r="AL9" s="4"/>
      <c r="AM9" s="4">
        <f t="shared" si="9"/>
        <v>3300000</v>
      </c>
      <c r="AN9" s="4">
        <f t="shared" si="8"/>
        <v>0</v>
      </c>
      <c r="AO9" s="4"/>
      <c r="AP9" s="4">
        <f>AM9-AO9</f>
        <v>3300000</v>
      </c>
      <c r="AQ9" s="3"/>
      <c r="AR9" s="3"/>
      <c r="AS9" s="3"/>
      <c r="AT9" s="3"/>
    </row>
    <row r="10" spans="1:46" s="5" customFormat="1" ht="30" customHeight="1">
      <c r="A10" s="3">
        <f t="shared" si="10"/>
        <v>5</v>
      </c>
      <c r="B10" s="3">
        <v>1342</v>
      </c>
      <c r="C10" s="3" t="s">
        <v>71</v>
      </c>
      <c r="D10" s="4">
        <v>4700000</v>
      </c>
      <c r="E10" s="4">
        <v>4000000</v>
      </c>
      <c r="F10" s="4">
        <f t="shared" si="0"/>
        <v>700000</v>
      </c>
      <c r="G10" s="4">
        <f>2890000</f>
        <v>2890000</v>
      </c>
      <c r="H10" s="4">
        <v>2728645</v>
      </c>
      <c r="I10" s="4">
        <v>0</v>
      </c>
      <c r="J10" s="4">
        <v>131353</v>
      </c>
      <c r="K10" s="4">
        <f t="shared" si="1"/>
        <v>131353</v>
      </c>
      <c r="L10" s="4">
        <f t="shared" si="2"/>
        <v>2859998</v>
      </c>
      <c r="M10" s="4">
        <f>P10+S10</f>
        <v>30002</v>
      </c>
      <c r="N10" s="4">
        <f>1050000-1050000</f>
        <v>0</v>
      </c>
      <c r="O10" s="4">
        <f t="shared" si="3"/>
        <v>1810000</v>
      </c>
      <c r="P10" s="4">
        <f t="shared" si="4"/>
        <v>30002</v>
      </c>
      <c r="Q10" s="4"/>
      <c r="R10" s="4"/>
      <c r="S10" s="4">
        <f t="shared" si="5"/>
        <v>0</v>
      </c>
      <c r="T10" s="4">
        <f t="shared" si="6"/>
        <v>0</v>
      </c>
      <c r="U10" s="4">
        <f t="shared" si="7"/>
        <v>0</v>
      </c>
      <c r="V10" s="10">
        <f t="shared" si="11"/>
        <v>0</v>
      </c>
      <c r="W10" s="4"/>
      <c r="X10" s="4"/>
      <c r="Y10" s="4"/>
      <c r="Z10" s="4"/>
      <c r="AA10" s="4"/>
      <c r="AB10" s="3" t="s">
        <v>758</v>
      </c>
      <c r="AC10" s="3">
        <v>746000</v>
      </c>
      <c r="AD10" s="171"/>
      <c r="AE10" s="4"/>
      <c r="AF10" s="4"/>
      <c r="AG10" s="4"/>
      <c r="AH10" s="4"/>
      <c r="AI10" s="4"/>
      <c r="AJ10" s="4"/>
      <c r="AK10" s="4"/>
      <c r="AL10" s="4"/>
      <c r="AM10" s="4">
        <f t="shared" si="9"/>
        <v>0</v>
      </c>
      <c r="AN10" s="4">
        <f t="shared" si="8"/>
        <v>0</v>
      </c>
      <c r="AO10" s="4"/>
      <c r="AP10" s="4">
        <f>AM10-AO10</f>
        <v>0</v>
      </c>
      <c r="AQ10" s="3"/>
      <c r="AR10" s="3"/>
      <c r="AS10" s="3"/>
      <c r="AT10" s="3"/>
    </row>
    <row r="11" spans="1:46" s="5" customFormat="1" ht="30" customHeight="1">
      <c r="A11" s="3">
        <f t="shared" si="10"/>
        <v>6</v>
      </c>
      <c r="B11" s="3">
        <v>1343</v>
      </c>
      <c r="C11" s="3" t="s">
        <v>72</v>
      </c>
      <c r="D11" s="4">
        <f>8320000-1300000</f>
        <v>7020000</v>
      </c>
      <c r="E11" s="4">
        <v>8320000</v>
      </c>
      <c r="F11" s="4">
        <f t="shared" si="0"/>
        <v>-1300000</v>
      </c>
      <c r="G11" s="4">
        <v>7020000</v>
      </c>
      <c r="H11" s="4">
        <v>6091577</v>
      </c>
      <c r="I11" s="4">
        <v>0</v>
      </c>
      <c r="J11" s="4">
        <v>377960</v>
      </c>
      <c r="K11" s="4">
        <f t="shared" si="1"/>
        <v>377960</v>
      </c>
      <c r="L11" s="4">
        <f t="shared" si="2"/>
        <v>6469537</v>
      </c>
      <c r="M11" s="4">
        <f>P11+S11-500000</f>
        <v>50463</v>
      </c>
      <c r="N11" s="4">
        <v>500000</v>
      </c>
      <c r="O11" s="4">
        <f t="shared" si="3"/>
        <v>0</v>
      </c>
      <c r="P11" s="4">
        <f t="shared" si="4"/>
        <v>550463</v>
      </c>
      <c r="Q11" s="4"/>
      <c r="R11" s="4"/>
      <c r="S11" s="4">
        <f t="shared" si="5"/>
        <v>0</v>
      </c>
      <c r="T11" s="4">
        <f t="shared" si="6"/>
        <v>500000</v>
      </c>
      <c r="U11" s="4">
        <f t="shared" si="7"/>
        <v>0</v>
      </c>
      <c r="V11" s="10">
        <f t="shared" si="11"/>
        <v>0</v>
      </c>
      <c r="W11" s="4"/>
      <c r="X11" s="4"/>
      <c r="Y11" s="4"/>
      <c r="Z11" s="4"/>
      <c r="AA11" s="4"/>
      <c r="AB11" s="3" t="s">
        <v>677</v>
      </c>
      <c r="AC11" s="3">
        <v>746000</v>
      </c>
      <c r="AD11" s="171"/>
      <c r="AE11" s="4"/>
      <c r="AF11" s="4"/>
      <c r="AG11" s="4"/>
      <c r="AH11" s="4"/>
      <c r="AI11" s="4"/>
      <c r="AJ11" s="4"/>
      <c r="AK11" s="4"/>
      <c r="AL11" s="4"/>
      <c r="AM11" s="4">
        <f t="shared" si="9"/>
        <v>0</v>
      </c>
      <c r="AN11" s="4">
        <f t="shared" si="8"/>
        <v>0</v>
      </c>
      <c r="AO11" s="4"/>
      <c r="AP11" s="4">
        <f>AM11-AO11</f>
        <v>0</v>
      </c>
      <c r="AQ11" s="3"/>
      <c r="AR11" s="3"/>
      <c r="AS11" s="3"/>
      <c r="AT11" s="3"/>
    </row>
    <row r="12" spans="1:46" s="5" customFormat="1" ht="30" customHeight="1">
      <c r="A12" s="3">
        <f t="shared" si="10"/>
        <v>7</v>
      </c>
      <c r="B12" s="3">
        <v>1345</v>
      </c>
      <c r="C12" s="3" t="s">
        <v>443</v>
      </c>
      <c r="D12" s="4">
        <f>1739000-856000</f>
        <v>883000</v>
      </c>
      <c r="E12" s="4">
        <v>1739000</v>
      </c>
      <c r="F12" s="4">
        <f t="shared" si="0"/>
        <v>-856000</v>
      </c>
      <c r="G12" s="4">
        <v>883000</v>
      </c>
      <c r="H12" s="4">
        <v>825751</v>
      </c>
      <c r="I12" s="4">
        <v>0</v>
      </c>
      <c r="J12" s="4">
        <v>9360</v>
      </c>
      <c r="K12" s="4">
        <f t="shared" si="1"/>
        <v>9360</v>
      </c>
      <c r="L12" s="4">
        <f t="shared" si="2"/>
        <v>835111</v>
      </c>
      <c r="M12" s="4">
        <f>P12+S12</f>
        <v>47889</v>
      </c>
      <c r="N12" s="4"/>
      <c r="O12" s="4">
        <f t="shared" si="3"/>
        <v>0</v>
      </c>
      <c r="P12" s="4">
        <f t="shared" si="4"/>
        <v>47889</v>
      </c>
      <c r="Q12" s="4"/>
      <c r="R12" s="4"/>
      <c r="S12" s="4">
        <f t="shared" si="5"/>
        <v>0</v>
      </c>
      <c r="T12" s="4">
        <f t="shared" si="6"/>
        <v>0</v>
      </c>
      <c r="U12" s="4">
        <f t="shared" si="7"/>
        <v>0</v>
      </c>
      <c r="V12" s="10">
        <f t="shared" si="11"/>
        <v>0</v>
      </c>
      <c r="W12" s="4"/>
      <c r="X12" s="4"/>
      <c r="Y12" s="4"/>
      <c r="Z12" s="4"/>
      <c r="AA12" s="4"/>
      <c r="AB12" s="3" t="s">
        <v>551</v>
      </c>
      <c r="AC12" s="3">
        <v>870000</v>
      </c>
      <c r="AD12" s="4"/>
      <c r="AE12" s="4"/>
      <c r="AF12" s="4"/>
      <c r="AG12" s="4"/>
      <c r="AH12" s="4"/>
      <c r="AI12" s="4"/>
      <c r="AJ12" s="4"/>
      <c r="AK12" s="4"/>
      <c r="AL12" s="4"/>
      <c r="AM12" s="4">
        <f t="shared" si="9"/>
        <v>0</v>
      </c>
      <c r="AN12" s="4">
        <f t="shared" si="8"/>
        <v>0</v>
      </c>
      <c r="AO12" s="4"/>
      <c r="AP12" s="4">
        <f>AM12-AO12</f>
        <v>0</v>
      </c>
      <c r="AQ12" s="3"/>
      <c r="AR12" s="3"/>
      <c r="AS12" s="3"/>
      <c r="AT12" s="3"/>
    </row>
    <row r="13" spans="1:46" s="5" customFormat="1" ht="30" customHeight="1">
      <c r="A13" s="3">
        <f t="shared" si="10"/>
        <v>8</v>
      </c>
      <c r="B13" s="3">
        <v>1435</v>
      </c>
      <c r="C13" s="30" t="s">
        <v>552</v>
      </c>
      <c r="D13" s="4">
        <f>31274320+1300000</f>
        <v>32574320</v>
      </c>
      <c r="E13" s="4">
        <v>31274320</v>
      </c>
      <c r="F13" s="4">
        <f t="shared" si="0"/>
        <v>1300000</v>
      </c>
      <c r="G13" s="4">
        <v>29074320</v>
      </c>
      <c r="H13" s="4">
        <v>25932742</v>
      </c>
      <c r="I13" s="4">
        <v>0</v>
      </c>
      <c r="J13" s="4">
        <v>2329566</v>
      </c>
      <c r="K13" s="4">
        <f t="shared" si="1"/>
        <v>2329566</v>
      </c>
      <c r="L13" s="4">
        <f t="shared" si="2"/>
        <v>28262308</v>
      </c>
      <c r="M13" s="4">
        <f>P13+S13</f>
        <v>812012</v>
      </c>
      <c r="N13" s="4">
        <f>3500000-1000000+300000</f>
        <v>2800000</v>
      </c>
      <c r="O13" s="4">
        <f t="shared" si="3"/>
        <v>700000</v>
      </c>
      <c r="P13" s="4">
        <f t="shared" si="4"/>
        <v>812012</v>
      </c>
      <c r="Q13" s="4"/>
      <c r="R13" s="4"/>
      <c r="S13" s="4">
        <f t="shared" si="5"/>
        <v>0</v>
      </c>
      <c r="T13" s="4">
        <f t="shared" si="6"/>
        <v>0</v>
      </c>
      <c r="U13" s="4">
        <f t="shared" si="7"/>
        <v>2800000</v>
      </c>
      <c r="V13" s="10">
        <f t="shared" si="11"/>
        <v>0</v>
      </c>
      <c r="W13" s="4">
        <v>2800000</v>
      </c>
      <c r="X13" s="4"/>
      <c r="Y13" s="4"/>
      <c r="Z13" s="4"/>
      <c r="AA13" s="4"/>
      <c r="AB13" s="64" t="s">
        <v>678</v>
      </c>
      <c r="AC13" s="3">
        <v>848500</v>
      </c>
      <c r="AD13" s="171"/>
      <c r="AE13" s="4"/>
      <c r="AF13" s="4">
        <f>1000000+800000</f>
        <v>1800000</v>
      </c>
      <c r="AG13" s="4"/>
      <c r="AH13" s="4"/>
      <c r="AI13" s="4">
        <v>1000000</v>
      </c>
      <c r="AJ13" s="4"/>
      <c r="AK13" s="4"/>
      <c r="AL13" s="4"/>
      <c r="AM13" s="4">
        <f t="shared" si="9"/>
        <v>2800000</v>
      </c>
      <c r="AN13" s="4">
        <f t="shared" si="8"/>
        <v>0</v>
      </c>
      <c r="AO13" s="4"/>
      <c r="AP13" s="4">
        <f>AM13-AO13</f>
        <v>2800000</v>
      </c>
      <c r="AQ13" s="3"/>
      <c r="AR13" s="3"/>
      <c r="AS13" s="3"/>
      <c r="AT13" s="3"/>
    </row>
    <row r="14" spans="1:46" s="5" customFormat="1" ht="30" customHeight="1">
      <c r="A14" s="3">
        <f t="shared" si="10"/>
        <v>9</v>
      </c>
      <c r="B14" s="3">
        <v>1491</v>
      </c>
      <c r="C14" s="3" t="s">
        <v>2021</v>
      </c>
      <c r="D14" s="4">
        <v>6870000</v>
      </c>
      <c r="E14" s="4">
        <v>6870000</v>
      </c>
      <c r="F14" s="4">
        <f t="shared" si="0"/>
        <v>0</v>
      </c>
      <c r="G14" s="4">
        <v>6870000</v>
      </c>
      <c r="H14" s="4">
        <v>6814753</v>
      </c>
      <c r="I14" s="4">
        <v>0</v>
      </c>
      <c r="J14" s="4">
        <v>53410</v>
      </c>
      <c r="K14" s="4">
        <f t="shared" si="1"/>
        <v>53410</v>
      </c>
      <c r="L14" s="4">
        <f t="shared" si="2"/>
        <v>6868163</v>
      </c>
      <c r="M14" s="4">
        <f>P14+S14</f>
        <v>1837</v>
      </c>
      <c r="N14" s="4"/>
      <c r="O14" s="4">
        <f t="shared" si="3"/>
        <v>0</v>
      </c>
      <c r="P14" s="4">
        <f t="shared" si="4"/>
        <v>1837</v>
      </c>
      <c r="Q14" s="4"/>
      <c r="R14" s="4"/>
      <c r="S14" s="4">
        <f t="shared" si="5"/>
        <v>0</v>
      </c>
      <c r="T14" s="4">
        <f t="shared" si="6"/>
        <v>0</v>
      </c>
      <c r="U14" s="4">
        <f t="shared" si="7"/>
        <v>0</v>
      </c>
      <c r="V14" s="10">
        <f t="shared" si="11"/>
        <v>0</v>
      </c>
      <c r="W14" s="4"/>
      <c r="X14" s="4"/>
      <c r="Y14" s="4"/>
      <c r="Z14" s="4"/>
      <c r="AA14" s="4"/>
      <c r="AB14" s="64" t="s">
        <v>607</v>
      </c>
      <c r="AC14" s="3">
        <v>746000</v>
      </c>
      <c r="AD14" s="171"/>
      <c r="AE14" s="4"/>
      <c r="AF14" s="4"/>
      <c r="AG14" s="4"/>
      <c r="AH14" s="4"/>
      <c r="AI14" s="4"/>
      <c r="AJ14" s="4"/>
      <c r="AK14" s="4"/>
      <c r="AL14" s="4"/>
      <c r="AM14" s="4">
        <f t="shared" si="9"/>
        <v>0</v>
      </c>
      <c r="AN14" s="4">
        <f t="shared" si="8"/>
        <v>0</v>
      </c>
      <c r="AO14" s="4"/>
      <c r="AP14" s="4">
        <f t="shared" ref="AP14:AP42" si="12">AM14-AO14</f>
        <v>0</v>
      </c>
      <c r="AQ14" s="3"/>
      <c r="AR14" s="3"/>
      <c r="AS14" s="3"/>
      <c r="AT14" s="3"/>
    </row>
    <row r="15" spans="1:46" s="5" customFormat="1" ht="30" customHeight="1">
      <c r="A15" s="3">
        <f t="shared" si="10"/>
        <v>10</v>
      </c>
      <c r="B15" s="3">
        <v>1504</v>
      </c>
      <c r="C15" s="3" t="s">
        <v>73</v>
      </c>
      <c r="D15" s="4">
        <v>2500000</v>
      </c>
      <c r="E15" s="4">
        <v>2000000</v>
      </c>
      <c r="F15" s="4">
        <f t="shared" si="0"/>
        <v>500000</v>
      </c>
      <c r="G15" s="4">
        <v>1500000</v>
      </c>
      <c r="H15" s="4">
        <v>1461344</v>
      </c>
      <c r="I15" s="4">
        <v>0</v>
      </c>
      <c r="J15" s="4">
        <v>0</v>
      </c>
      <c r="K15" s="4">
        <f t="shared" si="1"/>
        <v>0</v>
      </c>
      <c r="L15" s="4">
        <f t="shared" si="2"/>
        <v>1461344</v>
      </c>
      <c r="M15" s="4">
        <f>P15+S15</f>
        <v>38656</v>
      </c>
      <c r="N15" s="4">
        <f>500000-500000</f>
        <v>0</v>
      </c>
      <c r="O15" s="4">
        <f t="shared" si="3"/>
        <v>1000000</v>
      </c>
      <c r="P15" s="4">
        <f t="shared" si="4"/>
        <v>38656</v>
      </c>
      <c r="Q15" s="4"/>
      <c r="R15" s="4"/>
      <c r="S15" s="4">
        <f t="shared" si="5"/>
        <v>0</v>
      </c>
      <c r="T15" s="4">
        <f t="shared" si="6"/>
        <v>0</v>
      </c>
      <c r="U15" s="4">
        <f t="shared" si="7"/>
        <v>0</v>
      </c>
      <c r="V15" s="10">
        <f t="shared" si="11"/>
        <v>0</v>
      </c>
      <c r="W15" s="4"/>
      <c r="X15" s="4"/>
      <c r="Y15" s="4"/>
      <c r="Z15" s="4"/>
      <c r="AA15" s="4"/>
      <c r="AB15" s="3" t="s">
        <v>553</v>
      </c>
      <c r="AC15" s="3">
        <v>746000</v>
      </c>
      <c r="AD15" s="171"/>
      <c r="AE15" s="4"/>
      <c r="AF15" s="4"/>
      <c r="AG15" s="4"/>
      <c r="AH15" s="4"/>
      <c r="AI15" s="4"/>
      <c r="AJ15" s="4"/>
      <c r="AK15" s="4"/>
      <c r="AL15" s="4"/>
      <c r="AM15" s="4">
        <f t="shared" si="9"/>
        <v>0</v>
      </c>
      <c r="AN15" s="4">
        <f t="shared" si="8"/>
        <v>0</v>
      </c>
      <c r="AO15" s="4"/>
      <c r="AP15" s="4">
        <f t="shared" si="12"/>
        <v>0</v>
      </c>
      <c r="AQ15" s="3"/>
      <c r="AR15" s="3"/>
      <c r="AS15" s="3"/>
      <c r="AT15" s="3"/>
    </row>
    <row r="16" spans="1:46" s="5" customFormat="1" ht="30" customHeight="1">
      <c r="A16" s="3">
        <f t="shared" si="10"/>
        <v>11</v>
      </c>
      <c r="B16" s="3">
        <v>1579</v>
      </c>
      <c r="C16" s="3" t="s">
        <v>2289</v>
      </c>
      <c r="D16" s="4">
        <v>170000</v>
      </c>
      <c r="E16" s="4">
        <v>170000</v>
      </c>
      <c r="F16" s="4">
        <f t="shared" si="0"/>
        <v>0</v>
      </c>
      <c r="G16" s="4">
        <v>170000</v>
      </c>
      <c r="H16" s="4">
        <v>155741</v>
      </c>
      <c r="I16" s="4">
        <v>0</v>
      </c>
      <c r="J16" s="4">
        <v>5137</v>
      </c>
      <c r="K16" s="4">
        <f t="shared" si="1"/>
        <v>5137</v>
      </c>
      <c r="L16" s="4">
        <f t="shared" si="2"/>
        <v>160878</v>
      </c>
      <c r="M16" s="4">
        <f>P16+S16-9000</f>
        <v>122</v>
      </c>
      <c r="N16" s="4"/>
      <c r="O16" s="4">
        <f t="shared" si="3"/>
        <v>9000</v>
      </c>
      <c r="P16" s="4">
        <f t="shared" si="4"/>
        <v>9122</v>
      </c>
      <c r="Q16" s="4"/>
      <c r="R16" s="4"/>
      <c r="S16" s="4">
        <f t="shared" si="5"/>
        <v>0</v>
      </c>
      <c r="T16" s="4">
        <f t="shared" si="6"/>
        <v>9000</v>
      </c>
      <c r="U16" s="4">
        <f t="shared" si="7"/>
        <v>-9000</v>
      </c>
      <c r="V16" s="10">
        <f t="shared" si="11"/>
        <v>-9000</v>
      </c>
      <c r="W16" s="4"/>
      <c r="X16" s="4"/>
      <c r="Y16" s="4"/>
      <c r="Z16" s="4"/>
      <c r="AA16" s="4"/>
      <c r="AB16" s="3" t="s">
        <v>679</v>
      </c>
      <c r="AC16" s="3">
        <v>870000</v>
      </c>
      <c r="AD16" s="4">
        <v>-9000</v>
      </c>
      <c r="AE16" s="3"/>
      <c r="AF16" s="3"/>
      <c r="AG16" s="3"/>
      <c r="AH16" s="3"/>
      <c r="AI16" s="3"/>
      <c r="AJ16" s="3"/>
      <c r="AK16" s="3"/>
      <c r="AL16" s="3"/>
      <c r="AM16" s="4">
        <f t="shared" si="9"/>
        <v>-9000</v>
      </c>
      <c r="AN16" s="4">
        <f t="shared" si="8"/>
        <v>0</v>
      </c>
      <c r="AO16" s="4">
        <f>AM16-AP16-AT16</f>
        <v>-9000</v>
      </c>
      <c r="AP16" s="3"/>
      <c r="AQ16" s="3"/>
      <c r="AR16" s="3"/>
      <c r="AS16" s="3"/>
      <c r="AT16" s="3"/>
    </row>
    <row r="17" spans="1:46" s="5" customFormat="1" ht="30" customHeight="1">
      <c r="A17" s="3">
        <f t="shared" si="10"/>
        <v>12</v>
      </c>
      <c r="B17" s="3">
        <v>1598</v>
      </c>
      <c r="C17" s="3" t="s">
        <v>61</v>
      </c>
      <c r="D17" s="4">
        <f>724500-108000</f>
        <v>616500</v>
      </c>
      <c r="E17" s="4">
        <v>724500</v>
      </c>
      <c r="F17" s="4">
        <f t="shared" si="0"/>
        <v>-108000</v>
      </c>
      <c r="G17" s="4">
        <v>616500</v>
      </c>
      <c r="H17" s="4">
        <v>454074</v>
      </c>
      <c r="I17" s="4">
        <v>0</v>
      </c>
      <c r="J17" s="4">
        <v>70325</v>
      </c>
      <c r="K17" s="4">
        <f t="shared" si="1"/>
        <v>70325</v>
      </c>
      <c r="L17" s="4">
        <f t="shared" si="2"/>
        <v>524399</v>
      </c>
      <c r="M17" s="4">
        <f>P17+S17</f>
        <v>92101</v>
      </c>
      <c r="N17" s="4"/>
      <c r="O17" s="4">
        <f t="shared" si="3"/>
        <v>0</v>
      </c>
      <c r="P17" s="4">
        <f t="shared" si="4"/>
        <v>92101</v>
      </c>
      <c r="Q17" s="4"/>
      <c r="R17" s="4"/>
      <c r="S17" s="4">
        <f t="shared" si="5"/>
        <v>0</v>
      </c>
      <c r="T17" s="4">
        <f t="shared" si="6"/>
        <v>0</v>
      </c>
      <c r="U17" s="4">
        <f t="shared" si="7"/>
        <v>0</v>
      </c>
      <c r="V17" s="10">
        <f t="shared" si="11"/>
        <v>0</v>
      </c>
      <c r="W17" s="4"/>
      <c r="X17" s="4"/>
      <c r="Y17" s="4"/>
      <c r="Z17" s="4"/>
      <c r="AA17" s="4"/>
      <c r="AB17" s="3" t="s">
        <v>590</v>
      </c>
      <c r="AC17" s="3">
        <v>870000</v>
      </c>
      <c r="AD17" s="4"/>
      <c r="AE17" s="3"/>
      <c r="AF17" s="3"/>
      <c r="AG17" s="3"/>
      <c r="AH17" s="3"/>
      <c r="AI17" s="3"/>
      <c r="AJ17" s="3"/>
      <c r="AK17" s="3"/>
      <c r="AL17" s="3"/>
      <c r="AM17" s="4">
        <f t="shared" si="9"/>
        <v>0</v>
      </c>
      <c r="AN17" s="4">
        <f t="shared" si="8"/>
        <v>0</v>
      </c>
      <c r="AO17" s="4"/>
      <c r="AP17" s="4">
        <f t="shared" si="12"/>
        <v>0</v>
      </c>
      <c r="AQ17" s="3"/>
      <c r="AR17" s="3"/>
      <c r="AS17" s="3"/>
      <c r="AT17" s="3"/>
    </row>
    <row r="18" spans="1:46" s="5" customFormat="1" ht="30" customHeight="1">
      <c r="A18" s="3">
        <f t="shared" si="10"/>
        <v>13</v>
      </c>
      <c r="B18" s="3">
        <v>1680</v>
      </c>
      <c r="C18" s="3" t="s">
        <v>74</v>
      </c>
      <c r="D18" s="4">
        <v>2800000</v>
      </c>
      <c r="E18" s="4">
        <v>950000</v>
      </c>
      <c r="F18" s="4">
        <f t="shared" si="0"/>
        <v>1850000</v>
      </c>
      <c r="G18" s="4">
        <v>500000</v>
      </c>
      <c r="H18" s="4">
        <v>427578</v>
      </c>
      <c r="I18" s="4">
        <v>0</v>
      </c>
      <c r="J18" s="4">
        <v>60790</v>
      </c>
      <c r="K18" s="4">
        <f t="shared" si="1"/>
        <v>60790</v>
      </c>
      <c r="L18" s="4">
        <f t="shared" si="2"/>
        <v>488368</v>
      </c>
      <c r="M18" s="4">
        <f>P18+S18</f>
        <v>11632</v>
      </c>
      <c r="N18" s="4">
        <f>1150000-650000</f>
        <v>500000</v>
      </c>
      <c r="O18" s="4">
        <f t="shared" si="3"/>
        <v>1800000</v>
      </c>
      <c r="P18" s="4">
        <f t="shared" si="4"/>
        <v>11632</v>
      </c>
      <c r="Q18" s="4"/>
      <c r="R18" s="4"/>
      <c r="S18" s="4">
        <f t="shared" si="5"/>
        <v>0</v>
      </c>
      <c r="T18" s="4">
        <f t="shared" si="6"/>
        <v>0</v>
      </c>
      <c r="U18" s="4">
        <f t="shared" si="7"/>
        <v>500000</v>
      </c>
      <c r="V18" s="10">
        <f t="shared" si="11"/>
        <v>0</v>
      </c>
      <c r="W18" s="4">
        <v>500000</v>
      </c>
      <c r="X18" s="4"/>
      <c r="Y18" s="4"/>
      <c r="Z18" s="4"/>
      <c r="AA18" s="4"/>
      <c r="AB18" s="3" t="s">
        <v>680</v>
      </c>
      <c r="AC18" s="3">
        <v>746000</v>
      </c>
      <c r="AD18" s="171"/>
      <c r="AE18" s="4">
        <v>300000</v>
      </c>
      <c r="AF18" s="4"/>
      <c r="AG18" s="4"/>
      <c r="AH18" s="4"/>
      <c r="AI18" s="4"/>
      <c r="AJ18" s="4"/>
      <c r="AK18" s="4"/>
      <c r="AL18" s="4"/>
      <c r="AM18" s="4">
        <f t="shared" si="9"/>
        <v>300000</v>
      </c>
      <c r="AN18" s="4">
        <f t="shared" si="8"/>
        <v>200000</v>
      </c>
      <c r="AO18" s="4"/>
      <c r="AP18" s="4">
        <f t="shared" si="12"/>
        <v>300000</v>
      </c>
      <c r="AQ18" s="3"/>
      <c r="AR18" s="3"/>
      <c r="AS18" s="3"/>
      <c r="AT18" s="3"/>
    </row>
    <row r="19" spans="1:46" s="5" customFormat="1" ht="30" customHeight="1">
      <c r="A19" s="3">
        <f t="shared" si="10"/>
        <v>14</v>
      </c>
      <c r="B19" s="3">
        <v>1817</v>
      </c>
      <c r="C19" s="3" t="s">
        <v>109</v>
      </c>
      <c r="D19" s="4">
        <v>872000</v>
      </c>
      <c r="E19" s="4">
        <v>872000</v>
      </c>
      <c r="F19" s="4">
        <f t="shared" si="0"/>
        <v>0</v>
      </c>
      <c r="G19" s="4">
        <v>790000</v>
      </c>
      <c r="H19" s="4">
        <v>634858</v>
      </c>
      <c r="I19" s="4">
        <v>0</v>
      </c>
      <c r="J19" s="4">
        <v>39400</v>
      </c>
      <c r="K19" s="4">
        <f t="shared" si="1"/>
        <v>39400</v>
      </c>
      <c r="L19" s="4">
        <f t="shared" si="2"/>
        <v>674258</v>
      </c>
      <c r="M19" s="4">
        <f>P19+S19-100000</f>
        <v>15742</v>
      </c>
      <c r="N19" s="4">
        <v>182000</v>
      </c>
      <c r="O19" s="4">
        <f t="shared" si="3"/>
        <v>0</v>
      </c>
      <c r="P19" s="4">
        <f t="shared" si="4"/>
        <v>115742</v>
      </c>
      <c r="Q19" s="4"/>
      <c r="R19" s="4"/>
      <c r="S19" s="4">
        <f t="shared" si="5"/>
        <v>0</v>
      </c>
      <c r="T19" s="4">
        <f t="shared" si="6"/>
        <v>100000</v>
      </c>
      <c r="U19" s="4">
        <f t="shared" si="7"/>
        <v>82000</v>
      </c>
      <c r="V19" s="10">
        <f t="shared" si="11"/>
        <v>0</v>
      </c>
      <c r="W19" s="4"/>
      <c r="X19" s="4"/>
      <c r="Y19" s="4"/>
      <c r="Z19" s="4"/>
      <c r="AA19" s="4">
        <v>82000</v>
      </c>
      <c r="AB19" s="3" t="s">
        <v>780</v>
      </c>
      <c r="AC19" s="3">
        <v>810000</v>
      </c>
      <c r="AD19" s="4"/>
      <c r="AE19" s="3"/>
      <c r="AF19" s="3"/>
      <c r="AG19" s="3"/>
      <c r="AH19" s="3"/>
      <c r="AI19" s="3"/>
      <c r="AJ19" s="3"/>
      <c r="AK19" s="3"/>
      <c r="AL19" s="3"/>
      <c r="AM19" s="4">
        <f t="shared" si="9"/>
        <v>0</v>
      </c>
      <c r="AN19" s="4">
        <f t="shared" si="8"/>
        <v>82000</v>
      </c>
      <c r="AO19" s="4"/>
      <c r="AP19" s="4"/>
      <c r="AQ19" s="3"/>
      <c r="AR19" s="3"/>
      <c r="AS19" s="3"/>
      <c r="AT19" s="4">
        <f>AM19</f>
        <v>0</v>
      </c>
    </row>
    <row r="20" spans="1:46" s="5" customFormat="1" ht="30" customHeight="1">
      <c r="A20" s="3">
        <f t="shared" si="10"/>
        <v>15</v>
      </c>
      <c r="B20" s="3">
        <v>1831</v>
      </c>
      <c r="C20" s="3" t="s">
        <v>129</v>
      </c>
      <c r="D20" s="4">
        <v>146059</v>
      </c>
      <c r="E20" s="4">
        <v>146059</v>
      </c>
      <c r="F20" s="4">
        <f t="shared" si="0"/>
        <v>0</v>
      </c>
      <c r="G20" s="4">
        <v>146059</v>
      </c>
      <c r="H20" s="4">
        <v>38025</v>
      </c>
      <c r="I20" s="4">
        <v>0</v>
      </c>
      <c r="J20" s="4">
        <v>0</v>
      </c>
      <c r="K20" s="4">
        <f t="shared" si="1"/>
        <v>0</v>
      </c>
      <c r="L20" s="4">
        <f t="shared" si="2"/>
        <v>38025</v>
      </c>
      <c r="M20" s="4">
        <f>P20+S20</f>
        <v>108034</v>
      </c>
      <c r="N20" s="4"/>
      <c r="O20" s="4">
        <f t="shared" si="3"/>
        <v>0</v>
      </c>
      <c r="P20" s="4">
        <f t="shared" si="4"/>
        <v>108034</v>
      </c>
      <c r="Q20" s="4"/>
      <c r="R20" s="4"/>
      <c r="S20" s="4">
        <f t="shared" si="5"/>
        <v>0</v>
      </c>
      <c r="T20" s="4">
        <f t="shared" si="6"/>
        <v>0</v>
      </c>
      <c r="U20" s="4">
        <f t="shared" si="7"/>
        <v>0</v>
      </c>
      <c r="V20" s="10">
        <f t="shared" si="11"/>
        <v>0</v>
      </c>
      <c r="W20" s="4"/>
      <c r="X20" s="4"/>
      <c r="Y20" s="4"/>
      <c r="Z20" s="4"/>
      <c r="AA20" s="4"/>
      <c r="AB20" s="64" t="s">
        <v>681</v>
      </c>
      <c r="AC20" s="3">
        <v>870000</v>
      </c>
      <c r="AD20" s="4"/>
      <c r="AE20" s="3"/>
      <c r="AF20" s="3"/>
      <c r="AG20" s="3"/>
      <c r="AH20" s="3"/>
      <c r="AI20" s="3"/>
      <c r="AJ20" s="3"/>
      <c r="AK20" s="3"/>
      <c r="AL20" s="3"/>
      <c r="AM20" s="4">
        <f t="shared" si="9"/>
        <v>0</v>
      </c>
      <c r="AN20" s="4">
        <f t="shared" si="8"/>
        <v>0</v>
      </c>
      <c r="AO20" s="4"/>
      <c r="AP20" s="4">
        <f t="shared" si="12"/>
        <v>0</v>
      </c>
      <c r="AQ20" s="3"/>
      <c r="AR20" s="3"/>
      <c r="AS20" s="3"/>
      <c r="AT20" s="3"/>
    </row>
    <row r="21" spans="1:46" s="5" customFormat="1" ht="30" customHeight="1">
      <c r="A21" s="3">
        <f t="shared" si="10"/>
        <v>16</v>
      </c>
      <c r="B21" s="3">
        <v>1866</v>
      </c>
      <c r="C21" s="3" t="s">
        <v>132</v>
      </c>
      <c r="D21" s="4">
        <f>380000-80000-95000</f>
        <v>205000</v>
      </c>
      <c r="E21" s="4">
        <v>300000</v>
      </c>
      <c r="F21" s="4">
        <f t="shared" si="0"/>
        <v>-95000</v>
      </c>
      <c r="G21" s="4">
        <v>205000</v>
      </c>
      <c r="H21" s="4">
        <v>191823</v>
      </c>
      <c r="I21" s="4">
        <v>0</v>
      </c>
      <c r="J21" s="4">
        <v>12586</v>
      </c>
      <c r="K21" s="4">
        <f t="shared" si="1"/>
        <v>12586</v>
      </c>
      <c r="L21" s="4">
        <f t="shared" si="2"/>
        <v>204409</v>
      </c>
      <c r="M21" s="4">
        <f>P21+S21</f>
        <v>591</v>
      </c>
      <c r="N21" s="4"/>
      <c r="O21" s="4">
        <f t="shared" si="3"/>
        <v>0</v>
      </c>
      <c r="P21" s="4">
        <f t="shared" si="4"/>
        <v>591</v>
      </c>
      <c r="Q21" s="4"/>
      <c r="R21" s="4"/>
      <c r="S21" s="4">
        <f t="shared" si="5"/>
        <v>0</v>
      </c>
      <c r="T21" s="4">
        <f t="shared" si="6"/>
        <v>0</v>
      </c>
      <c r="U21" s="4">
        <f t="shared" si="7"/>
        <v>0</v>
      </c>
      <c r="V21" s="10">
        <f t="shared" si="11"/>
        <v>0</v>
      </c>
      <c r="W21" s="4"/>
      <c r="X21" s="4"/>
      <c r="Y21" s="4"/>
      <c r="Z21" s="4"/>
      <c r="AA21" s="4"/>
      <c r="AB21" s="64" t="s">
        <v>2022</v>
      </c>
      <c r="AC21" s="3">
        <v>870000</v>
      </c>
      <c r="AD21" s="4"/>
      <c r="AE21" s="3"/>
      <c r="AF21" s="3"/>
      <c r="AG21" s="3"/>
      <c r="AH21" s="3"/>
      <c r="AI21" s="3"/>
      <c r="AJ21" s="3"/>
      <c r="AK21" s="3"/>
      <c r="AL21" s="3"/>
      <c r="AM21" s="4">
        <f t="shared" si="9"/>
        <v>0</v>
      </c>
      <c r="AN21" s="4">
        <f t="shared" si="8"/>
        <v>0</v>
      </c>
      <c r="AO21" s="4"/>
      <c r="AP21" s="4">
        <f t="shared" si="12"/>
        <v>0</v>
      </c>
      <c r="AQ21" s="3"/>
      <c r="AR21" s="3"/>
      <c r="AS21" s="3"/>
      <c r="AT21" s="3"/>
    </row>
    <row r="22" spans="1:46" s="5" customFormat="1" ht="30" customHeight="1">
      <c r="A22" s="3">
        <f t="shared" si="10"/>
        <v>17</v>
      </c>
      <c r="B22" s="3">
        <v>1899</v>
      </c>
      <c r="C22" s="3" t="s">
        <v>142</v>
      </c>
      <c r="D22" s="4">
        <v>1270000</v>
      </c>
      <c r="E22" s="4">
        <v>770000</v>
      </c>
      <c r="F22" s="4">
        <f t="shared" si="0"/>
        <v>500000</v>
      </c>
      <c r="G22" s="4">
        <v>470000</v>
      </c>
      <c r="H22" s="4">
        <v>269380</v>
      </c>
      <c r="I22" s="4">
        <v>0</v>
      </c>
      <c r="J22" s="4">
        <v>64263</v>
      </c>
      <c r="K22" s="4">
        <f t="shared" si="1"/>
        <v>64263</v>
      </c>
      <c r="L22" s="4">
        <f t="shared" si="2"/>
        <v>333643</v>
      </c>
      <c r="M22" s="4">
        <f>P22+S22</f>
        <v>136357</v>
      </c>
      <c r="N22" s="4">
        <f>500000-400000+100000</f>
        <v>200000</v>
      </c>
      <c r="O22" s="4">
        <f t="shared" si="3"/>
        <v>600000</v>
      </c>
      <c r="P22" s="4">
        <f t="shared" si="4"/>
        <v>136357</v>
      </c>
      <c r="Q22" s="4"/>
      <c r="R22" s="4"/>
      <c r="S22" s="4">
        <f t="shared" si="5"/>
        <v>0</v>
      </c>
      <c r="T22" s="4">
        <f t="shared" si="6"/>
        <v>0</v>
      </c>
      <c r="U22" s="4">
        <f t="shared" si="7"/>
        <v>200000</v>
      </c>
      <c r="V22" s="10">
        <f t="shared" si="11"/>
        <v>0</v>
      </c>
      <c r="W22" s="4">
        <v>200000</v>
      </c>
      <c r="X22" s="4"/>
      <c r="Y22" s="4"/>
      <c r="Z22" s="4"/>
      <c r="AA22" s="4"/>
      <c r="AB22" s="3" t="s">
        <v>361</v>
      </c>
      <c r="AC22" s="3">
        <v>870000</v>
      </c>
      <c r="AD22" s="171"/>
      <c r="AE22" s="4"/>
      <c r="AF22" s="4">
        <v>200000</v>
      </c>
      <c r="AG22" s="4"/>
      <c r="AH22" s="4"/>
      <c r="AI22" s="4"/>
      <c r="AJ22" s="4"/>
      <c r="AK22" s="4"/>
      <c r="AL22" s="4"/>
      <c r="AM22" s="4">
        <f t="shared" si="9"/>
        <v>200000</v>
      </c>
      <c r="AN22" s="4">
        <f t="shared" si="8"/>
        <v>0</v>
      </c>
      <c r="AO22" s="4"/>
      <c r="AP22" s="4">
        <f t="shared" si="12"/>
        <v>200000</v>
      </c>
      <c r="AQ22" s="3"/>
      <c r="AR22" s="3"/>
      <c r="AS22" s="3"/>
      <c r="AT22" s="3"/>
    </row>
    <row r="23" spans="1:46" s="5" customFormat="1" ht="30" customHeight="1">
      <c r="A23" s="3">
        <f t="shared" si="10"/>
        <v>18</v>
      </c>
      <c r="B23" s="3">
        <v>1922</v>
      </c>
      <c r="C23" s="3" t="s">
        <v>130</v>
      </c>
      <c r="D23" s="4">
        <v>330000</v>
      </c>
      <c r="E23" s="4">
        <v>330000</v>
      </c>
      <c r="F23" s="4">
        <f t="shared" si="0"/>
        <v>0</v>
      </c>
      <c r="G23" s="4">
        <v>200000</v>
      </c>
      <c r="H23" s="4">
        <v>54652</v>
      </c>
      <c r="I23" s="4">
        <v>0</v>
      </c>
      <c r="J23" s="4">
        <v>3744</v>
      </c>
      <c r="K23" s="4">
        <f t="shared" si="1"/>
        <v>3744</v>
      </c>
      <c r="L23" s="4">
        <f t="shared" si="2"/>
        <v>58396</v>
      </c>
      <c r="M23" s="4">
        <f>P23+S23-100000</f>
        <v>41604</v>
      </c>
      <c r="N23" s="4">
        <v>100000</v>
      </c>
      <c r="O23" s="4">
        <f t="shared" si="3"/>
        <v>130000</v>
      </c>
      <c r="P23" s="4">
        <f t="shared" si="4"/>
        <v>141604</v>
      </c>
      <c r="Q23" s="4"/>
      <c r="R23" s="4"/>
      <c r="S23" s="4">
        <f t="shared" si="5"/>
        <v>0</v>
      </c>
      <c r="T23" s="4">
        <f t="shared" si="6"/>
        <v>100000</v>
      </c>
      <c r="U23" s="4">
        <f t="shared" si="7"/>
        <v>0</v>
      </c>
      <c r="V23" s="10">
        <f t="shared" si="11"/>
        <v>0</v>
      </c>
      <c r="W23" s="4"/>
      <c r="X23" s="4"/>
      <c r="Y23" s="4"/>
      <c r="Z23" s="4"/>
      <c r="AA23" s="4"/>
      <c r="AB23" s="4"/>
      <c r="AC23" s="3">
        <v>870000</v>
      </c>
      <c r="AD23" s="4"/>
      <c r="AE23" s="3"/>
      <c r="AF23" s="3"/>
      <c r="AG23" s="3"/>
      <c r="AH23" s="3"/>
      <c r="AI23" s="3"/>
      <c r="AJ23" s="3"/>
      <c r="AK23" s="3"/>
      <c r="AL23" s="3"/>
      <c r="AM23" s="4">
        <f t="shared" si="9"/>
        <v>0</v>
      </c>
      <c r="AN23" s="4">
        <f t="shared" si="8"/>
        <v>0</v>
      </c>
      <c r="AO23" s="4"/>
      <c r="AP23" s="4">
        <f t="shared" si="12"/>
        <v>0</v>
      </c>
      <c r="AQ23" s="3"/>
      <c r="AR23" s="3"/>
      <c r="AS23" s="3"/>
      <c r="AT23" s="3"/>
    </row>
    <row r="24" spans="1:46" s="5" customFormat="1" ht="30" customHeight="1">
      <c r="A24" s="3">
        <f t="shared" si="10"/>
        <v>19</v>
      </c>
      <c r="B24" s="3">
        <v>1973</v>
      </c>
      <c r="C24" s="3" t="s">
        <v>143</v>
      </c>
      <c r="D24" s="4">
        <v>2500000</v>
      </c>
      <c r="E24" s="4">
        <v>1800000</v>
      </c>
      <c r="F24" s="4">
        <f t="shared" si="0"/>
        <v>700000</v>
      </c>
      <c r="G24" s="4">
        <v>900000</v>
      </c>
      <c r="H24" s="4">
        <v>586058</v>
      </c>
      <c r="I24" s="4">
        <v>0</v>
      </c>
      <c r="J24" s="4">
        <v>313346</v>
      </c>
      <c r="K24" s="4">
        <f t="shared" si="1"/>
        <v>313346</v>
      </c>
      <c r="L24" s="4">
        <f t="shared" si="2"/>
        <v>899404</v>
      </c>
      <c r="M24" s="4">
        <f>P24+S24</f>
        <v>596</v>
      </c>
      <c r="N24" s="4">
        <f>720000-470000</f>
        <v>250000</v>
      </c>
      <c r="O24" s="4">
        <f t="shared" si="3"/>
        <v>1350000</v>
      </c>
      <c r="P24" s="4">
        <f t="shared" si="4"/>
        <v>596</v>
      </c>
      <c r="Q24" s="4"/>
      <c r="R24" s="4"/>
      <c r="S24" s="4">
        <f t="shared" si="5"/>
        <v>0</v>
      </c>
      <c r="T24" s="4">
        <f t="shared" si="6"/>
        <v>0</v>
      </c>
      <c r="U24" s="4">
        <f t="shared" si="7"/>
        <v>250000</v>
      </c>
      <c r="V24" s="10">
        <f t="shared" si="11"/>
        <v>0</v>
      </c>
      <c r="W24" s="4">
        <v>250000</v>
      </c>
      <c r="X24" s="4"/>
      <c r="Y24" s="4"/>
      <c r="Z24" s="4"/>
      <c r="AA24" s="4"/>
      <c r="AB24" s="3" t="s">
        <v>760</v>
      </c>
      <c r="AC24" s="3">
        <v>742000</v>
      </c>
      <c r="AD24" s="4">
        <v>30000</v>
      </c>
      <c r="AE24" s="4"/>
      <c r="AF24" s="4">
        <v>220000</v>
      </c>
      <c r="AG24" s="4"/>
      <c r="AH24" s="4"/>
      <c r="AI24" s="4"/>
      <c r="AJ24" s="4"/>
      <c r="AK24" s="4"/>
      <c r="AL24" s="4"/>
      <c r="AM24" s="4">
        <f t="shared" si="9"/>
        <v>250000</v>
      </c>
      <c r="AN24" s="4">
        <f t="shared" si="8"/>
        <v>0</v>
      </c>
      <c r="AO24" s="4"/>
      <c r="AP24" s="4">
        <f t="shared" si="12"/>
        <v>250000</v>
      </c>
      <c r="AQ24" s="3"/>
      <c r="AR24" s="3"/>
      <c r="AS24" s="3"/>
      <c r="AT24" s="3"/>
    </row>
    <row r="25" spans="1:46" s="5" customFormat="1" ht="30" customHeight="1">
      <c r="A25" s="3">
        <f t="shared" si="10"/>
        <v>20</v>
      </c>
      <c r="B25" s="3">
        <v>1989</v>
      </c>
      <c r="C25" s="3" t="s">
        <v>444</v>
      </c>
      <c r="D25" s="4">
        <v>1070000</v>
      </c>
      <c r="E25" s="4">
        <v>860000</v>
      </c>
      <c r="F25" s="4">
        <f t="shared" si="0"/>
        <v>210000</v>
      </c>
      <c r="G25" s="4">
        <v>570000</v>
      </c>
      <c r="H25" s="4">
        <v>542461</v>
      </c>
      <c r="I25" s="4">
        <v>0</v>
      </c>
      <c r="J25" s="4">
        <v>26086</v>
      </c>
      <c r="K25" s="4">
        <f t="shared" si="1"/>
        <v>26086</v>
      </c>
      <c r="L25" s="4">
        <f t="shared" si="2"/>
        <v>568547</v>
      </c>
      <c r="M25" s="4">
        <f>P25+S25</f>
        <v>1453</v>
      </c>
      <c r="N25" s="4">
        <f>500000-500000</f>
        <v>0</v>
      </c>
      <c r="O25" s="4">
        <f t="shared" si="3"/>
        <v>500000</v>
      </c>
      <c r="P25" s="4">
        <f t="shared" si="4"/>
        <v>1453</v>
      </c>
      <c r="Q25" s="4"/>
      <c r="R25" s="4"/>
      <c r="S25" s="4">
        <f t="shared" si="5"/>
        <v>0</v>
      </c>
      <c r="T25" s="4">
        <f t="shared" si="6"/>
        <v>0</v>
      </c>
      <c r="U25" s="4">
        <f t="shared" si="7"/>
        <v>0</v>
      </c>
      <c r="V25" s="10">
        <f t="shared" si="11"/>
        <v>0</v>
      </c>
      <c r="W25" s="4"/>
      <c r="X25" s="4"/>
      <c r="Y25" s="4"/>
      <c r="Z25" s="4"/>
      <c r="AA25" s="4"/>
      <c r="AB25" s="64" t="s">
        <v>682</v>
      </c>
      <c r="AC25" s="3">
        <v>746000</v>
      </c>
      <c r="AD25" s="171"/>
      <c r="AE25" s="4"/>
      <c r="AF25" s="4"/>
      <c r="AG25" s="4"/>
      <c r="AH25" s="4"/>
      <c r="AI25" s="4"/>
      <c r="AJ25" s="4"/>
      <c r="AK25" s="4"/>
      <c r="AL25" s="4"/>
      <c r="AM25" s="4">
        <f t="shared" si="9"/>
        <v>0</v>
      </c>
      <c r="AN25" s="4">
        <f t="shared" si="8"/>
        <v>0</v>
      </c>
      <c r="AO25" s="4"/>
      <c r="AP25" s="4">
        <f t="shared" si="12"/>
        <v>0</v>
      </c>
      <c r="AQ25" s="3"/>
      <c r="AR25" s="3"/>
      <c r="AS25" s="3"/>
      <c r="AT25" s="3"/>
    </row>
    <row r="26" spans="1:46" s="5" customFormat="1" ht="30" customHeight="1">
      <c r="A26" s="3">
        <f t="shared" si="10"/>
        <v>21</v>
      </c>
      <c r="B26" s="3">
        <v>2035</v>
      </c>
      <c r="C26" s="3" t="s">
        <v>2290</v>
      </c>
      <c r="D26" s="4">
        <f>953000-190000</f>
        <v>763000</v>
      </c>
      <c r="E26" s="4">
        <v>953000</v>
      </c>
      <c r="F26" s="4">
        <f t="shared" si="0"/>
        <v>-190000</v>
      </c>
      <c r="G26" s="4">
        <v>763000</v>
      </c>
      <c r="H26" s="4">
        <v>738785</v>
      </c>
      <c r="I26" s="4">
        <v>0</v>
      </c>
      <c r="J26" s="4">
        <v>15714</v>
      </c>
      <c r="K26" s="4">
        <f t="shared" si="1"/>
        <v>15714</v>
      </c>
      <c r="L26" s="4">
        <f t="shared" si="2"/>
        <v>754499</v>
      </c>
      <c r="M26" s="4">
        <f>P26+S26-8000</f>
        <v>501</v>
      </c>
      <c r="N26" s="4"/>
      <c r="O26" s="4">
        <f t="shared" si="3"/>
        <v>8000</v>
      </c>
      <c r="P26" s="4">
        <f t="shared" si="4"/>
        <v>8501</v>
      </c>
      <c r="Q26" s="4"/>
      <c r="R26" s="4"/>
      <c r="S26" s="4">
        <f t="shared" si="5"/>
        <v>0</v>
      </c>
      <c r="T26" s="4">
        <f t="shared" si="6"/>
        <v>8000</v>
      </c>
      <c r="U26" s="4">
        <f t="shared" si="7"/>
        <v>-8000</v>
      </c>
      <c r="V26" s="10">
        <f t="shared" si="11"/>
        <v>-8000</v>
      </c>
      <c r="W26" s="4"/>
      <c r="X26" s="4"/>
      <c r="Y26" s="4"/>
      <c r="Z26" s="4"/>
      <c r="AA26" s="4"/>
      <c r="AB26" s="3" t="s">
        <v>2023</v>
      </c>
      <c r="AC26" s="3">
        <v>746000</v>
      </c>
      <c r="AD26" s="171"/>
      <c r="AE26" s="4"/>
      <c r="AF26" s="4">
        <v>-8000</v>
      </c>
      <c r="AG26" s="4"/>
      <c r="AH26" s="4"/>
      <c r="AI26" s="4"/>
      <c r="AJ26" s="4"/>
      <c r="AK26" s="4"/>
      <c r="AL26" s="4"/>
      <c r="AM26" s="4">
        <f t="shared" si="9"/>
        <v>-8000</v>
      </c>
      <c r="AN26" s="4">
        <f t="shared" si="8"/>
        <v>0</v>
      </c>
      <c r="AO26" s="4">
        <v>-8000</v>
      </c>
      <c r="AP26" s="4">
        <f t="shared" si="12"/>
        <v>0</v>
      </c>
      <c r="AQ26" s="3"/>
      <c r="AR26" s="3"/>
      <c r="AS26" s="3"/>
      <c r="AT26" s="3"/>
    </row>
    <row r="27" spans="1:46" s="5" customFormat="1" ht="30" customHeight="1">
      <c r="A27" s="3">
        <f t="shared" si="10"/>
        <v>22</v>
      </c>
      <c r="B27" s="3">
        <v>2036</v>
      </c>
      <c r="C27" s="3" t="s">
        <v>2024</v>
      </c>
      <c r="D27" s="4">
        <v>1120000</v>
      </c>
      <c r="E27" s="4">
        <v>1120000</v>
      </c>
      <c r="F27" s="4">
        <f t="shared" si="0"/>
        <v>0</v>
      </c>
      <c r="G27" s="4">
        <v>1120000</v>
      </c>
      <c r="H27" s="4">
        <v>549990</v>
      </c>
      <c r="I27" s="4">
        <v>0</v>
      </c>
      <c r="J27" s="4">
        <v>570000</v>
      </c>
      <c r="K27" s="4">
        <f t="shared" si="1"/>
        <v>570000</v>
      </c>
      <c r="L27" s="4">
        <f t="shared" si="2"/>
        <v>1119990</v>
      </c>
      <c r="M27" s="4">
        <f>P27+S27</f>
        <v>10</v>
      </c>
      <c r="N27" s="4"/>
      <c r="O27" s="4">
        <f t="shared" si="3"/>
        <v>0</v>
      </c>
      <c r="P27" s="4">
        <f t="shared" si="4"/>
        <v>10</v>
      </c>
      <c r="Q27" s="4"/>
      <c r="R27" s="4"/>
      <c r="S27" s="4">
        <f t="shared" si="5"/>
        <v>0</v>
      </c>
      <c r="T27" s="4">
        <f t="shared" si="6"/>
        <v>0</v>
      </c>
      <c r="U27" s="4">
        <f t="shared" si="7"/>
        <v>0</v>
      </c>
      <c r="V27" s="10">
        <f t="shared" si="11"/>
        <v>0</v>
      </c>
      <c r="W27" s="4"/>
      <c r="X27" s="4"/>
      <c r="Y27" s="4"/>
      <c r="Z27" s="4"/>
      <c r="AA27" s="4"/>
      <c r="AB27" s="3" t="s">
        <v>2025</v>
      </c>
      <c r="AC27" s="3">
        <v>810000</v>
      </c>
      <c r="AD27" s="171"/>
      <c r="AE27" s="4"/>
      <c r="AF27" s="4"/>
      <c r="AG27" s="4"/>
      <c r="AH27" s="4"/>
      <c r="AI27" s="4"/>
      <c r="AJ27" s="4"/>
      <c r="AK27" s="4"/>
      <c r="AL27" s="4"/>
      <c r="AM27" s="4">
        <f t="shared" si="9"/>
        <v>0</v>
      </c>
      <c r="AN27" s="4">
        <f t="shared" si="8"/>
        <v>0</v>
      </c>
      <c r="AO27" s="4"/>
      <c r="AP27" s="4">
        <f t="shared" si="12"/>
        <v>0</v>
      </c>
      <c r="AQ27" s="3"/>
      <c r="AR27" s="3"/>
      <c r="AS27" s="3"/>
      <c r="AT27" s="3"/>
    </row>
    <row r="28" spans="1:46" s="5" customFormat="1" ht="30" customHeight="1">
      <c r="A28" s="3">
        <f t="shared" si="10"/>
        <v>23</v>
      </c>
      <c r="B28" s="3">
        <v>2037</v>
      </c>
      <c r="C28" s="3" t="s">
        <v>493</v>
      </c>
      <c r="D28" s="4">
        <v>5000000</v>
      </c>
      <c r="E28" s="4">
        <v>5000000</v>
      </c>
      <c r="F28" s="4">
        <f t="shared" si="0"/>
        <v>0</v>
      </c>
      <c r="G28" s="4">
        <v>800000</v>
      </c>
      <c r="H28" s="4">
        <v>538658</v>
      </c>
      <c r="I28" s="4">
        <v>0</v>
      </c>
      <c r="J28" s="4">
        <v>50310</v>
      </c>
      <c r="K28" s="4">
        <f t="shared" si="1"/>
        <v>50310</v>
      </c>
      <c r="L28" s="4">
        <f t="shared" si="2"/>
        <v>588968</v>
      </c>
      <c r="M28" s="4">
        <f>P28+S28-200000</f>
        <v>11032</v>
      </c>
      <c r="N28" s="4">
        <v>200000</v>
      </c>
      <c r="O28" s="4">
        <f t="shared" si="3"/>
        <v>4200000</v>
      </c>
      <c r="P28" s="4">
        <f t="shared" si="4"/>
        <v>211032</v>
      </c>
      <c r="Q28" s="4"/>
      <c r="R28" s="4"/>
      <c r="S28" s="4">
        <f t="shared" si="5"/>
        <v>0</v>
      </c>
      <c r="T28" s="4">
        <f t="shared" si="6"/>
        <v>200000</v>
      </c>
      <c r="U28" s="4">
        <f t="shared" si="7"/>
        <v>0</v>
      </c>
      <c r="V28" s="10">
        <f t="shared" si="11"/>
        <v>0</v>
      </c>
      <c r="W28" s="4"/>
      <c r="X28" s="4"/>
      <c r="Y28" s="4"/>
      <c r="Z28" s="4"/>
      <c r="AA28" s="4"/>
      <c r="AB28" s="3" t="s">
        <v>362</v>
      </c>
      <c r="AC28" s="3">
        <v>870000</v>
      </c>
      <c r="AD28" s="171"/>
      <c r="AE28" s="4"/>
      <c r="AF28" s="4"/>
      <c r="AG28" s="4"/>
      <c r="AH28" s="4"/>
      <c r="AI28" s="4"/>
      <c r="AJ28" s="4"/>
      <c r="AK28" s="4"/>
      <c r="AL28" s="4"/>
      <c r="AM28" s="4">
        <f t="shared" si="9"/>
        <v>0</v>
      </c>
      <c r="AN28" s="4">
        <f t="shared" si="8"/>
        <v>0</v>
      </c>
      <c r="AO28" s="4"/>
      <c r="AP28" s="4">
        <f t="shared" si="12"/>
        <v>0</v>
      </c>
      <c r="AQ28" s="3"/>
      <c r="AR28" s="3"/>
      <c r="AS28" s="3"/>
      <c r="AT28" s="3"/>
    </row>
    <row r="29" spans="1:46" s="5" customFormat="1" ht="30" customHeight="1">
      <c r="A29" s="3">
        <f t="shared" si="10"/>
        <v>24</v>
      </c>
      <c r="B29" s="3">
        <v>2038</v>
      </c>
      <c r="C29" s="3" t="s">
        <v>554</v>
      </c>
      <c r="D29" s="4">
        <v>4950000</v>
      </c>
      <c r="E29" s="4">
        <v>3750000</v>
      </c>
      <c r="F29" s="4">
        <f t="shared" si="0"/>
        <v>1200000</v>
      </c>
      <c r="G29" s="4">
        <v>3450000</v>
      </c>
      <c r="H29" s="4">
        <v>2297203</v>
      </c>
      <c r="I29" s="4">
        <v>0</v>
      </c>
      <c r="J29" s="4">
        <v>284976</v>
      </c>
      <c r="K29" s="4">
        <f t="shared" si="1"/>
        <v>284976</v>
      </c>
      <c r="L29" s="4">
        <f t="shared" si="2"/>
        <v>2582179</v>
      </c>
      <c r="M29" s="4">
        <f>P29+S29-760000</f>
        <v>107821</v>
      </c>
      <c r="N29" s="4">
        <f>1400000-640000</f>
        <v>760000</v>
      </c>
      <c r="O29" s="4">
        <f t="shared" si="3"/>
        <v>1500000</v>
      </c>
      <c r="P29" s="4">
        <f t="shared" si="4"/>
        <v>867821</v>
      </c>
      <c r="Q29" s="4"/>
      <c r="R29" s="4"/>
      <c r="S29" s="4">
        <f t="shared" si="5"/>
        <v>0</v>
      </c>
      <c r="T29" s="4">
        <f t="shared" si="6"/>
        <v>760000</v>
      </c>
      <c r="U29" s="4">
        <f t="shared" si="7"/>
        <v>0</v>
      </c>
      <c r="V29" s="10">
        <f t="shared" si="11"/>
        <v>0</v>
      </c>
      <c r="W29" s="4"/>
      <c r="X29" s="4"/>
      <c r="Y29" s="4"/>
      <c r="Z29" s="4"/>
      <c r="AA29" s="4"/>
      <c r="AB29" s="3" t="s">
        <v>591</v>
      </c>
      <c r="AC29" s="3">
        <v>810000</v>
      </c>
      <c r="AD29" s="171"/>
      <c r="AE29" s="4"/>
      <c r="AF29" s="4"/>
      <c r="AG29" s="4"/>
      <c r="AH29" s="4"/>
      <c r="AI29" s="4"/>
      <c r="AJ29" s="4"/>
      <c r="AK29" s="4"/>
      <c r="AL29" s="4"/>
      <c r="AM29" s="4">
        <f t="shared" si="9"/>
        <v>0</v>
      </c>
      <c r="AN29" s="4">
        <f t="shared" si="8"/>
        <v>0</v>
      </c>
      <c r="AO29" s="4"/>
      <c r="AP29" s="4">
        <f t="shared" si="12"/>
        <v>0</v>
      </c>
      <c r="AQ29" s="3"/>
      <c r="AR29" s="3"/>
      <c r="AS29" s="3"/>
      <c r="AT29" s="3"/>
    </row>
    <row r="30" spans="1:46" s="5" customFormat="1" ht="30" customHeight="1">
      <c r="A30" s="3">
        <f t="shared" si="10"/>
        <v>25</v>
      </c>
      <c r="B30" s="3">
        <v>2039</v>
      </c>
      <c r="C30" s="3" t="s">
        <v>164</v>
      </c>
      <c r="D30" s="4">
        <v>535000</v>
      </c>
      <c r="E30" s="4">
        <v>285000</v>
      </c>
      <c r="F30" s="4">
        <f t="shared" si="0"/>
        <v>250000</v>
      </c>
      <c r="G30" s="4">
        <v>35000</v>
      </c>
      <c r="H30" s="4">
        <v>25514</v>
      </c>
      <c r="I30" s="4">
        <v>0</v>
      </c>
      <c r="J30" s="4">
        <v>9484</v>
      </c>
      <c r="K30" s="4">
        <f t="shared" si="1"/>
        <v>9484</v>
      </c>
      <c r="L30" s="4">
        <f t="shared" si="2"/>
        <v>34998</v>
      </c>
      <c r="M30" s="4">
        <f t="shared" ref="M30:M39" si="13">P30+S30</f>
        <v>2</v>
      </c>
      <c r="N30" s="4">
        <f>250000-250000</f>
        <v>0</v>
      </c>
      <c r="O30" s="4">
        <f t="shared" si="3"/>
        <v>500000</v>
      </c>
      <c r="P30" s="4">
        <f t="shared" si="4"/>
        <v>2</v>
      </c>
      <c r="Q30" s="4"/>
      <c r="R30" s="4"/>
      <c r="S30" s="4">
        <f t="shared" si="5"/>
        <v>0</v>
      </c>
      <c r="T30" s="4">
        <f t="shared" si="6"/>
        <v>0</v>
      </c>
      <c r="U30" s="4">
        <f t="shared" si="7"/>
        <v>0</v>
      </c>
      <c r="V30" s="10">
        <f t="shared" si="11"/>
        <v>0</v>
      </c>
      <c r="W30" s="4"/>
      <c r="X30" s="4"/>
      <c r="Y30" s="4"/>
      <c r="Z30" s="4"/>
      <c r="AA30" s="4"/>
      <c r="AB30" s="64" t="s">
        <v>761</v>
      </c>
      <c r="AC30" s="3">
        <v>760000</v>
      </c>
      <c r="AD30" s="171"/>
      <c r="AE30" s="4"/>
      <c r="AF30" s="4"/>
      <c r="AG30" s="4"/>
      <c r="AH30" s="4"/>
      <c r="AI30" s="4"/>
      <c r="AJ30" s="4"/>
      <c r="AK30" s="4"/>
      <c r="AL30" s="4"/>
      <c r="AM30" s="4">
        <f t="shared" si="9"/>
        <v>0</v>
      </c>
      <c r="AN30" s="4">
        <f t="shared" si="8"/>
        <v>0</v>
      </c>
      <c r="AO30" s="4"/>
      <c r="AP30" s="4">
        <f t="shared" si="12"/>
        <v>0</v>
      </c>
      <c r="AQ30" s="3"/>
      <c r="AR30" s="3"/>
      <c r="AS30" s="3"/>
      <c r="AT30" s="3"/>
    </row>
    <row r="31" spans="1:46" s="5" customFormat="1" ht="30" customHeight="1">
      <c r="A31" s="3">
        <f t="shared" si="10"/>
        <v>26</v>
      </c>
      <c r="B31" s="3">
        <v>2040</v>
      </c>
      <c r="C31" s="3" t="s">
        <v>363</v>
      </c>
      <c r="D31" s="4">
        <v>910000</v>
      </c>
      <c r="E31" s="4">
        <v>1010000</v>
      </c>
      <c r="F31" s="4">
        <f t="shared" si="0"/>
        <v>-100000</v>
      </c>
      <c r="G31" s="4">
        <v>910000</v>
      </c>
      <c r="H31" s="4">
        <v>409998</v>
      </c>
      <c r="I31" s="4">
        <v>0</v>
      </c>
      <c r="J31" s="4">
        <v>436329</v>
      </c>
      <c r="K31" s="4">
        <f t="shared" si="1"/>
        <v>436329</v>
      </c>
      <c r="L31" s="4">
        <f t="shared" si="2"/>
        <v>846327</v>
      </c>
      <c r="M31" s="4">
        <f t="shared" si="13"/>
        <v>63673</v>
      </c>
      <c r="N31" s="4"/>
      <c r="O31" s="4">
        <f t="shared" si="3"/>
        <v>0</v>
      </c>
      <c r="P31" s="4">
        <f t="shared" si="4"/>
        <v>63673</v>
      </c>
      <c r="Q31" s="4"/>
      <c r="R31" s="4"/>
      <c r="S31" s="4">
        <f t="shared" si="5"/>
        <v>0</v>
      </c>
      <c r="T31" s="4">
        <f t="shared" si="6"/>
        <v>0</v>
      </c>
      <c r="U31" s="4">
        <f t="shared" si="7"/>
        <v>0</v>
      </c>
      <c r="V31" s="10">
        <f t="shared" si="11"/>
        <v>0</v>
      </c>
      <c r="W31" s="4"/>
      <c r="X31" s="4"/>
      <c r="Y31" s="4"/>
      <c r="Z31" s="4"/>
      <c r="AA31" s="4"/>
      <c r="AB31" s="3" t="s">
        <v>781</v>
      </c>
      <c r="AC31" s="3">
        <v>829000</v>
      </c>
      <c r="AD31" s="171"/>
      <c r="AE31" s="4"/>
      <c r="AF31" s="4"/>
      <c r="AG31" s="4"/>
      <c r="AH31" s="4"/>
      <c r="AI31" s="4"/>
      <c r="AJ31" s="4"/>
      <c r="AK31" s="4"/>
      <c r="AL31" s="4"/>
      <c r="AM31" s="4">
        <f t="shared" si="9"/>
        <v>0</v>
      </c>
      <c r="AN31" s="4">
        <f t="shared" si="8"/>
        <v>0</v>
      </c>
      <c r="AO31" s="4"/>
      <c r="AP31" s="4">
        <f t="shared" si="12"/>
        <v>0</v>
      </c>
      <c r="AQ31" s="3"/>
      <c r="AR31" s="3"/>
      <c r="AS31" s="3"/>
      <c r="AT31" s="3"/>
    </row>
    <row r="32" spans="1:46" s="5" customFormat="1" ht="30" customHeight="1">
      <c r="A32" s="3">
        <f t="shared" si="10"/>
        <v>27</v>
      </c>
      <c r="B32" s="3">
        <v>2042</v>
      </c>
      <c r="C32" s="3" t="s">
        <v>2291</v>
      </c>
      <c r="D32" s="4">
        <v>290000</v>
      </c>
      <c r="E32" s="4">
        <v>740000</v>
      </c>
      <c r="F32" s="4">
        <f t="shared" si="0"/>
        <v>-450000</v>
      </c>
      <c r="G32" s="4">
        <v>290000</v>
      </c>
      <c r="H32" s="4">
        <v>286994</v>
      </c>
      <c r="I32" s="4">
        <v>0</v>
      </c>
      <c r="J32" s="4">
        <v>3000</v>
      </c>
      <c r="K32" s="4">
        <f t="shared" si="1"/>
        <v>3000</v>
      </c>
      <c r="L32" s="4">
        <f t="shared" si="2"/>
        <v>289994</v>
      </c>
      <c r="M32" s="4">
        <f t="shared" si="13"/>
        <v>6</v>
      </c>
      <c r="N32" s="4"/>
      <c r="O32" s="4">
        <f t="shared" si="3"/>
        <v>0</v>
      </c>
      <c r="P32" s="4">
        <f t="shared" si="4"/>
        <v>6</v>
      </c>
      <c r="Q32" s="4"/>
      <c r="R32" s="4"/>
      <c r="S32" s="4">
        <f t="shared" si="5"/>
        <v>0</v>
      </c>
      <c r="T32" s="4">
        <f t="shared" si="6"/>
        <v>0</v>
      </c>
      <c r="U32" s="4">
        <f t="shared" si="7"/>
        <v>0</v>
      </c>
      <c r="V32" s="10">
        <f t="shared" si="11"/>
        <v>0</v>
      </c>
      <c r="W32" s="4"/>
      <c r="X32" s="4"/>
      <c r="Y32" s="4"/>
      <c r="Z32" s="4"/>
      <c r="AA32" s="4"/>
      <c r="AB32" s="3" t="s">
        <v>2026</v>
      </c>
      <c r="AC32" s="3">
        <v>746000</v>
      </c>
      <c r="AD32" s="171"/>
      <c r="AE32" s="4"/>
      <c r="AF32" s="4"/>
      <c r="AG32" s="4"/>
      <c r="AH32" s="4"/>
      <c r="AI32" s="4"/>
      <c r="AJ32" s="4"/>
      <c r="AK32" s="4"/>
      <c r="AL32" s="4"/>
      <c r="AM32" s="4">
        <f t="shared" si="9"/>
        <v>0</v>
      </c>
      <c r="AN32" s="4">
        <f t="shared" si="8"/>
        <v>0</v>
      </c>
      <c r="AO32" s="4"/>
      <c r="AP32" s="4">
        <f t="shared" si="12"/>
        <v>0</v>
      </c>
      <c r="AQ32" s="3"/>
      <c r="AR32" s="3"/>
      <c r="AS32" s="3"/>
      <c r="AT32" s="3"/>
    </row>
    <row r="33" spans="1:46" s="5" customFormat="1" ht="30" customHeight="1">
      <c r="A33" s="3">
        <f t="shared" si="10"/>
        <v>28</v>
      </c>
      <c r="B33" s="3">
        <v>2066</v>
      </c>
      <c r="C33" s="3" t="s">
        <v>364</v>
      </c>
      <c r="D33" s="4">
        <v>112500</v>
      </c>
      <c r="E33" s="4">
        <v>112500</v>
      </c>
      <c r="F33" s="4">
        <f t="shared" si="0"/>
        <v>0</v>
      </c>
      <c r="G33" s="4">
        <v>112500</v>
      </c>
      <c r="H33" s="4">
        <v>111299</v>
      </c>
      <c r="I33" s="4">
        <v>0</v>
      </c>
      <c r="J33" s="4">
        <v>0</v>
      </c>
      <c r="K33" s="4">
        <f t="shared" si="1"/>
        <v>0</v>
      </c>
      <c r="L33" s="4">
        <f t="shared" si="2"/>
        <v>111299</v>
      </c>
      <c r="M33" s="4">
        <f t="shared" si="13"/>
        <v>1201</v>
      </c>
      <c r="N33" s="4"/>
      <c r="O33" s="4">
        <f t="shared" si="3"/>
        <v>0</v>
      </c>
      <c r="P33" s="4">
        <f t="shared" si="4"/>
        <v>1201</v>
      </c>
      <c r="Q33" s="4"/>
      <c r="R33" s="4"/>
      <c r="S33" s="4">
        <f t="shared" si="5"/>
        <v>0</v>
      </c>
      <c r="T33" s="4">
        <f t="shared" si="6"/>
        <v>0</v>
      </c>
      <c r="U33" s="4">
        <f t="shared" si="7"/>
        <v>0</v>
      </c>
      <c r="V33" s="10">
        <f t="shared" si="11"/>
        <v>0</v>
      </c>
      <c r="W33" s="4"/>
      <c r="X33" s="4"/>
      <c r="Y33" s="4"/>
      <c r="Z33" s="4"/>
      <c r="AA33" s="4"/>
      <c r="AB33" s="64" t="s">
        <v>683</v>
      </c>
      <c r="AC33" s="3">
        <v>732000</v>
      </c>
      <c r="AD33" s="4"/>
      <c r="AE33" s="4"/>
      <c r="AF33" s="4"/>
      <c r="AG33" s="4"/>
      <c r="AH33" s="4"/>
      <c r="AI33" s="4"/>
      <c r="AJ33" s="4"/>
      <c r="AK33" s="4"/>
      <c r="AL33" s="4"/>
      <c r="AM33" s="4">
        <f t="shared" si="9"/>
        <v>0</v>
      </c>
      <c r="AN33" s="4">
        <f t="shared" si="8"/>
        <v>0</v>
      </c>
      <c r="AO33" s="4"/>
      <c r="AP33" s="4">
        <f t="shared" si="12"/>
        <v>0</v>
      </c>
      <c r="AQ33" s="3"/>
      <c r="AR33" s="3"/>
      <c r="AS33" s="3"/>
      <c r="AT33" s="3"/>
    </row>
    <row r="34" spans="1:46" s="5" customFormat="1" ht="30" customHeight="1">
      <c r="A34" s="3">
        <f t="shared" si="10"/>
        <v>29</v>
      </c>
      <c r="B34" s="30">
        <v>2087</v>
      </c>
      <c r="C34" s="3" t="s">
        <v>2292</v>
      </c>
      <c r="D34" s="4">
        <v>1200000</v>
      </c>
      <c r="E34" s="4">
        <v>1200000</v>
      </c>
      <c r="F34" s="4">
        <f t="shared" si="0"/>
        <v>0</v>
      </c>
      <c r="G34" s="4">
        <v>640000</v>
      </c>
      <c r="H34" s="4">
        <v>639791</v>
      </c>
      <c r="I34" s="4">
        <v>0</v>
      </c>
      <c r="J34" s="4">
        <v>0</v>
      </c>
      <c r="K34" s="4">
        <f t="shared" si="1"/>
        <v>0</v>
      </c>
      <c r="L34" s="4">
        <f t="shared" si="2"/>
        <v>639791</v>
      </c>
      <c r="M34" s="4">
        <f t="shared" si="13"/>
        <v>209</v>
      </c>
      <c r="N34" s="4">
        <f>300000-300000</f>
        <v>0</v>
      </c>
      <c r="O34" s="4">
        <f t="shared" si="3"/>
        <v>560000</v>
      </c>
      <c r="P34" s="4">
        <f t="shared" si="4"/>
        <v>209</v>
      </c>
      <c r="Q34" s="4"/>
      <c r="R34" s="4"/>
      <c r="S34" s="4">
        <f t="shared" si="5"/>
        <v>0</v>
      </c>
      <c r="T34" s="4">
        <f t="shared" si="6"/>
        <v>0</v>
      </c>
      <c r="U34" s="4">
        <f t="shared" si="7"/>
        <v>0</v>
      </c>
      <c r="V34" s="10">
        <f t="shared" si="11"/>
        <v>0</v>
      </c>
      <c r="W34" s="4"/>
      <c r="X34" s="4"/>
      <c r="Y34" s="4"/>
      <c r="Z34" s="4"/>
      <c r="AA34" s="4"/>
      <c r="AB34" s="3" t="s">
        <v>445</v>
      </c>
      <c r="AC34" s="3">
        <v>746000</v>
      </c>
      <c r="AD34" s="171"/>
      <c r="AE34" s="4"/>
      <c r="AF34" s="4"/>
      <c r="AG34" s="4"/>
      <c r="AH34" s="4"/>
      <c r="AI34" s="4"/>
      <c r="AJ34" s="4"/>
      <c r="AK34" s="4"/>
      <c r="AL34" s="4"/>
      <c r="AM34" s="4">
        <f t="shared" si="9"/>
        <v>0</v>
      </c>
      <c r="AN34" s="4">
        <f t="shared" si="8"/>
        <v>0</v>
      </c>
      <c r="AO34" s="4"/>
      <c r="AP34" s="4">
        <f t="shared" si="12"/>
        <v>0</v>
      </c>
      <c r="AQ34" s="3"/>
      <c r="AR34" s="3"/>
      <c r="AS34" s="3"/>
      <c r="AT34" s="3"/>
    </row>
    <row r="35" spans="1:46" s="5" customFormat="1" ht="30" customHeight="1">
      <c r="A35" s="3">
        <f t="shared" si="10"/>
        <v>30</v>
      </c>
      <c r="B35" s="30">
        <v>2088</v>
      </c>
      <c r="C35" s="3" t="s">
        <v>365</v>
      </c>
      <c r="D35" s="4">
        <v>1600000</v>
      </c>
      <c r="E35" s="4">
        <v>1600000</v>
      </c>
      <c r="F35" s="4">
        <f t="shared" si="0"/>
        <v>0</v>
      </c>
      <c r="G35" s="4">
        <v>1600000</v>
      </c>
      <c r="H35" s="4">
        <v>1083312</v>
      </c>
      <c r="I35" s="4">
        <v>0</v>
      </c>
      <c r="J35" s="4">
        <v>163826</v>
      </c>
      <c r="K35" s="4">
        <f t="shared" si="1"/>
        <v>163826</v>
      </c>
      <c r="L35" s="4">
        <f t="shared" si="2"/>
        <v>1247138</v>
      </c>
      <c r="M35" s="4">
        <f t="shared" si="13"/>
        <v>352862</v>
      </c>
      <c r="N35" s="4"/>
      <c r="O35" s="4">
        <f t="shared" si="3"/>
        <v>0</v>
      </c>
      <c r="P35" s="4">
        <f t="shared" si="4"/>
        <v>352862</v>
      </c>
      <c r="Q35" s="4"/>
      <c r="R35" s="4"/>
      <c r="S35" s="4">
        <f t="shared" si="5"/>
        <v>0</v>
      </c>
      <c r="T35" s="4">
        <f t="shared" si="6"/>
        <v>0</v>
      </c>
      <c r="U35" s="4">
        <f t="shared" si="7"/>
        <v>0</v>
      </c>
      <c r="V35" s="10">
        <f t="shared" si="11"/>
        <v>0</v>
      </c>
      <c r="W35" s="4"/>
      <c r="X35" s="4"/>
      <c r="Y35" s="4"/>
      <c r="Z35" s="4"/>
      <c r="AA35" s="4"/>
      <c r="AB35" s="3" t="s">
        <v>446</v>
      </c>
      <c r="AC35" s="3">
        <v>746000</v>
      </c>
      <c r="AD35" s="171"/>
      <c r="AE35" s="4"/>
      <c r="AF35" s="4"/>
      <c r="AG35" s="4"/>
      <c r="AH35" s="4"/>
      <c r="AI35" s="4"/>
      <c r="AJ35" s="4"/>
      <c r="AK35" s="4"/>
      <c r="AL35" s="4"/>
      <c r="AM35" s="4">
        <f t="shared" si="9"/>
        <v>0</v>
      </c>
      <c r="AN35" s="4">
        <f t="shared" si="8"/>
        <v>0</v>
      </c>
      <c r="AO35" s="4"/>
      <c r="AP35" s="4">
        <f t="shared" si="12"/>
        <v>0</v>
      </c>
      <c r="AQ35" s="3"/>
      <c r="AR35" s="3"/>
      <c r="AS35" s="3"/>
      <c r="AT35" s="3"/>
    </row>
    <row r="36" spans="1:46" s="5" customFormat="1" ht="30" customHeight="1">
      <c r="A36" s="3">
        <f t="shared" si="10"/>
        <v>31</v>
      </c>
      <c r="B36" s="30">
        <v>2164</v>
      </c>
      <c r="C36" s="3" t="s">
        <v>555</v>
      </c>
      <c r="D36" s="4">
        <v>300000</v>
      </c>
      <c r="E36" s="4">
        <v>200000</v>
      </c>
      <c r="F36" s="4">
        <f t="shared" si="0"/>
        <v>100000</v>
      </c>
      <c r="G36" s="4">
        <v>0</v>
      </c>
      <c r="H36" s="4">
        <v>0</v>
      </c>
      <c r="I36" s="4">
        <v>0</v>
      </c>
      <c r="J36" s="4">
        <v>0</v>
      </c>
      <c r="K36" s="4">
        <f t="shared" si="1"/>
        <v>0</v>
      </c>
      <c r="L36" s="4">
        <f t="shared" si="2"/>
        <v>0</v>
      </c>
      <c r="M36" s="4">
        <f t="shared" si="13"/>
        <v>0</v>
      </c>
      <c r="N36" s="4">
        <f>300000-300000</f>
        <v>0</v>
      </c>
      <c r="O36" s="4">
        <f t="shared" si="3"/>
        <v>300000</v>
      </c>
      <c r="P36" s="4">
        <f t="shared" si="4"/>
        <v>0</v>
      </c>
      <c r="Q36" s="4"/>
      <c r="R36" s="4"/>
      <c r="S36" s="4">
        <f t="shared" si="5"/>
        <v>0</v>
      </c>
      <c r="T36" s="4">
        <f t="shared" si="6"/>
        <v>0</v>
      </c>
      <c r="U36" s="4">
        <f t="shared" si="7"/>
        <v>0</v>
      </c>
      <c r="V36" s="10">
        <f t="shared" si="11"/>
        <v>0</v>
      </c>
      <c r="W36" s="4"/>
      <c r="X36" s="4"/>
      <c r="Y36" s="4"/>
      <c r="Z36" s="4"/>
      <c r="AA36" s="4"/>
      <c r="AB36" s="3" t="s">
        <v>556</v>
      </c>
      <c r="AC36" s="3">
        <v>742000</v>
      </c>
      <c r="AD36" s="3"/>
      <c r="AE36" s="3"/>
      <c r="AF36" s="3"/>
      <c r="AG36" s="3"/>
      <c r="AH36" s="3"/>
      <c r="AI36" s="3"/>
      <c r="AJ36" s="3"/>
      <c r="AK36" s="3"/>
      <c r="AL36" s="3"/>
      <c r="AM36" s="4">
        <f t="shared" si="9"/>
        <v>0</v>
      </c>
      <c r="AN36" s="4">
        <f t="shared" si="8"/>
        <v>0</v>
      </c>
      <c r="AO36" s="4"/>
      <c r="AP36" s="4">
        <f t="shared" si="12"/>
        <v>0</v>
      </c>
      <c r="AQ36" s="3"/>
      <c r="AR36" s="3"/>
      <c r="AS36" s="3"/>
      <c r="AT36" s="3"/>
    </row>
    <row r="37" spans="1:46" s="5" customFormat="1" ht="30" customHeight="1">
      <c r="A37" s="3">
        <f t="shared" si="10"/>
        <v>32</v>
      </c>
      <c r="B37" s="30">
        <v>2165</v>
      </c>
      <c r="C37" s="3" t="s">
        <v>557</v>
      </c>
      <c r="D37" s="4">
        <v>1040000</v>
      </c>
      <c r="E37" s="4">
        <v>1040000</v>
      </c>
      <c r="F37" s="4">
        <f t="shared" si="0"/>
        <v>0</v>
      </c>
      <c r="G37" s="4">
        <v>0</v>
      </c>
      <c r="H37" s="4">
        <v>0</v>
      </c>
      <c r="I37" s="4">
        <v>0</v>
      </c>
      <c r="J37" s="4">
        <v>0</v>
      </c>
      <c r="K37" s="4">
        <f t="shared" si="1"/>
        <v>0</v>
      </c>
      <c r="L37" s="4">
        <f t="shared" si="2"/>
        <v>0</v>
      </c>
      <c r="M37" s="4">
        <f t="shared" si="13"/>
        <v>0</v>
      </c>
      <c r="N37" s="4">
        <f>1040000-1040000</f>
        <v>0</v>
      </c>
      <c r="O37" s="4">
        <f t="shared" si="3"/>
        <v>1040000</v>
      </c>
      <c r="P37" s="4">
        <f t="shared" si="4"/>
        <v>0</v>
      </c>
      <c r="Q37" s="4"/>
      <c r="R37" s="4"/>
      <c r="S37" s="4">
        <f t="shared" si="5"/>
        <v>0</v>
      </c>
      <c r="T37" s="4">
        <f t="shared" si="6"/>
        <v>0</v>
      </c>
      <c r="U37" s="4">
        <f t="shared" si="7"/>
        <v>0</v>
      </c>
      <c r="V37" s="10">
        <f t="shared" si="11"/>
        <v>0</v>
      </c>
      <c r="W37" s="4"/>
      <c r="X37" s="4"/>
      <c r="Y37" s="4"/>
      <c r="Z37" s="4"/>
      <c r="AA37" s="4"/>
      <c r="AB37" s="3" t="s">
        <v>2027</v>
      </c>
      <c r="AC37" s="3">
        <v>746000</v>
      </c>
      <c r="AD37" s="3"/>
      <c r="AE37" s="3"/>
      <c r="AF37" s="3"/>
      <c r="AG37" s="3"/>
      <c r="AH37" s="3"/>
      <c r="AI37" s="3"/>
      <c r="AJ37" s="3"/>
      <c r="AK37" s="3"/>
      <c r="AL37" s="3"/>
      <c r="AM37" s="4">
        <f t="shared" si="9"/>
        <v>0</v>
      </c>
      <c r="AN37" s="4">
        <f t="shared" si="8"/>
        <v>0</v>
      </c>
      <c r="AO37" s="4"/>
      <c r="AP37" s="4">
        <f t="shared" si="12"/>
        <v>0</v>
      </c>
      <c r="AQ37" s="3"/>
      <c r="AR37" s="3"/>
      <c r="AS37" s="3"/>
      <c r="AT37" s="3"/>
    </row>
    <row r="38" spans="1:46" s="5" customFormat="1" ht="30" customHeight="1">
      <c r="A38" s="3">
        <f t="shared" si="10"/>
        <v>33</v>
      </c>
      <c r="B38" s="30">
        <v>2166</v>
      </c>
      <c r="C38" s="3" t="s">
        <v>558</v>
      </c>
      <c r="D38" s="4">
        <v>500000</v>
      </c>
      <c r="E38" s="4">
        <v>500000</v>
      </c>
      <c r="F38" s="4">
        <f t="shared" si="0"/>
        <v>0</v>
      </c>
      <c r="G38" s="4">
        <v>0</v>
      </c>
      <c r="H38" s="4">
        <v>0</v>
      </c>
      <c r="I38" s="4">
        <v>0</v>
      </c>
      <c r="J38" s="4">
        <v>0</v>
      </c>
      <c r="K38" s="4">
        <f t="shared" si="1"/>
        <v>0</v>
      </c>
      <c r="L38" s="4">
        <f t="shared" si="2"/>
        <v>0</v>
      </c>
      <c r="M38" s="4">
        <f t="shared" si="13"/>
        <v>0</v>
      </c>
      <c r="N38" s="4">
        <f>500000-500000</f>
        <v>0</v>
      </c>
      <c r="O38" s="4">
        <f t="shared" si="3"/>
        <v>500000</v>
      </c>
      <c r="P38" s="4">
        <f t="shared" si="4"/>
        <v>0</v>
      </c>
      <c r="Q38" s="4"/>
      <c r="R38" s="4"/>
      <c r="S38" s="4">
        <f t="shared" si="5"/>
        <v>0</v>
      </c>
      <c r="T38" s="4">
        <f t="shared" si="6"/>
        <v>0</v>
      </c>
      <c r="U38" s="4">
        <f t="shared" si="7"/>
        <v>0</v>
      </c>
      <c r="V38" s="10">
        <f t="shared" si="11"/>
        <v>0</v>
      </c>
      <c r="W38" s="4"/>
      <c r="X38" s="4"/>
      <c r="Y38" s="4"/>
      <c r="Z38" s="4"/>
      <c r="AA38" s="4"/>
      <c r="AB38" s="3" t="s">
        <v>559</v>
      </c>
      <c r="AC38" s="3">
        <v>746000</v>
      </c>
      <c r="AD38" s="3"/>
      <c r="AE38" s="3"/>
      <c r="AF38" s="3"/>
      <c r="AG38" s="3"/>
      <c r="AH38" s="3"/>
      <c r="AI38" s="3"/>
      <c r="AJ38" s="3"/>
      <c r="AK38" s="3"/>
      <c r="AL38" s="3"/>
      <c r="AM38" s="4">
        <f t="shared" si="9"/>
        <v>0</v>
      </c>
      <c r="AN38" s="4">
        <f t="shared" si="8"/>
        <v>0</v>
      </c>
      <c r="AO38" s="4"/>
      <c r="AP38" s="4">
        <f t="shared" si="12"/>
        <v>0</v>
      </c>
      <c r="AQ38" s="3"/>
      <c r="AR38" s="3"/>
      <c r="AS38" s="3"/>
      <c r="AT38" s="3"/>
    </row>
    <row r="39" spans="1:46" s="5" customFormat="1" ht="30" customHeight="1">
      <c r="A39" s="3">
        <f t="shared" si="10"/>
        <v>34</v>
      </c>
      <c r="B39" s="30">
        <v>2167</v>
      </c>
      <c r="C39" s="3" t="s">
        <v>560</v>
      </c>
      <c r="D39" s="4">
        <v>1400000</v>
      </c>
      <c r="E39" s="4">
        <v>1400000</v>
      </c>
      <c r="F39" s="4">
        <f t="shared" si="0"/>
        <v>0</v>
      </c>
      <c r="G39" s="4">
        <v>0</v>
      </c>
      <c r="H39" s="4">
        <v>0</v>
      </c>
      <c r="I39" s="4">
        <v>0</v>
      </c>
      <c r="J39" s="4">
        <v>0</v>
      </c>
      <c r="K39" s="4">
        <f t="shared" si="1"/>
        <v>0</v>
      </c>
      <c r="L39" s="4">
        <f t="shared" si="2"/>
        <v>0</v>
      </c>
      <c r="M39" s="4">
        <f t="shared" si="13"/>
        <v>0</v>
      </c>
      <c r="N39" s="4">
        <f>600000-400000</f>
        <v>200000</v>
      </c>
      <c r="O39" s="4">
        <f t="shared" si="3"/>
        <v>1200000</v>
      </c>
      <c r="P39" s="4">
        <f t="shared" si="4"/>
        <v>0</v>
      </c>
      <c r="Q39" s="4"/>
      <c r="R39" s="4"/>
      <c r="S39" s="4">
        <f t="shared" si="5"/>
        <v>0</v>
      </c>
      <c r="T39" s="4">
        <f t="shared" si="6"/>
        <v>0</v>
      </c>
      <c r="U39" s="4">
        <f t="shared" si="7"/>
        <v>200000</v>
      </c>
      <c r="V39" s="10">
        <f t="shared" si="11"/>
        <v>0</v>
      </c>
      <c r="W39" s="4">
        <v>200000</v>
      </c>
      <c r="X39" s="4"/>
      <c r="Y39" s="4"/>
      <c r="Z39" s="4"/>
      <c r="AA39" s="4"/>
      <c r="AB39" s="3" t="s">
        <v>759</v>
      </c>
      <c r="AC39" s="3">
        <v>742000</v>
      </c>
      <c r="AD39" s="3"/>
      <c r="AE39" s="3"/>
      <c r="AF39" s="3"/>
      <c r="AG39" s="3"/>
      <c r="AH39" s="3"/>
      <c r="AI39" s="4">
        <v>100000</v>
      </c>
      <c r="AJ39" s="4"/>
      <c r="AK39" s="4"/>
      <c r="AL39" s="4"/>
      <c r="AM39" s="4">
        <f t="shared" si="9"/>
        <v>100000</v>
      </c>
      <c r="AN39" s="4">
        <f t="shared" si="8"/>
        <v>100000</v>
      </c>
      <c r="AO39" s="4"/>
      <c r="AP39" s="4">
        <f t="shared" si="12"/>
        <v>100000</v>
      </c>
      <c r="AQ39" s="3"/>
      <c r="AR39" s="3"/>
      <c r="AS39" s="3"/>
      <c r="AT39" s="3"/>
    </row>
    <row r="40" spans="1:46" s="5" customFormat="1" ht="30" customHeight="1">
      <c r="A40" s="3">
        <f t="shared" si="10"/>
        <v>35</v>
      </c>
      <c r="B40" s="30">
        <v>2168</v>
      </c>
      <c r="C40" s="3" t="s">
        <v>561</v>
      </c>
      <c r="D40" s="4">
        <v>240000</v>
      </c>
      <c r="E40" s="4">
        <v>240000</v>
      </c>
      <c r="F40" s="4">
        <f t="shared" si="0"/>
        <v>0</v>
      </c>
      <c r="G40" s="4">
        <v>100000</v>
      </c>
      <c r="H40" s="4">
        <v>0</v>
      </c>
      <c r="I40" s="4">
        <v>0</v>
      </c>
      <c r="J40" s="4">
        <v>0</v>
      </c>
      <c r="K40" s="4">
        <f t="shared" si="1"/>
        <v>0</v>
      </c>
      <c r="L40" s="4">
        <f t="shared" si="2"/>
        <v>0</v>
      </c>
      <c r="M40" s="4">
        <f>P40+S40-100000</f>
        <v>0</v>
      </c>
      <c r="N40" s="4">
        <v>170000</v>
      </c>
      <c r="O40" s="4">
        <f t="shared" si="3"/>
        <v>70000</v>
      </c>
      <c r="P40" s="4">
        <f t="shared" si="4"/>
        <v>100000</v>
      </c>
      <c r="Q40" s="4"/>
      <c r="R40" s="4"/>
      <c r="S40" s="4">
        <f t="shared" si="5"/>
        <v>0</v>
      </c>
      <c r="T40" s="4">
        <f t="shared" si="6"/>
        <v>100000</v>
      </c>
      <c r="U40" s="4">
        <f t="shared" si="7"/>
        <v>70000</v>
      </c>
      <c r="V40" s="10">
        <f t="shared" si="11"/>
        <v>0</v>
      </c>
      <c r="W40" s="4">
        <v>70000</v>
      </c>
      <c r="X40" s="4"/>
      <c r="Y40" s="4"/>
      <c r="Z40" s="4"/>
      <c r="AA40" s="4"/>
      <c r="AB40" s="3" t="s">
        <v>782</v>
      </c>
      <c r="AC40" s="3">
        <v>746000</v>
      </c>
      <c r="AD40" s="3"/>
      <c r="AE40" s="3"/>
      <c r="AF40" s="3"/>
      <c r="AG40" s="3"/>
      <c r="AH40" s="3"/>
      <c r="AI40" s="3"/>
      <c r="AJ40" s="3"/>
      <c r="AK40" s="3"/>
      <c r="AL40" s="3"/>
      <c r="AM40" s="4">
        <f t="shared" si="9"/>
        <v>0</v>
      </c>
      <c r="AN40" s="4">
        <f t="shared" si="8"/>
        <v>70000</v>
      </c>
      <c r="AO40" s="4"/>
      <c r="AP40" s="4">
        <f t="shared" si="12"/>
        <v>0</v>
      </c>
      <c r="AQ40" s="3"/>
      <c r="AR40" s="3"/>
      <c r="AS40" s="3"/>
      <c r="AT40" s="3"/>
    </row>
    <row r="41" spans="1:46" s="5" customFormat="1" ht="30" customHeight="1">
      <c r="A41" s="3">
        <f t="shared" si="10"/>
        <v>36</v>
      </c>
      <c r="B41" s="30">
        <v>2181</v>
      </c>
      <c r="C41" s="3" t="s">
        <v>637</v>
      </c>
      <c r="D41" s="4">
        <v>1259000</v>
      </c>
      <c r="E41" s="4">
        <v>1259000</v>
      </c>
      <c r="F41" s="4">
        <f t="shared" si="0"/>
        <v>0</v>
      </c>
      <c r="G41" s="4">
        <v>1259000</v>
      </c>
      <c r="H41" s="4">
        <v>446965</v>
      </c>
      <c r="I41" s="4">
        <v>0</v>
      </c>
      <c r="J41" s="4">
        <v>744959</v>
      </c>
      <c r="K41" s="4">
        <f t="shared" si="1"/>
        <v>744959</v>
      </c>
      <c r="L41" s="4">
        <f t="shared" si="2"/>
        <v>1191924</v>
      </c>
      <c r="M41" s="4">
        <f>P41+S41</f>
        <v>67076</v>
      </c>
      <c r="N41" s="4"/>
      <c r="O41" s="4">
        <f t="shared" si="3"/>
        <v>0</v>
      </c>
      <c r="P41" s="4">
        <f t="shared" si="4"/>
        <v>67076</v>
      </c>
      <c r="Q41" s="4"/>
      <c r="R41" s="4"/>
      <c r="S41" s="4">
        <f t="shared" si="5"/>
        <v>0</v>
      </c>
      <c r="T41" s="4">
        <f t="shared" si="6"/>
        <v>0</v>
      </c>
      <c r="U41" s="4">
        <f t="shared" si="7"/>
        <v>0</v>
      </c>
      <c r="V41" s="10">
        <f t="shared" si="11"/>
        <v>0</v>
      </c>
      <c r="W41" s="4"/>
      <c r="X41" s="4"/>
      <c r="Y41" s="4"/>
      <c r="Z41" s="4"/>
      <c r="AA41" s="4"/>
      <c r="AB41" s="3" t="s">
        <v>684</v>
      </c>
      <c r="AC41" s="3">
        <v>747000</v>
      </c>
      <c r="AD41" s="3"/>
      <c r="AE41" s="3"/>
      <c r="AF41" s="3"/>
      <c r="AG41" s="3"/>
      <c r="AH41" s="3"/>
      <c r="AI41" s="3"/>
      <c r="AJ41" s="3"/>
      <c r="AK41" s="3"/>
      <c r="AL41" s="3"/>
      <c r="AM41" s="4">
        <f t="shared" si="9"/>
        <v>0</v>
      </c>
      <c r="AN41" s="4">
        <f t="shared" si="8"/>
        <v>0</v>
      </c>
      <c r="AO41" s="4"/>
      <c r="AP41" s="4">
        <f t="shared" si="12"/>
        <v>0</v>
      </c>
      <c r="AQ41" s="3"/>
      <c r="AR41" s="3"/>
      <c r="AS41" s="3"/>
      <c r="AT41" s="3"/>
    </row>
    <row r="42" spans="1:46" s="5" customFormat="1" ht="30" customHeight="1">
      <c r="A42" s="3">
        <f t="shared" si="10"/>
        <v>37</v>
      </c>
      <c r="B42" s="30">
        <v>2220</v>
      </c>
      <c r="C42" s="3" t="s">
        <v>2468</v>
      </c>
      <c r="D42" s="4">
        <v>800000</v>
      </c>
      <c r="E42" s="4"/>
      <c r="F42" s="4">
        <f t="shared" si="0"/>
        <v>800000</v>
      </c>
      <c r="G42" s="4">
        <v>0</v>
      </c>
      <c r="H42" s="4">
        <v>0</v>
      </c>
      <c r="I42" s="4">
        <v>0</v>
      </c>
      <c r="J42" s="4">
        <v>0</v>
      </c>
      <c r="K42" s="4">
        <f>SUM(I42:J42)</f>
        <v>0</v>
      </c>
      <c r="L42" s="4">
        <f t="shared" si="2"/>
        <v>0</v>
      </c>
      <c r="M42" s="4">
        <f>P42+S42</f>
        <v>0</v>
      </c>
      <c r="N42" s="4">
        <f>800000-200000</f>
        <v>600000</v>
      </c>
      <c r="O42" s="4">
        <f t="shared" si="3"/>
        <v>200000</v>
      </c>
      <c r="P42" s="4">
        <f t="shared" si="4"/>
        <v>0</v>
      </c>
      <c r="Q42" s="4"/>
      <c r="R42" s="4"/>
      <c r="S42" s="4">
        <f t="shared" si="5"/>
        <v>0</v>
      </c>
      <c r="T42" s="4">
        <f t="shared" si="6"/>
        <v>0</v>
      </c>
      <c r="U42" s="4">
        <f t="shared" si="7"/>
        <v>600000</v>
      </c>
      <c r="V42" s="4">
        <f>U42-AA42-W42-Z42</f>
        <v>600000</v>
      </c>
      <c r="W42" s="4"/>
      <c r="X42" s="4"/>
      <c r="Y42" s="4"/>
      <c r="Z42" s="4"/>
      <c r="AA42" s="4"/>
      <c r="AB42" s="3" t="s">
        <v>686</v>
      </c>
      <c r="AC42" s="3">
        <v>746000</v>
      </c>
      <c r="AD42" s="3"/>
      <c r="AE42" s="3"/>
      <c r="AF42" s="3"/>
      <c r="AG42" s="3"/>
      <c r="AH42" s="3"/>
      <c r="AI42" s="3"/>
      <c r="AJ42" s="3"/>
      <c r="AK42" s="3"/>
      <c r="AL42" s="3"/>
      <c r="AM42" s="4">
        <f t="shared" si="9"/>
        <v>0</v>
      </c>
      <c r="AN42" s="4">
        <f t="shared" si="8"/>
        <v>600000</v>
      </c>
      <c r="AO42" s="4"/>
      <c r="AP42" s="4">
        <f t="shared" si="12"/>
        <v>0</v>
      </c>
      <c r="AQ42" s="3"/>
      <c r="AR42" s="3"/>
      <c r="AS42" s="3"/>
      <c r="AT42" s="3"/>
    </row>
    <row r="43" spans="1:46" s="370" customFormat="1" ht="30" customHeight="1">
      <c r="A43" s="302">
        <f>A42</f>
        <v>37</v>
      </c>
      <c r="B43" s="302"/>
      <c r="C43" s="32" t="s">
        <v>640</v>
      </c>
      <c r="D43" s="369">
        <f>SUM(D6:D42)</f>
        <v>263941379</v>
      </c>
      <c r="E43" s="369">
        <f t="shared" ref="E43:AT43" si="14">SUM(E6:E42)</f>
        <v>232020379</v>
      </c>
      <c r="F43" s="369">
        <f t="shared" si="14"/>
        <v>31921000</v>
      </c>
      <c r="G43" s="369">
        <f t="shared" si="14"/>
        <v>203662245</v>
      </c>
      <c r="H43" s="369">
        <f t="shared" si="14"/>
        <v>185965379</v>
      </c>
      <c r="I43" s="369">
        <f t="shared" si="14"/>
        <v>0</v>
      </c>
      <c r="J43" s="369">
        <f t="shared" si="14"/>
        <v>9211704</v>
      </c>
      <c r="K43" s="369">
        <f t="shared" si="14"/>
        <v>9211704</v>
      </c>
      <c r="L43" s="369">
        <f t="shared" si="14"/>
        <v>195177083</v>
      </c>
      <c r="M43" s="369">
        <f t="shared" si="14"/>
        <v>6558162</v>
      </c>
      <c r="N43" s="369">
        <f t="shared" si="14"/>
        <v>29162000</v>
      </c>
      <c r="O43" s="369">
        <f t="shared" si="14"/>
        <v>33044134</v>
      </c>
      <c r="P43" s="369">
        <f t="shared" si="14"/>
        <v>8485162</v>
      </c>
      <c r="Q43" s="369">
        <f t="shared" si="14"/>
        <v>0</v>
      </c>
      <c r="R43" s="369">
        <f t="shared" si="14"/>
        <v>0</v>
      </c>
      <c r="S43" s="369">
        <f t="shared" si="14"/>
        <v>0</v>
      </c>
      <c r="T43" s="369">
        <f t="shared" si="14"/>
        <v>1927000</v>
      </c>
      <c r="U43" s="369">
        <f t="shared" si="14"/>
        <v>27235000</v>
      </c>
      <c r="V43" s="369">
        <f t="shared" si="14"/>
        <v>533000</v>
      </c>
      <c r="W43" s="369">
        <f t="shared" si="14"/>
        <v>7320000</v>
      </c>
      <c r="X43" s="369">
        <f t="shared" si="14"/>
        <v>0</v>
      </c>
      <c r="Y43" s="369">
        <f t="shared" si="14"/>
        <v>0</v>
      </c>
      <c r="Z43" s="369">
        <f t="shared" si="14"/>
        <v>0</v>
      </c>
      <c r="AA43" s="369">
        <f t="shared" si="14"/>
        <v>19382000</v>
      </c>
      <c r="AB43" s="369">
        <f t="shared" si="14"/>
        <v>0</v>
      </c>
      <c r="AC43" s="369">
        <f t="shared" si="14"/>
        <v>28978500</v>
      </c>
      <c r="AD43" s="369">
        <f t="shared" si="14"/>
        <v>21000</v>
      </c>
      <c r="AE43" s="369">
        <f>SUM(AE6:AE42)</f>
        <v>2800000</v>
      </c>
      <c r="AF43" s="369">
        <f>SUM(AF6:AF42)</f>
        <v>4162000</v>
      </c>
      <c r="AG43" s="369">
        <f t="shared" si="14"/>
        <v>0</v>
      </c>
      <c r="AH43" s="369">
        <f>SUM(AH6:AH42)</f>
        <v>150000</v>
      </c>
      <c r="AI43" s="369">
        <f>SUM(AI6:AI42)</f>
        <v>3400000</v>
      </c>
      <c r="AJ43" s="369">
        <f>SUM(AJ6:AJ42)</f>
        <v>1500000</v>
      </c>
      <c r="AK43" s="369">
        <f>SUM(AK6:AK42)</f>
        <v>2000000</v>
      </c>
      <c r="AL43" s="369">
        <f>SUM(AL6:AL42)</f>
        <v>0</v>
      </c>
      <c r="AM43" s="369">
        <f t="shared" si="14"/>
        <v>14033000</v>
      </c>
      <c r="AN43" s="369">
        <f t="shared" si="14"/>
        <v>13202000</v>
      </c>
      <c r="AO43" s="369">
        <f>SUM(AO6:AO42)</f>
        <v>-67000</v>
      </c>
      <c r="AP43" s="369">
        <f t="shared" si="14"/>
        <v>6950000</v>
      </c>
      <c r="AQ43" s="369">
        <f t="shared" si="14"/>
        <v>0</v>
      </c>
      <c r="AR43" s="369">
        <f t="shared" si="14"/>
        <v>0</v>
      </c>
      <c r="AS43" s="369">
        <f t="shared" si="14"/>
        <v>0</v>
      </c>
      <c r="AT43" s="369">
        <f t="shared" si="14"/>
        <v>7150000</v>
      </c>
    </row>
    <row r="44" spans="1:46" hidden="1">
      <c r="L44" s="14">
        <f>K43+H43</f>
        <v>195177083</v>
      </c>
      <c r="M44" s="14">
        <f>P44+S43-T43</f>
        <v>6558162</v>
      </c>
      <c r="P44" s="14">
        <f>G43-L44</f>
        <v>8485162</v>
      </c>
    </row>
    <row r="46" spans="1:46">
      <c r="AF46" s="21"/>
      <c r="AG46" s="21"/>
      <c r="AH46" s="21"/>
      <c r="AI46" s="21"/>
      <c r="AJ46" s="21"/>
      <c r="AK46" s="21"/>
      <c r="AL46" s="21"/>
    </row>
    <row r="48" spans="1:46">
      <c r="AF48" s="21"/>
      <c r="AG48" s="21"/>
      <c r="AH48" s="21"/>
      <c r="AI48" s="21"/>
      <c r="AJ48" s="21"/>
      <c r="AK48" s="21"/>
      <c r="AL48" s="21"/>
    </row>
  </sheetData>
  <sheetProtection formatCells="0" formatColumns="0" formatRows="0" insertColumns="0" insertRows="0" insertHyperlinks="0" deleteColumns="0" deleteRows="0" sort="0" autoFilter="0" pivotTables="0"/>
  <mergeCells count="4">
    <mergeCell ref="V4:AA4"/>
    <mergeCell ref="AD4:AM4"/>
    <mergeCell ref="AO4:AT4"/>
    <mergeCell ref="T4:U4"/>
  </mergeCells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AU24"/>
  <sheetViews>
    <sheetView showZeros="0" rightToLeft="1" zoomScaleNormal="100" workbookViewId="0">
      <pane xSplit="3" ySplit="5" topLeftCell="U15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9.140625" defaultRowHeight="15"/>
  <cols>
    <col min="1" max="1" width="3.28515625" style="28" customWidth="1"/>
    <col min="2" max="2" width="4.7109375" style="12" customWidth="1"/>
    <col min="3" max="3" width="25.28515625" style="12" customWidth="1"/>
    <col min="4" max="20" width="9.7109375" style="14" hidden="1" customWidth="1"/>
    <col min="21" max="23" width="12.140625" style="12" customWidth="1"/>
    <col min="24" max="26" width="9.7109375" style="12" hidden="1" customWidth="1"/>
    <col min="27" max="27" width="12.140625" style="12" customWidth="1"/>
    <col min="28" max="28" width="25.28515625" style="12" hidden="1" customWidth="1"/>
    <col min="29" max="29" width="7.85546875" style="12" hidden="1" customWidth="1"/>
    <col min="30" max="38" width="11.7109375" style="24" hidden="1" customWidth="1"/>
    <col min="39" max="40" width="12.140625" style="24" customWidth="1"/>
    <col min="41" max="42" width="12.140625" style="17" customWidth="1"/>
    <col min="43" max="45" width="11.7109375" style="17" hidden="1" customWidth="1"/>
    <col min="46" max="46" width="12.140625" style="12" customWidth="1"/>
    <col min="47" max="16384" width="9.140625" style="12"/>
  </cols>
  <sheetData>
    <row r="1" spans="1:47" s="259" customFormat="1" ht="18.7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8"/>
      <c r="AC1" s="258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</row>
    <row r="2" spans="1:47" s="154" customFormat="1" ht="18.75">
      <c r="A2" s="257" t="s">
        <v>2293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61"/>
      <c r="AC2" s="261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</row>
    <row r="3" spans="1:47" s="154" customFormat="1" ht="18.75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61"/>
      <c r="AC3" s="261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1:47" ht="25.15" customHeight="1">
      <c r="A4" s="691"/>
      <c r="B4" s="35"/>
      <c r="C4" s="35"/>
      <c r="T4" s="876" t="s">
        <v>256</v>
      </c>
      <c r="U4" s="877"/>
      <c r="V4" s="880" t="s">
        <v>88</v>
      </c>
      <c r="W4" s="880"/>
      <c r="X4" s="880"/>
      <c r="Y4" s="880"/>
      <c r="Z4" s="880"/>
      <c r="AA4" s="880"/>
      <c r="AB4" s="880"/>
      <c r="AC4" s="18"/>
      <c r="AD4" s="851" t="s">
        <v>246</v>
      </c>
      <c r="AE4" s="575"/>
      <c r="AF4" s="575"/>
      <c r="AG4" s="575"/>
      <c r="AH4" s="575"/>
      <c r="AI4" s="575"/>
      <c r="AJ4" s="575"/>
      <c r="AK4" s="575"/>
      <c r="AL4" s="575"/>
      <c r="AM4" s="566" t="s">
        <v>246</v>
      </c>
      <c r="AN4" s="566"/>
      <c r="AO4" s="876" t="s">
        <v>2269</v>
      </c>
      <c r="AP4" s="877"/>
      <c r="AQ4" s="877"/>
      <c r="AR4" s="877"/>
      <c r="AS4" s="877"/>
      <c r="AT4" s="878"/>
      <c r="AU4" s="577"/>
    </row>
    <row r="5" spans="1:47" s="24" customFormat="1" ht="85.9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9</v>
      </c>
      <c r="J5" s="16" t="s">
        <v>153</v>
      </c>
      <c r="K5" s="16" t="s">
        <v>10</v>
      </c>
      <c r="L5" s="16" t="s">
        <v>11</v>
      </c>
      <c r="M5" s="9" t="s">
        <v>618</v>
      </c>
      <c r="N5" s="16" t="s">
        <v>619</v>
      </c>
      <c r="O5" s="16" t="s">
        <v>620</v>
      </c>
      <c r="P5" s="16" t="s">
        <v>12</v>
      </c>
      <c r="Q5" s="16" t="s">
        <v>621</v>
      </c>
      <c r="R5" s="16" t="s">
        <v>622</v>
      </c>
      <c r="S5" s="16" t="s">
        <v>623</v>
      </c>
      <c r="T5" s="16" t="s">
        <v>624</v>
      </c>
      <c r="U5" s="16" t="s">
        <v>625</v>
      </c>
      <c r="V5" s="16" t="s">
        <v>13</v>
      </c>
      <c r="W5" s="16" t="s">
        <v>14</v>
      </c>
      <c r="X5" s="16" t="s">
        <v>15</v>
      </c>
      <c r="Y5" s="16" t="s">
        <v>265</v>
      </c>
      <c r="Z5" s="16" t="s">
        <v>749</v>
      </c>
      <c r="AA5" s="16" t="s">
        <v>84</v>
      </c>
      <c r="AB5" s="704" t="s">
        <v>304</v>
      </c>
      <c r="AC5" s="16" t="s">
        <v>16</v>
      </c>
      <c r="AD5" s="9" t="s">
        <v>1911</v>
      </c>
      <c r="AE5" s="9" t="s">
        <v>1912</v>
      </c>
      <c r="AF5" s="9" t="s">
        <v>247</v>
      </c>
      <c r="AG5" s="9" t="s">
        <v>248</v>
      </c>
      <c r="AH5" s="9" t="s">
        <v>1913</v>
      </c>
      <c r="AI5" s="9" t="s">
        <v>1914</v>
      </c>
      <c r="AJ5" s="9" t="s">
        <v>1915</v>
      </c>
      <c r="AK5" s="9" t="s">
        <v>1916</v>
      </c>
      <c r="AL5" s="9" t="s">
        <v>1917</v>
      </c>
      <c r="AM5" s="20" t="s">
        <v>2037</v>
      </c>
      <c r="AN5" s="20" t="s">
        <v>852</v>
      </c>
      <c r="AO5" s="567" t="s">
        <v>13</v>
      </c>
      <c r="AP5" s="567" t="s">
        <v>14</v>
      </c>
      <c r="AQ5" s="567" t="s">
        <v>15</v>
      </c>
      <c r="AR5" s="567" t="s">
        <v>265</v>
      </c>
      <c r="AS5" s="567" t="s">
        <v>749</v>
      </c>
      <c r="AT5" s="567" t="s">
        <v>84</v>
      </c>
    </row>
    <row r="6" spans="1:47" s="5" customFormat="1" ht="34.9" customHeight="1">
      <c r="A6" s="3">
        <v>1</v>
      </c>
      <c r="B6" s="3">
        <v>1700</v>
      </c>
      <c r="C6" s="3" t="s">
        <v>151</v>
      </c>
      <c r="D6" s="4">
        <v>56971</v>
      </c>
      <c r="E6" s="4">
        <v>56971</v>
      </c>
      <c r="F6" s="4">
        <f t="shared" ref="F6:F18" si="0">D6-E6</f>
        <v>0</v>
      </c>
      <c r="G6" s="4">
        <v>72000</v>
      </c>
      <c r="H6" s="4">
        <v>56971</v>
      </c>
      <c r="I6" s="4">
        <v>0</v>
      </c>
      <c r="J6" s="4">
        <v>0</v>
      </c>
      <c r="K6" s="4">
        <f t="shared" ref="K6:K18" si="1">I6+J6</f>
        <v>0</v>
      </c>
      <c r="L6" s="4">
        <f t="shared" ref="L6:L18" si="2">H6+K6</f>
        <v>56971</v>
      </c>
      <c r="M6" s="4">
        <f>P6+S6-15029</f>
        <v>0</v>
      </c>
      <c r="N6" s="4"/>
      <c r="O6" s="4">
        <f t="shared" ref="O6:O18" si="3">D6-L6-M6-N6</f>
        <v>0</v>
      </c>
      <c r="P6" s="4">
        <f t="shared" ref="P6:P18" si="4">G6-L6</f>
        <v>15029</v>
      </c>
      <c r="Q6" s="4"/>
      <c r="R6" s="4"/>
      <c r="S6" s="4">
        <f t="shared" ref="S6:S18" si="5">SUM(Q6:R6)</f>
        <v>0</v>
      </c>
      <c r="T6" s="4">
        <f t="shared" ref="T6:T18" si="6">P6-M6+S6</f>
        <v>15029</v>
      </c>
      <c r="U6" s="4">
        <f t="shared" ref="U6:U18" si="7">N6-T6</f>
        <v>-15029</v>
      </c>
      <c r="V6" s="10"/>
      <c r="W6" s="4">
        <f t="shared" ref="W6:W18" si="8">U6-V6-Z6-AA6</f>
        <v>0</v>
      </c>
      <c r="X6" s="4"/>
      <c r="Y6" s="4"/>
      <c r="Z6" s="4"/>
      <c r="AA6" s="4">
        <v>-15029</v>
      </c>
      <c r="AB6" s="3" t="s">
        <v>2028</v>
      </c>
      <c r="AC6" s="373">
        <v>747000</v>
      </c>
      <c r="AD6" s="4">
        <v>-15029</v>
      </c>
      <c r="AE6" s="4"/>
      <c r="AF6" s="4"/>
      <c r="AG6" s="4"/>
      <c r="AH6" s="4"/>
      <c r="AI6" s="4"/>
      <c r="AJ6" s="4"/>
      <c r="AK6" s="4"/>
      <c r="AL6" s="4"/>
      <c r="AM6" s="4">
        <f>SUM(AD6:AL6)</f>
        <v>-15029</v>
      </c>
      <c r="AN6" s="4">
        <f>U6-AM6</f>
        <v>0</v>
      </c>
      <c r="AO6" s="4"/>
      <c r="AP6" s="4">
        <f>AM6-AO6-AQ6-AR6-AS6-AT6</f>
        <v>0</v>
      </c>
      <c r="AQ6" s="4"/>
      <c r="AR6" s="4"/>
      <c r="AS6" s="4"/>
      <c r="AT6" s="4">
        <v>-15029</v>
      </c>
    </row>
    <row r="7" spans="1:47" s="5" customFormat="1" ht="34.9" customHeight="1">
      <c r="A7" s="3">
        <f>A6+1</f>
        <v>2</v>
      </c>
      <c r="B7" s="3">
        <v>1923</v>
      </c>
      <c r="C7" s="3" t="s">
        <v>131</v>
      </c>
      <c r="D7" s="4">
        <v>152000</v>
      </c>
      <c r="E7" s="4">
        <v>152000</v>
      </c>
      <c r="F7" s="4">
        <f t="shared" si="0"/>
        <v>0</v>
      </c>
      <c r="G7" s="4">
        <v>152000</v>
      </c>
      <c r="H7" s="4">
        <v>138856</v>
      </c>
      <c r="I7" s="4">
        <v>13144</v>
      </c>
      <c r="J7" s="4">
        <v>0</v>
      </c>
      <c r="K7" s="4">
        <f t="shared" si="1"/>
        <v>13144</v>
      </c>
      <c r="L7" s="4">
        <f t="shared" si="2"/>
        <v>152000</v>
      </c>
      <c r="M7" s="4">
        <f t="shared" ref="M7:M18" si="9">P7+S7</f>
        <v>0</v>
      </c>
      <c r="N7" s="4"/>
      <c r="O7" s="4">
        <f t="shared" si="3"/>
        <v>0</v>
      </c>
      <c r="P7" s="4">
        <f t="shared" si="4"/>
        <v>0</v>
      </c>
      <c r="Q7" s="4"/>
      <c r="R7" s="4"/>
      <c r="S7" s="4">
        <f t="shared" si="5"/>
        <v>0</v>
      </c>
      <c r="T7" s="4">
        <f t="shared" si="6"/>
        <v>0</v>
      </c>
      <c r="U7" s="4">
        <f t="shared" si="7"/>
        <v>0</v>
      </c>
      <c r="V7" s="10"/>
      <c r="W7" s="4">
        <f t="shared" si="8"/>
        <v>0</v>
      </c>
      <c r="X7" s="4"/>
      <c r="Y7" s="4"/>
      <c r="Z7" s="4"/>
      <c r="AA7" s="4"/>
      <c r="AB7" s="3" t="s">
        <v>562</v>
      </c>
      <c r="AC7" s="3">
        <v>747000</v>
      </c>
      <c r="AD7" s="9"/>
      <c r="AE7" s="16"/>
      <c r="AF7" s="16"/>
      <c r="AG7" s="16"/>
      <c r="AH7" s="16"/>
      <c r="AI7" s="16"/>
      <c r="AJ7" s="16"/>
      <c r="AK7" s="16"/>
      <c r="AL7" s="16"/>
      <c r="AM7" s="4">
        <f t="shared" ref="AM7:AM19" si="10">SUM(AD7:AL7)</f>
        <v>0</v>
      </c>
      <c r="AN7" s="4">
        <f t="shared" ref="AN7:AN19" si="11">U7-AM7</f>
        <v>0</v>
      </c>
      <c r="AO7" s="4"/>
      <c r="AP7" s="4">
        <f t="shared" ref="AP7:AP19" si="12">AM7-AO7-AQ7-AR7-AS7-AT7</f>
        <v>0</v>
      </c>
      <c r="AQ7" s="3"/>
      <c r="AR7" s="3"/>
      <c r="AS7" s="3"/>
      <c r="AT7" s="3"/>
    </row>
    <row r="8" spans="1:47" s="5" customFormat="1" ht="34.9" customHeight="1">
      <c r="A8" s="3">
        <f t="shared" ref="A8:A19" si="13">A7+1</f>
        <v>3</v>
      </c>
      <c r="B8" s="3">
        <v>2043</v>
      </c>
      <c r="C8" s="3" t="s">
        <v>563</v>
      </c>
      <c r="D8" s="4">
        <f>7500000-150000</f>
        <v>7350000</v>
      </c>
      <c r="E8" s="4">
        <v>5200000</v>
      </c>
      <c r="F8" s="4">
        <f t="shared" si="0"/>
        <v>2150000</v>
      </c>
      <c r="G8" s="4">
        <v>5050000</v>
      </c>
      <c r="H8" s="4">
        <v>4540112</v>
      </c>
      <c r="I8" s="4">
        <v>234773</v>
      </c>
      <c r="J8" s="4">
        <v>194526</v>
      </c>
      <c r="K8" s="4">
        <f t="shared" si="1"/>
        <v>429299</v>
      </c>
      <c r="L8" s="4">
        <f t="shared" si="2"/>
        <v>4969411</v>
      </c>
      <c r="M8" s="4">
        <f t="shared" si="9"/>
        <v>80589</v>
      </c>
      <c r="N8" s="4">
        <f>2300000-600000+150000-150000</f>
        <v>1700000</v>
      </c>
      <c r="O8" s="4">
        <f t="shared" si="3"/>
        <v>600000</v>
      </c>
      <c r="P8" s="4">
        <f t="shared" si="4"/>
        <v>80589</v>
      </c>
      <c r="Q8" s="4"/>
      <c r="R8" s="4"/>
      <c r="S8" s="4">
        <f t="shared" si="5"/>
        <v>0</v>
      </c>
      <c r="T8" s="4">
        <f t="shared" si="6"/>
        <v>0</v>
      </c>
      <c r="U8" s="4">
        <f t="shared" si="7"/>
        <v>1700000</v>
      </c>
      <c r="V8" s="10"/>
      <c r="W8" s="4">
        <f t="shared" si="8"/>
        <v>1700000</v>
      </c>
      <c r="X8" s="4"/>
      <c r="Y8" s="4"/>
      <c r="Z8" s="4"/>
      <c r="AA8" s="4"/>
      <c r="AB8" s="3" t="s">
        <v>687</v>
      </c>
      <c r="AC8" s="3">
        <v>747000</v>
      </c>
      <c r="AD8" s="4">
        <v>1000000</v>
      </c>
      <c r="AE8" s="4">
        <v>500000</v>
      </c>
      <c r="AF8" s="4">
        <v>200000</v>
      </c>
      <c r="AG8" s="4"/>
      <c r="AH8" s="4"/>
      <c r="AI8" s="4"/>
      <c r="AJ8" s="4"/>
      <c r="AK8" s="4"/>
      <c r="AL8" s="4"/>
      <c r="AM8" s="4">
        <f t="shared" si="10"/>
        <v>1700000</v>
      </c>
      <c r="AN8" s="4">
        <f t="shared" si="11"/>
        <v>0</v>
      </c>
      <c r="AO8" s="4"/>
      <c r="AP8" s="4">
        <f t="shared" si="12"/>
        <v>1700000</v>
      </c>
      <c r="AQ8" s="3"/>
      <c r="AR8" s="3"/>
      <c r="AS8" s="3"/>
      <c r="AT8" s="3"/>
    </row>
    <row r="9" spans="1:47" s="5" customFormat="1" ht="34.9" customHeight="1">
      <c r="A9" s="3">
        <f t="shared" si="13"/>
        <v>4</v>
      </c>
      <c r="B9" s="3">
        <v>2044</v>
      </c>
      <c r="C9" s="3" t="s">
        <v>166</v>
      </c>
      <c r="D9" s="4">
        <v>105000</v>
      </c>
      <c r="E9" s="4">
        <v>105000</v>
      </c>
      <c r="F9" s="4">
        <f t="shared" si="0"/>
        <v>0</v>
      </c>
      <c r="G9" s="4">
        <v>105000</v>
      </c>
      <c r="H9" s="4">
        <v>56160</v>
      </c>
      <c r="I9" s="4">
        <v>0</v>
      </c>
      <c r="J9" s="4">
        <v>0</v>
      </c>
      <c r="K9" s="4">
        <f t="shared" si="1"/>
        <v>0</v>
      </c>
      <c r="L9" s="4">
        <f t="shared" si="2"/>
        <v>56160</v>
      </c>
      <c r="M9" s="4">
        <f t="shared" si="9"/>
        <v>48840</v>
      </c>
      <c r="N9" s="4"/>
      <c r="O9" s="4">
        <f t="shared" si="3"/>
        <v>0</v>
      </c>
      <c r="P9" s="4">
        <f t="shared" si="4"/>
        <v>48840</v>
      </c>
      <c r="Q9" s="4"/>
      <c r="R9" s="4"/>
      <c r="S9" s="4">
        <f t="shared" si="5"/>
        <v>0</v>
      </c>
      <c r="T9" s="4">
        <f t="shared" si="6"/>
        <v>0</v>
      </c>
      <c r="U9" s="4">
        <f t="shared" si="7"/>
        <v>0</v>
      </c>
      <c r="V9" s="10"/>
      <c r="W9" s="4">
        <f t="shared" si="8"/>
        <v>0</v>
      </c>
      <c r="X9" s="4"/>
      <c r="Y9" s="4"/>
      <c r="Z9" s="4"/>
      <c r="AA9" s="4"/>
      <c r="AB9" s="3" t="s">
        <v>845</v>
      </c>
      <c r="AC9" s="3">
        <v>747000</v>
      </c>
      <c r="AD9" s="9"/>
      <c r="AE9" s="16"/>
      <c r="AF9" s="16"/>
      <c r="AG9" s="16"/>
      <c r="AH9" s="16"/>
      <c r="AI9" s="16"/>
      <c r="AJ9" s="16"/>
      <c r="AK9" s="16"/>
      <c r="AL9" s="16"/>
      <c r="AM9" s="4">
        <f t="shared" si="10"/>
        <v>0</v>
      </c>
      <c r="AN9" s="4">
        <f t="shared" si="11"/>
        <v>0</v>
      </c>
      <c r="AO9" s="4"/>
      <c r="AP9" s="4">
        <f t="shared" si="12"/>
        <v>0</v>
      </c>
      <c r="AQ9" s="3"/>
      <c r="AR9" s="3"/>
      <c r="AS9" s="3"/>
      <c r="AT9" s="3"/>
    </row>
    <row r="10" spans="1:47" s="5" customFormat="1" ht="34.9" customHeight="1">
      <c r="A10" s="3">
        <f t="shared" si="13"/>
        <v>5</v>
      </c>
      <c r="B10" s="3">
        <v>2045</v>
      </c>
      <c r="C10" s="3" t="s">
        <v>366</v>
      </c>
      <c r="D10" s="4">
        <v>205000</v>
      </c>
      <c r="E10" s="4">
        <v>205000</v>
      </c>
      <c r="F10" s="4">
        <f t="shared" si="0"/>
        <v>0</v>
      </c>
      <c r="G10" s="4">
        <v>205000</v>
      </c>
      <c r="H10" s="4">
        <v>0</v>
      </c>
      <c r="I10" s="4">
        <v>184044</v>
      </c>
      <c r="J10" s="4">
        <v>0</v>
      </c>
      <c r="K10" s="4">
        <f t="shared" si="1"/>
        <v>184044</v>
      </c>
      <c r="L10" s="4">
        <f t="shared" si="2"/>
        <v>184044</v>
      </c>
      <c r="M10" s="4">
        <f t="shared" si="9"/>
        <v>20956</v>
      </c>
      <c r="N10" s="4"/>
      <c r="O10" s="4">
        <f t="shared" si="3"/>
        <v>0</v>
      </c>
      <c r="P10" s="4">
        <f t="shared" si="4"/>
        <v>20956</v>
      </c>
      <c r="Q10" s="4"/>
      <c r="R10" s="4"/>
      <c r="S10" s="4">
        <f t="shared" si="5"/>
        <v>0</v>
      </c>
      <c r="T10" s="4">
        <f t="shared" si="6"/>
        <v>0</v>
      </c>
      <c r="U10" s="4">
        <f t="shared" si="7"/>
        <v>0</v>
      </c>
      <c r="V10" s="10"/>
      <c r="W10" s="4">
        <f t="shared" si="8"/>
        <v>0</v>
      </c>
      <c r="X10" s="4"/>
      <c r="Y10" s="4"/>
      <c r="Z10" s="4"/>
      <c r="AA10" s="4"/>
      <c r="AB10" s="3" t="s">
        <v>846</v>
      </c>
      <c r="AC10" s="3">
        <v>747000</v>
      </c>
      <c r="AD10" s="9"/>
      <c r="AE10" s="16"/>
      <c r="AF10" s="16"/>
      <c r="AG10" s="16"/>
      <c r="AH10" s="16"/>
      <c r="AI10" s="16"/>
      <c r="AJ10" s="16"/>
      <c r="AK10" s="16"/>
      <c r="AL10" s="16"/>
      <c r="AM10" s="4">
        <f t="shared" si="10"/>
        <v>0</v>
      </c>
      <c r="AN10" s="4">
        <f t="shared" si="11"/>
        <v>0</v>
      </c>
      <c r="AO10" s="4"/>
      <c r="AP10" s="4">
        <f t="shared" si="12"/>
        <v>0</v>
      </c>
      <c r="AQ10" s="3"/>
      <c r="AR10" s="3"/>
      <c r="AS10" s="3"/>
      <c r="AT10" s="3"/>
    </row>
    <row r="11" spans="1:47" s="5" customFormat="1" ht="34.9" customHeight="1">
      <c r="A11" s="3">
        <f t="shared" si="13"/>
        <v>6</v>
      </c>
      <c r="B11" s="3">
        <v>2047</v>
      </c>
      <c r="C11" s="3" t="s">
        <v>367</v>
      </c>
      <c r="D11" s="4">
        <v>170000</v>
      </c>
      <c r="E11" s="4">
        <v>170000</v>
      </c>
      <c r="F11" s="4">
        <f t="shared" si="0"/>
        <v>0</v>
      </c>
      <c r="G11" s="4">
        <v>170000</v>
      </c>
      <c r="H11" s="4">
        <v>117000</v>
      </c>
      <c r="I11" s="4">
        <v>53000</v>
      </c>
      <c r="J11" s="4">
        <v>0</v>
      </c>
      <c r="K11" s="4">
        <f t="shared" si="1"/>
        <v>53000</v>
      </c>
      <c r="L11" s="4">
        <f t="shared" si="2"/>
        <v>170000</v>
      </c>
      <c r="M11" s="4">
        <f t="shared" si="9"/>
        <v>0</v>
      </c>
      <c r="N11" s="4"/>
      <c r="O11" s="4">
        <f t="shared" si="3"/>
        <v>0</v>
      </c>
      <c r="P11" s="4">
        <f t="shared" si="4"/>
        <v>0</v>
      </c>
      <c r="Q11" s="4"/>
      <c r="R11" s="4"/>
      <c r="S11" s="4">
        <f t="shared" si="5"/>
        <v>0</v>
      </c>
      <c r="T11" s="4">
        <f t="shared" si="6"/>
        <v>0</v>
      </c>
      <c r="U11" s="4">
        <f t="shared" si="7"/>
        <v>0</v>
      </c>
      <c r="V11" s="10"/>
      <c r="W11" s="4">
        <f t="shared" si="8"/>
        <v>0</v>
      </c>
      <c r="X11" s="4"/>
      <c r="Y11" s="4"/>
      <c r="Z11" s="4"/>
      <c r="AA11" s="4"/>
      <c r="AB11" s="3" t="s">
        <v>886</v>
      </c>
      <c r="AC11" s="3">
        <v>747000</v>
      </c>
      <c r="AD11" s="9"/>
      <c r="AE11" s="16"/>
      <c r="AF11" s="16"/>
      <c r="AG11" s="16"/>
      <c r="AH11" s="16"/>
      <c r="AI11" s="16"/>
      <c r="AJ11" s="16"/>
      <c r="AK11" s="16"/>
      <c r="AL11" s="16"/>
      <c r="AM11" s="4">
        <f t="shared" si="10"/>
        <v>0</v>
      </c>
      <c r="AN11" s="4">
        <f t="shared" si="11"/>
        <v>0</v>
      </c>
      <c r="AO11" s="4"/>
      <c r="AP11" s="4">
        <f t="shared" si="12"/>
        <v>0</v>
      </c>
      <c r="AQ11" s="3"/>
      <c r="AR11" s="3"/>
      <c r="AS11" s="3"/>
      <c r="AT11" s="3"/>
    </row>
    <row r="12" spans="1:47" s="5" customFormat="1" ht="34.9" customHeight="1">
      <c r="A12" s="3">
        <f t="shared" si="13"/>
        <v>7</v>
      </c>
      <c r="B12" s="3">
        <v>2048</v>
      </c>
      <c r="C12" s="3" t="s">
        <v>2029</v>
      </c>
      <c r="D12" s="4">
        <v>45000</v>
      </c>
      <c r="E12" s="4">
        <v>45000</v>
      </c>
      <c r="F12" s="4">
        <f t="shared" si="0"/>
        <v>0</v>
      </c>
      <c r="G12" s="4">
        <v>45000</v>
      </c>
      <c r="H12" s="4">
        <v>45000</v>
      </c>
      <c r="I12" s="4">
        <v>0</v>
      </c>
      <c r="J12" s="4">
        <v>0</v>
      </c>
      <c r="K12" s="4">
        <f t="shared" si="1"/>
        <v>0</v>
      </c>
      <c r="L12" s="4">
        <f t="shared" si="2"/>
        <v>45000</v>
      </c>
      <c r="M12" s="4">
        <f t="shared" si="9"/>
        <v>0</v>
      </c>
      <c r="N12" s="4"/>
      <c r="O12" s="4">
        <f t="shared" si="3"/>
        <v>0</v>
      </c>
      <c r="P12" s="4">
        <f t="shared" si="4"/>
        <v>0</v>
      </c>
      <c r="Q12" s="4"/>
      <c r="R12" s="4"/>
      <c r="S12" s="4">
        <f t="shared" si="5"/>
        <v>0</v>
      </c>
      <c r="T12" s="4">
        <f t="shared" si="6"/>
        <v>0</v>
      </c>
      <c r="U12" s="4">
        <f t="shared" si="7"/>
        <v>0</v>
      </c>
      <c r="V12" s="10"/>
      <c r="W12" s="4">
        <f t="shared" si="8"/>
        <v>0</v>
      </c>
      <c r="X12" s="4"/>
      <c r="Y12" s="4"/>
      <c r="Z12" s="4"/>
      <c r="AA12" s="4"/>
      <c r="AB12" s="3" t="s">
        <v>617</v>
      </c>
      <c r="AC12" s="3">
        <v>747000</v>
      </c>
      <c r="AD12" s="9"/>
      <c r="AE12" s="16"/>
      <c r="AF12" s="16"/>
      <c r="AG12" s="16"/>
      <c r="AH12" s="16"/>
      <c r="AI12" s="16"/>
      <c r="AJ12" s="16"/>
      <c r="AK12" s="16"/>
      <c r="AL12" s="16"/>
      <c r="AM12" s="4">
        <f t="shared" si="10"/>
        <v>0</v>
      </c>
      <c r="AN12" s="4">
        <f t="shared" si="11"/>
        <v>0</v>
      </c>
      <c r="AO12" s="4"/>
      <c r="AP12" s="4">
        <f t="shared" si="12"/>
        <v>0</v>
      </c>
      <c r="AQ12" s="3"/>
      <c r="AR12" s="3"/>
      <c r="AS12" s="3"/>
      <c r="AT12" s="3"/>
    </row>
    <row r="13" spans="1:47" s="5" customFormat="1" ht="34.9" customHeight="1">
      <c r="A13" s="3">
        <f t="shared" si="13"/>
        <v>8</v>
      </c>
      <c r="B13" s="30">
        <v>2084</v>
      </c>
      <c r="C13" s="3" t="s">
        <v>2030</v>
      </c>
      <c r="D13" s="4">
        <v>85000</v>
      </c>
      <c r="E13" s="4">
        <v>85000</v>
      </c>
      <c r="F13" s="4">
        <f t="shared" si="0"/>
        <v>0</v>
      </c>
      <c r="G13" s="4">
        <v>85000</v>
      </c>
      <c r="H13" s="4">
        <v>85000</v>
      </c>
      <c r="I13" s="4">
        <v>0</v>
      </c>
      <c r="J13" s="4">
        <v>0</v>
      </c>
      <c r="K13" s="4">
        <f t="shared" si="1"/>
        <v>0</v>
      </c>
      <c r="L13" s="4">
        <f t="shared" si="2"/>
        <v>85000</v>
      </c>
      <c r="M13" s="4">
        <f t="shared" si="9"/>
        <v>0</v>
      </c>
      <c r="N13" s="4"/>
      <c r="O13" s="4">
        <f t="shared" si="3"/>
        <v>0</v>
      </c>
      <c r="P13" s="4">
        <f t="shared" si="4"/>
        <v>0</v>
      </c>
      <c r="Q13" s="4"/>
      <c r="R13" s="4"/>
      <c r="S13" s="4">
        <f t="shared" si="5"/>
        <v>0</v>
      </c>
      <c r="T13" s="4">
        <f t="shared" si="6"/>
        <v>0</v>
      </c>
      <c r="U13" s="4">
        <f t="shared" si="7"/>
        <v>0</v>
      </c>
      <c r="V13" s="10"/>
      <c r="W13" s="4">
        <f t="shared" si="8"/>
        <v>0</v>
      </c>
      <c r="X13" s="4"/>
      <c r="Y13" s="4"/>
      <c r="Z13" s="4"/>
      <c r="AA13" s="4"/>
      <c r="AB13" s="3" t="s">
        <v>617</v>
      </c>
      <c r="AC13" s="3">
        <v>747000</v>
      </c>
      <c r="AD13" s="16"/>
      <c r="AE13" s="16"/>
      <c r="AF13" s="16"/>
      <c r="AG13" s="16"/>
      <c r="AH13" s="16"/>
      <c r="AI13" s="16"/>
      <c r="AJ13" s="16"/>
      <c r="AK13" s="16"/>
      <c r="AL13" s="16"/>
      <c r="AM13" s="4">
        <f t="shared" si="10"/>
        <v>0</v>
      </c>
      <c r="AN13" s="4">
        <f t="shared" si="11"/>
        <v>0</v>
      </c>
      <c r="AO13" s="4"/>
      <c r="AP13" s="4">
        <f t="shared" si="12"/>
        <v>0</v>
      </c>
      <c r="AQ13" s="3"/>
      <c r="AR13" s="3"/>
      <c r="AS13" s="3"/>
      <c r="AT13" s="3"/>
    </row>
    <row r="14" spans="1:47" s="5" customFormat="1" ht="34.9" customHeight="1">
      <c r="A14" s="3">
        <f t="shared" si="13"/>
        <v>9</v>
      </c>
      <c r="B14" s="30">
        <v>2085</v>
      </c>
      <c r="C14" s="3" t="s">
        <v>2031</v>
      </c>
      <c r="D14" s="4">
        <v>85000</v>
      </c>
      <c r="E14" s="4">
        <v>85000</v>
      </c>
      <c r="F14" s="4">
        <f t="shared" si="0"/>
        <v>0</v>
      </c>
      <c r="G14" s="4">
        <v>85000</v>
      </c>
      <c r="H14" s="4">
        <v>73851</v>
      </c>
      <c r="I14" s="4">
        <v>0</v>
      </c>
      <c r="J14" s="4">
        <v>0</v>
      </c>
      <c r="K14" s="4">
        <f t="shared" si="1"/>
        <v>0</v>
      </c>
      <c r="L14" s="4">
        <f t="shared" si="2"/>
        <v>73851</v>
      </c>
      <c r="M14" s="4">
        <f t="shared" si="9"/>
        <v>11149</v>
      </c>
      <c r="N14" s="4"/>
      <c r="O14" s="4">
        <f t="shared" si="3"/>
        <v>0</v>
      </c>
      <c r="P14" s="4">
        <f t="shared" si="4"/>
        <v>11149</v>
      </c>
      <c r="Q14" s="4"/>
      <c r="R14" s="4"/>
      <c r="S14" s="4">
        <f t="shared" si="5"/>
        <v>0</v>
      </c>
      <c r="T14" s="4">
        <f t="shared" si="6"/>
        <v>0</v>
      </c>
      <c r="U14" s="4">
        <f t="shared" si="7"/>
        <v>0</v>
      </c>
      <c r="V14" s="10"/>
      <c r="W14" s="4">
        <f t="shared" si="8"/>
        <v>0</v>
      </c>
      <c r="X14" s="4"/>
      <c r="Y14" s="4"/>
      <c r="Z14" s="4"/>
      <c r="AA14" s="4"/>
      <c r="AB14" s="3" t="s">
        <v>2032</v>
      </c>
      <c r="AC14" s="3">
        <v>747000</v>
      </c>
      <c r="AD14" s="16"/>
      <c r="AE14" s="16"/>
      <c r="AF14" s="16"/>
      <c r="AG14" s="16"/>
      <c r="AH14" s="16"/>
      <c r="AI14" s="16"/>
      <c r="AJ14" s="16"/>
      <c r="AK14" s="16"/>
      <c r="AL14" s="16"/>
      <c r="AM14" s="4">
        <f t="shared" si="10"/>
        <v>0</v>
      </c>
      <c r="AN14" s="4">
        <f t="shared" si="11"/>
        <v>0</v>
      </c>
      <c r="AO14" s="4"/>
      <c r="AP14" s="4">
        <f t="shared" si="12"/>
        <v>0</v>
      </c>
      <c r="AQ14" s="3"/>
      <c r="AR14" s="3"/>
      <c r="AS14" s="3"/>
      <c r="AT14" s="3"/>
    </row>
    <row r="15" spans="1:47" s="5" customFormat="1" ht="34.9" customHeight="1">
      <c r="A15" s="3">
        <f t="shared" si="13"/>
        <v>10</v>
      </c>
      <c r="B15" s="30">
        <v>2125</v>
      </c>
      <c r="C15" s="3" t="s">
        <v>368</v>
      </c>
      <c r="D15" s="4">
        <v>146923</v>
      </c>
      <c r="E15" s="4">
        <v>146923</v>
      </c>
      <c r="F15" s="4">
        <f t="shared" si="0"/>
        <v>0</v>
      </c>
      <c r="G15" s="4">
        <v>146923</v>
      </c>
      <c r="H15" s="4">
        <v>68754</v>
      </c>
      <c r="I15" s="4">
        <v>0</v>
      </c>
      <c r="J15" s="4">
        <v>0</v>
      </c>
      <c r="K15" s="4">
        <f t="shared" si="1"/>
        <v>0</v>
      </c>
      <c r="L15" s="4">
        <f t="shared" si="2"/>
        <v>68754</v>
      </c>
      <c r="M15" s="4">
        <f t="shared" si="9"/>
        <v>78169</v>
      </c>
      <c r="N15" s="4"/>
      <c r="O15" s="4">
        <f t="shared" si="3"/>
        <v>0</v>
      </c>
      <c r="P15" s="4">
        <f t="shared" si="4"/>
        <v>78169</v>
      </c>
      <c r="Q15" s="4"/>
      <c r="R15" s="4"/>
      <c r="S15" s="4">
        <f t="shared" si="5"/>
        <v>0</v>
      </c>
      <c r="T15" s="4">
        <f t="shared" si="6"/>
        <v>0</v>
      </c>
      <c r="U15" s="4">
        <f t="shared" si="7"/>
        <v>0</v>
      </c>
      <c r="V15" s="10"/>
      <c r="W15" s="4">
        <f t="shared" si="8"/>
        <v>0</v>
      </c>
      <c r="X15" s="4"/>
      <c r="Y15" s="4"/>
      <c r="Z15" s="4"/>
      <c r="AA15" s="4"/>
      <c r="AB15" s="3" t="s">
        <v>847</v>
      </c>
      <c r="AC15" s="3">
        <v>747000</v>
      </c>
      <c r="AD15" s="16"/>
      <c r="AE15" s="16"/>
      <c r="AF15" s="16"/>
      <c r="AG15" s="16"/>
      <c r="AH15" s="16"/>
      <c r="AI15" s="16"/>
      <c r="AJ15" s="16"/>
      <c r="AK15" s="16"/>
      <c r="AL15" s="16"/>
      <c r="AM15" s="4">
        <f t="shared" si="10"/>
        <v>0</v>
      </c>
      <c r="AN15" s="4">
        <f t="shared" si="11"/>
        <v>0</v>
      </c>
      <c r="AO15" s="4"/>
      <c r="AP15" s="4">
        <f t="shared" si="12"/>
        <v>0</v>
      </c>
      <c r="AQ15" s="3"/>
      <c r="AR15" s="3"/>
      <c r="AS15" s="3"/>
      <c r="AT15" s="3"/>
    </row>
    <row r="16" spans="1:47" s="5" customFormat="1" ht="34.9" customHeight="1">
      <c r="A16" s="3">
        <f t="shared" si="13"/>
        <v>11</v>
      </c>
      <c r="B16" s="30">
        <v>2136</v>
      </c>
      <c r="C16" s="3" t="s">
        <v>508</v>
      </c>
      <c r="D16" s="4">
        <v>55226</v>
      </c>
      <c r="E16" s="4">
        <v>55226</v>
      </c>
      <c r="F16" s="4">
        <f t="shared" si="0"/>
        <v>0</v>
      </c>
      <c r="G16" s="4">
        <v>55226</v>
      </c>
      <c r="H16" s="4">
        <v>55226</v>
      </c>
      <c r="I16" s="4">
        <v>0</v>
      </c>
      <c r="J16" s="4">
        <v>0</v>
      </c>
      <c r="K16" s="4">
        <f t="shared" si="1"/>
        <v>0</v>
      </c>
      <c r="L16" s="4">
        <f t="shared" si="2"/>
        <v>55226</v>
      </c>
      <c r="M16" s="4">
        <f t="shared" si="9"/>
        <v>0</v>
      </c>
      <c r="N16" s="4"/>
      <c r="O16" s="4">
        <f t="shared" si="3"/>
        <v>0</v>
      </c>
      <c r="P16" s="4">
        <f t="shared" si="4"/>
        <v>0</v>
      </c>
      <c r="Q16" s="4"/>
      <c r="R16" s="4"/>
      <c r="S16" s="4">
        <f t="shared" si="5"/>
        <v>0</v>
      </c>
      <c r="T16" s="4">
        <f t="shared" si="6"/>
        <v>0</v>
      </c>
      <c r="U16" s="4">
        <f t="shared" si="7"/>
        <v>0</v>
      </c>
      <c r="V16" s="10"/>
      <c r="W16" s="4">
        <f t="shared" si="8"/>
        <v>0</v>
      </c>
      <c r="X16" s="4"/>
      <c r="Y16" s="4"/>
      <c r="Z16" s="4"/>
      <c r="AA16" s="4"/>
      <c r="AB16" s="3" t="s">
        <v>848</v>
      </c>
      <c r="AC16" s="3">
        <v>747000</v>
      </c>
      <c r="AD16" s="16"/>
      <c r="AE16" s="16"/>
      <c r="AF16" s="16"/>
      <c r="AG16" s="16"/>
      <c r="AH16" s="16"/>
      <c r="AI16" s="16"/>
      <c r="AJ16" s="16"/>
      <c r="AK16" s="16"/>
      <c r="AL16" s="16"/>
      <c r="AM16" s="4">
        <f t="shared" si="10"/>
        <v>0</v>
      </c>
      <c r="AN16" s="4">
        <f t="shared" si="11"/>
        <v>0</v>
      </c>
      <c r="AO16" s="4"/>
      <c r="AP16" s="4">
        <f t="shared" si="12"/>
        <v>0</v>
      </c>
      <c r="AQ16" s="3"/>
      <c r="AR16" s="3"/>
      <c r="AS16" s="3"/>
      <c r="AT16" s="3"/>
    </row>
    <row r="17" spans="1:46" s="5" customFormat="1" ht="34.9" customHeight="1">
      <c r="A17" s="3">
        <f t="shared" si="13"/>
        <v>12</v>
      </c>
      <c r="B17" s="30">
        <v>2137</v>
      </c>
      <c r="C17" s="3" t="s">
        <v>509</v>
      </c>
      <c r="D17" s="4">
        <v>50000</v>
      </c>
      <c r="E17" s="4">
        <v>50000</v>
      </c>
      <c r="F17" s="4">
        <f t="shared" si="0"/>
        <v>0</v>
      </c>
      <c r="G17" s="4">
        <v>50000</v>
      </c>
      <c r="H17" s="4">
        <v>0</v>
      </c>
      <c r="I17" s="4">
        <v>0</v>
      </c>
      <c r="J17" s="4">
        <v>0</v>
      </c>
      <c r="K17" s="4">
        <f t="shared" si="1"/>
        <v>0</v>
      </c>
      <c r="L17" s="4">
        <f t="shared" si="2"/>
        <v>0</v>
      </c>
      <c r="M17" s="4">
        <f t="shared" si="9"/>
        <v>50000</v>
      </c>
      <c r="N17" s="4"/>
      <c r="O17" s="4">
        <f t="shared" si="3"/>
        <v>0</v>
      </c>
      <c r="P17" s="4">
        <f t="shared" si="4"/>
        <v>50000</v>
      </c>
      <c r="Q17" s="4"/>
      <c r="R17" s="4"/>
      <c r="S17" s="4">
        <f t="shared" si="5"/>
        <v>0</v>
      </c>
      <c r="T17" s="4">
        <f t="shared" si="6"/>
        <v>0</v>
      </c>
      <c r="U17" s="4">
        <f t="shared" si="7"/>
        <v>0</v>
      </c>
      <c r="V17" s="10"/>
      <c r="W17" s="4">
        <f t="shared" si="8"/>
        <v>0</v>
      </c>
      <c r="X17" s="4"/>
      <c r="Y17" s="4"/>
      <c r="Z17" s="4"/>
      <c r="AA17" s="4"/>
      <c r="AB17" s="3" t="s">
        <v>849</v>
      </c>
      <c r="AC17" s="3">
        <v>747000</v>
      </c>
      <c r="AD17" s="16"/>
      <c r="AE17" s="16"/>
      <c r="AF17" s="16"/>
      <c r="AG17" s="16"/>
      <c r="AH17" s="16"/>
      <c r="AI17" s="16"/>
      <c r="AJ17" s="16"/>
      <c r="AK17" s="16"/>
      <c r="AL17" s="16"/>
      <c r="AM17" s="4">
        <f t="shared" si="10"/>
        <v>0</v>
      </c>
      <c r="AN17" s="4">
        <f t="shared" si="11"/>
        <v>0</v>
      </c>
      <c r="AO17" s="4"/>
      <c r="AP17" s="4">
        <f t="shared" si="12"/>
        <v>0</v>
      </c>
      <c r="AQ17" s="3"/>
      <c r="AR17" s="3"/>
      <c r="AS17" s="3"/>
      <c r="AT17" s="3"/>
    </row>
    <row r="18" spans="1:46" s="5" customFormat="1" ht="34.9" customHeight="1">
      <c r="A18" s="3">
        <f t="shared" si="13"/>
        <v>13</v>
      </c>
      <c r="B18" s="30">
        <v>2138</v>
      </c>
      <c r="C18" s="3" t="s">
        <v>510</v>
      </c>
      <c r="D18" s="4">
        <v>80000</v>
      </c>
      <c r="E18" s="4">
        <v>80000</v>
      </c>
      <c r="F18" s="4">
        <f t="shared" si="0"/>
        <v>0</v>
      </c>
      <c r="G18" s="4">
        <v>80000</v>
      </c>
      <c r="H18" s="4">
        <v>0</v>
      </c>
      <c r="I18" s="4">
        <v>0</v>
      </c>
      <c r="J18" s="4">
        <v>0</v>
      </c>
      <c r="K18" s="4">
        <f t="shared" si="1"/>
        <v>0</v>
      </c>
      <c r="L18" s="4">
        <f t="shared" si="2"/>
        <v>0</v>
      </c>
      <c r="M18" s="4">
        <f t="shared" si="9"/>
        <v>80000</v>
      </c>
      <c r="N18" s="4"/>
      <c r="O18" s="4">
        <f t="shared" si="3"/>
        <v>0</v>
      </c>
      <c r="P18" s="4">
        <f t="shared" si="4"/>
        <v>80000</v>
      </c>
      <c r="Q18" s="4"/>
      <c r="R18" s="4"/>
      <c r="S18" s="4">
        <f t="shared" si="5"/>
        <v>0</v>
      </c>
      <c r="T18" s="4">
        <f t="shared" si="6"/>
        <v>0</v>
      </c>
      <c r="U18" s="4">
        <f t="shared" si="7"/>
        <v>0</v>
      </c>
      <c r="V18" s="10"/>
      <c r="W18" s="4">
        <f t="shared" si="8"/>
        <v>0</v>
      </c>
      <c r="X18" s="4"/>
      <c r="Y18" s="4"/>
      <c r="Z18" s="4"/>
      <c r="AA18" s="4"/>
      <c r="AB18" s="3" t="s">
        <v>849</v>
      </c>
      <c r="AC18" s="3">
        <v>747000</v>
      </c>
      <c r="AD18" s="16"/>
      <c r="AE18" s="16"/>
      <c r="AF18" s="16"/>
      <c r="AG18" s="16"/>
      <c r="AH18" s="16"/>
      <c r="AI18" s="16"/>
      <c r="AJ18" s="16"/>
      <c r="AK18" s="16"/>
      <c r="AL18" s="16"/>
      <c r="AM18" s="4">
        <f t="shared" si="10"/>
        <v>0</v>
      </c>
      <c r="AN18" s="4">
        <f t="shared" si="11"/>
        <v>0</v>
      </c>
      <c r="AO18" s="4"/>
      <c r="AP18" s="4">
        <f t="shared" si="12"/>
        <v>0</v>
      </c>
      <c r="AQ18" s="3"/>
      <c r="AR18" s="3"/>
      <c r="AS18" s="3"/>
      <c r="AT18" s="3"/>
    </row>
    <row r="19" spans="1:46" s="5" customFormat="1" ht="34.9" customHeight="1">
      <c r="A19" s="3">
        <f t="shared" si="13"/>
        <v>14</v>
      </c>
      <c r="B19" s="30">
        <v>2221</v>
      </c>
      <c r="C19" s="3" t="s">
        <v>688</v>
      </c>
      <c r="D19" s="4">
        <v>91304</v>
      </c>
      <c r="E19" s="4"/>
      <c r="F19" s="4">
        <f>D19-E19</f>
        <v>91304</v>
      </c>
      <c r="G19" s="4">
        <v>0</v>
      </c>
      <c r="H19" s="4">
        <v>0</v>
      </c>
      <c r="I19" s="4">
        <v>0</v>
      </c>
      <c r="J19" s="4">
        <v>0</v>
      </c>
      <c r="K19" s="4">
        <f>SUM(I19:J19)</f>
        <v>0</v>
      </c>
      <c r="L19" s="4">
        <f>H19+K19</f>
        <v>0</v>
      </c>
      <c r="M19" s="4">
        <f>P19+S19</f>
        <v>0</v>
      </c>
      <c r="N19" s="4">
        <v>91304</v>
      </c>
      <c r="O19" s="4">
        <f>D19-L19-M19-N19</f>
        <v>0</v>
      </c>
      <c r="P19" s="4">
        <f>G19-L19</f>
        <v>0</v>
      </c>
      <c r="Q19" s="4"/>
      <c r="R19" s="4"/>
      <c r="S19" s="4">
        <f>SUM(Q19:R19)</f>
        <v>0</v>
      </c>
      <c r="T19" s="4">
        <f>P19-M19+S19</f>
        <v>0</v>
      </c>
      <c r="U19" s="4">
        <f>N19-T19</f>
        <v>91304</v>
      </c>
      <c r="V19" s="4">
        <f>U19-AA19-W19-Z19</f>
        <v>0</v>
      </c>
      <c r="W19" s="4"/>
      <c r="X19" s="4"/>
      <c r="Y19" s="4"/>
      <c r="Z19" s="4"/>
      <c r="AA19" s="4">
        <v>91304</v>
      </c>
      <c r="AB19" s="3" t="s">
        <v>689</v>
      </c>
      <c r="AC19" s="3">
        <v>747000</v>
      </c>
      <c r="AD19" s="4">
        <v>91304</v>
      </c>
      <c r="AE19" s="3"/>
      <c r="AF19" s="3"/>
      <c r="AG19" s="3"/>
      <c r="AH19" s="3"/>
      <c r="AI19" s="3"/>
      <c r="AJ19" s="3"/>
      <c r="AK19" s="3"/>
      <c r="AL19" s="3"/>
      <c r="AM19" s="4">
        <f t="shared" si="10"/>
        <v>91304</v>
      </c>
      <c r="AN19" s="4">
        <f t="shared" si="11"/>
        <v>0</v>
      </c>
      <c r="AO19" s="4"/>
      <c r="AP19" s="4">
        <f t="shared" si="12"/>
        <v>0</v>
      </c>
      <c r="AQ19" s="3"/>
      <c r="AR19" s="3"/>
      <c r="AS19" s="3"/>
      <c r="AT19" s="4">
        <v>91304</v>
      </c>
    </row>
    <row r="20" spans="1:46" s="370" customFormat="1" ht="34.9" customHeight="1">
      <c r="A20" s="302">
        <f>A19</f>
        <v>14</v>
      </c>
      <c r="B20" s="302"/>
      <c r="C20" s="32" t="s">
        <v>387</v>
      </c>
      <c r="D20" s="369">
        <f>SUM(D6:D19)</f>
        <v>8677424</v>
      </c>
      <c r="E20" s="369">
        <f t="shared" ref="E20:AT20" si="14">SUM(E6:E19)</f>
        <v>6436120</v>
      </c>
      <c r="F20" s="369">
        <f t="shared" si="14"/>
        <v>2241304</v>
      </c>
      <c r="G20" s="369">
        <f t="shared" si="14"/>
        <v>6301149</v>
      </c>
      <c r="H20" s="369">
        <f t="shared" si="14"/>
        <v>5236930</v>
      </c>
      <c r="I20" s="369">
        <f t="shared" si="14"/>
        <v>484961</v>
      </c>
      <c r="J20" s="369">
        <f t="shared" si="14"/>
        <v>194526</v>
      </c>
      <c r="K20" s="369">
        <f t="shared" si="14"/>
        <v>679487</v>
      </c>
      <c r="L20" s="369">
        <f t="shared" si="14"/>
        <v>5916417</v>
      </c>
      <c r="M20" s="369">
        <f t="shared" si="14"/>
        <v>369703</v>
      </c>
      <c r="N20" s="369">
        <f t="shared" si="14"/>
        <v>1791304</v>
      </c>
      <c r="O20" s="369">
        <f t="shared" si="14"/>
        <v>600000</v>
      </c>
      <c r="P20" s="369">
        <f t="shared" si="14"/>
        <v>384732</v>
      </c>
      <c r="Q20" s="369">
        <f t="shared" si="14"/>
        <v>0</v>
      </c>
      <c r="R20" s="369">
        <f t="shared" si="14"/>
        <v>0</v>
      </c>
      <c r="S20" s="369">
        <f t="shared" si="14"/>
        <v>0</v>
      </c>
      <c r="T20" s="369">
        <f t="shared" si="14"/>
        <v>15029</v>
      </c>
      <c r="U20" s="369">
        <f t="shared" si="14"/>
        <v>1776275</v>
      </c>
      <c r="V20" s="369">
        <f t="shared" si="14"/>
        <v>0</v>
      </c>
      <c r="W20" s="369">
        <f t="shared" si="14"/>
        <v>1700000</v>
      </c>
      <c r="X20" s="369">
        <f t="shared" si="14"/>
        <v>0</v>
      </c>
      <c r="Y20" s="369">
        <f t="shared" si="14"/>
        <v>0</v>
      </c>
      <c r="Z20" s="369">
        <f t="shared" si="14"/>
        <v>0</v>
      </c>
      <c r="AA20" s="369">
        <f t="shared" si="14"/>
        <v>76275</v>
      </c>
      <c r="AB20" s="369">
        <f t="shared" si="14"/>
        <v>0</v>
      </c>
      <c r="AC20" s="369">
        <f t="shared" si="14"/>
        <v>10458000</v>
      </c>
      <c r="AD20" s="369">
        <f t="shared" si="14"/>
        <v>1076275</v>
      </c>
      <c r="AE20" s="369">
        <f>SUM(AE6:AE19)</f>
        <v>500000</v>
      </c>
      <c r="AF20" s="369">
        <f>SUM(AF6:AF19)</f>
        <v>200000</v>
      </c>
      <c r="AG20" s="369">
        <f t="shared" si="14"/>
        <v>0</v>
      </c>
      <c r="AH20" s="369">
        <f>SUM(AH6:AH19)</f>
        <v>0</v>
      </c>
      <c r="AI20" s="369">
        <f>SUM(AI6:AI19)</f>
        <v>0</v>
      </c>
      <c r="AJ20" s="369">
        <f>SUM(AJ6:AJ19)</f>
        <v>0</v>
      </c>
      <c r="AK20" s="369">
        <f>SUM(AK6:AK19)</f>
        <v>0</v>
      </c>
      <c r="AL20" s="369">
        <f>SUM(AL6:AL19)</f>
        <v>0</v>
      </c>
      <c r="AM20" s="369">
        <f t="shared" si="14"/>
        <v>1776275</v>
      </c>
      <c r="AN20" s="369">
        <f t="shared" si="14"/>
        <v>0</v>
      </c>
      <c r="AO20" s="369">
        <f t="shared" si="14"/>
        <v>0</v>
      </c>
      <c r="AP20" s="369">
        <f t="shared" si="14"/>
        <v>1700000</v>
      </c>
      <c r="AQ20" s="369">
        <f t="shared" si="14"/>
        <v>0</v>
      </c>
      <c r="AR20" s="369">
        <f t="shared" si="14"/>
        <v>0</v>
      </c>
      <c r="AS20" s="369">
        <f t="shared" si="14"/>
        <v>0</v>
      </c>
      <c r="AT20" s="369">
        <f t="shared" si="14"/>
        <v>76275</v>
      </c>
    </row>
    <row r="21" spans="1:46" hidden="1">
      <c r="L21" s="14">
        <f>K20+H20</f>
        <v>5916417</v>
      </c>
      <c r="M21" s="14">
        <f>P21+S20-T20</f>
        <v>369703</v>
      </c>
      <c r="P21" s="14">
        <f>G20-L21</f>
        <v>384732</v>
      </c>
    </row>
    <row r="22" spans="1:46">
      <c r="A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46">
      <c r="A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46">
      <c r="A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S24" s="12"/>
      <c r="T24" s="12"/>
    </row>
  </sheetData>
  <sheetProtection formatCells="0" formatColumns="0" formatRows="0" insertColumns="0" insertRows="0" insertHyperlinks="0" deleteColumns="0" deleteRows="0" sort="0" autoFilter="0" pivotTables="0"/>
  <mergeCells count="3">
    <mergeCell ref="AO4:AT4"/>
    <mergeCell ref="T4:U4"/>
    <mergeCell ref="V4:AB4"/>
  </mergeCells>
  <conditionalFormatting sqref="AB5">
    <cfRule type="cellIs" dxfId="39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27"/>
  <sheetViews>
    <sheetView showZeros="0" rightToLeft="1" workbookViewId="0">
      <selection activeCell="C55" sqref="C55"/>
    </sheetView>
  </sheetViews>
  <sheetFormatPr defaultColWidth="9.140625" defaultRowHeight="14.25"/>
  <cols>
    <col min="1" max="2" width="4.140625" style="87" customWidth="1"/>
    <col min="3" max="3" width="34" style="87" customWidth="1"/>
    <col min="4" max="4" width="9.85546875" style="87" customWidth="1"/>
    <col min="5" max="7" width="12.140625" style="87" customWidth="1"/>
    <col min="8" max="8" width="12.140625" style="87" hidden="1" customWidth="1"/>
    <col min="9" max="9" width="7.85546875" style="87" customWidth="1"/>
    <col min="10" max="16384" width="9.140625" style="87"/>
  </cols>
  <sheetData>
    <row r="3" spans="1:16" ht="20.25">
      <c r="D3" s="88"/>
    </row>
    <row r="4" spans="1:16" ht="15.75">
      <c r="A4" s="89"/>
      <c r="C4" s="89"/>
      <c r="D4" s="89"/>
      <c r="E4" s="89"/>
      <c r="F4" s="89"/>
      <c r="G4" s="89"/>
      <c r="H4" s="89"/>
      <c r="I4" s="89"/>
      <c r="J4" s="89"/>
      <c r="K4" s="89"/>
      <c r="N4" s="89"/>
      <c r="O4" s="89"/>
      <c r="P4" s="89"/>
    </row>
    <row r="5" spans="1:16" ht="15.75">
      <c r="A5" s="89">
        <v>3.3</v>
      </c>
      <c r="C5" s="89" t="s">
        <v>865</v>
      </c>
      <c r="D5" s="89"/>
      <c r="E5" s="89"/>
      <c r="F5" s="89"/>
      <c r="G5" s="89"/>
      <c r="H5" s="89"/>
      <c r="I5" s="89"/>
      <c r="J5" s="89"/>
      <c r="K5" s="89"/>
      <c r="N5" s="89"/>
      <c r="O5" s="89"/>
      <c r="P5" s="89"/>
    </row>
    <row r="6" spans="1:16" ht="16.5" thickBot="1">
      <c r="A6" s="89"/>
      <c r="C6" s="89"/>
      <c r="D6" s="89"/>
      <c r="E6" s="89"/>
      <c r="F6" s="89"/>
      <c r="G6" s="89"/>
      <c r="H6" s="89"/>
      <c r="I6" s="89"/>
      <c r="J6" s="89"/>
      <c r="K6" s="89"/>
      <c r="N6" s="89"/>
      <c r="O6" s="89"/>
      <c r="P6" s="89"/>
    </row>
    <row r="7" spans="1:16" ht="20.100000000000001" customHeight="1">
      <c r="A7" s="89"/>
      <c r="C7" s="108" t="s">
        <v>207</v>
      </c>
      <c r="D7" s="323" t="s">
        <v>459</v>
      </c>
      <c r="E7" s="111" t="s">
        <v>1893</v>
      </c>
      <c r="F7" s="112" t="s">
        <v>651</v>
      </c>
      <c r="N7" s="89"/>
      <c r="O7" s="89"/>
      <c r="P7" s="89"/>
    </row>
    <row r="8" spans="1:16" ht="20.100000000000001" customHeight="1">
      <c r="A8" s="89"/>
      <c r="C8" s="113" t="s">
        <v>486</v>
      </c>
      <c r="D8" s="192">
        <v>81</v>
      </c>
      <c r="E8" s="192">
        <f>'ריכוז פרקים'!S11/1000</f>
        <v>280936.25599999999</v>
      </c>
      <c r="F8" s="176">
        <v>245535.80799999999</v>
      </c>
      <c r="H8" s="248">
        <f t="shared" ref="H8:H20" si="0">E8/$E$21</f>
        <v>0.59148274632530817</v>
      </c>
      <c r="N8" s="89"/>
      <c r="O8" s="89"/>
      <c r="P8" s="89"/>
    </row>
    <row r="9" spans="1:16" ht="20.100000000000001" customHeight="1">
      <c r="A9" s="89"/>
      <c r="C9" s="113" t="s">
        <v>249</v>
      </c>
      <c r="D9" s="192">
        <v>74</v>
      </c>
      <c r="E9" s="192">
        <f>'ריכוז פרקים'!S8/1000</f>
        <v>82435.251000000004</v>
      </c>
      <c r="F9" s="329">
        <v>82151.827999999994</v>
      </c>
      <c r="H9" s="248">
        <f t="shared" si="0"/>
        <v>0.17355904627523799</v>
      </c>
      <c r="N9" s="89"/>
      <c r="O9" s="89"/>
      <c r="P9" s="89"/>
    </row>
    <row r="10" spans="1:16" ht="20.100000000000001" customHeight="1">
      <c r="A10" s="89"/>
      <c r="C10" s="113" t="s">
        <v>487</v>
      </c>
      <c r="D10" s="192">
        <v>82</v>
      </c>
      <c r="E10" s="192">
        <f>'ריכוז פרקים'!S12/1000</f>
        <v>41367.326999999997</v>
      </c>
      <c r="F10" s="176">
        <v>45751.16</v>
      </c>
      <c r="H10" s="248">
        <f t="shared" si="0"/>
        <v>8.709470443749727E-2</v>
      </c>
      <c r="N10" s="89"/>
      <c r="O10" s="89"/>
      <c r="P10" s="89"/>
    </row>
    <row r="11" spans="1:16" ht="20.100000000000001" customHeight="1">
      <c r="A11" s="89"/>
      <c r="C11" s="113" t="s">
        <v>253</v>
      </c>
      <c r="D11" s="192" t="s">
        <v>2376</v>
      </c>
      <c r="E11" s="192">
        <f>'ריכוז פרקים'!S10/1000</f>
        <v>17680</v>
      </c>
      <c r="F11" s="176">
        <v>20170</v>
      </c>
      <c r="H11" s="248">
        <f t="shared" si="0"/>
        <v>3.7223443865612875E-2</v>
      </c>
      <c r="N11" s="89"/>
      <c r="O11" s="89"/>
      <c r="P11" s="89"/>
    </row>
    <row r="12" spans="1:16" ht="20.100000000000001" customHeight="1">
      <c r="A12" s="89"/>
      <c r="C12" s="120" t="s">
        <v>465</v>
      </c>
      <c r="D12" s="192">
        <v>764</v>
      </c>
      <c r="E12" s="192">
        <f>'ריכוז פרקים'!S17/1000</f>
        <v>11000</v>
      </c>
      <c r="F12" s="176">
        <v>19300</v>
      </c>
      <c r="H12" s="248">
        <f t="shared" si="0"/>
        <v>2.3159382495573623E-2</v>
      </c>
      <c r="N12" s="89"/>
      <c r="O12" s="89"/>
      <c r="P12" s="89"/>
    </row>
    <row r="13" spans="1:16" ht="20.100000000000001" customHeight="1">
      <c r="A13" s="89"/>
      <c r="C13" s="113" t="s">
        <v>251</v>
      </c>
      <c r="D13" s="192">
        <v>73</v>
      </c>
      <c r="E13" s="192">
        <f>'ריכוז פרקים'!S7/1000</f>
        <v>6096.8860000000004</v>
      </c>
      <c r="F13" s="176">
        <v>13230</v>
      </c>
      <c r="H13" s="248">
        <f t="shared" si="0"/>
        <v>1.2836374082355263E-2</v>
      </c>
      <c r="N13" s="89"/>
      <c r="O13" s="89"/>
      <c r="P13" s="89"/>
    </row>
    <row r="14" spans="1:16" ht="20.100000000000001" customHeight="1">
      <c r="A14" s="89"/>
      <c r="C14" s="120" t="s">
        <v>86</v>
      </c>
      <c r="D14" s="192">
        <v>87</v>
      </c>
      <c r="E14" s="192">
        <f>'ריכוז פרקים'!S15/1000</f>
        <v>9141.9660000000003</v>
      </c>
      <c r="F14" s="176">
        <v>12291</v>
      </c>
      <c r="H14" s="248">
        <f t="shared" si="0"/>
        <v>1.9247480668684473E-2</v>
      </c>
      <c r="N14" s="89"/>
      <c r="O14" s="89"/>
      <c r="P14" s="89"/>
    </row>
    <row r="15" spans="1:16" ht="20.100000000000001" customHeight="1">
      <c r="A15" s="89"/>
      <c r="C15" s="113" t="s">
        <v>250</v>
      </c>
      <c r="D15" s="192">
        <v>93</v>
      </c>
      <c r="E15" s="192">
        <f>'ריכוז פרקים'!S18/1000</f>
        <v>3190</v>
      </c>
      <c r="F15" s="176">
        <v>5821</v>
      </c>
      <c r="H15" s="248">
        <f t="shared" si="0"/>
        <v>6.7162209237163501E-3</v>
      </c>
      <c r="N15" s="89"/>
      <c r="O15" s="89"/>
      <c r="P15" s="89"/>
    </row>
    <row r="16" spans="1:16" ht="20.100000000000001" customHeight="1">
      <c r="A16" s="89"/>
      <c r="C16" s="113" t="s">
        <v>254</v>
      </c>
      <c r="D16" s="192">
        <v>85</v>
      </c>
      <c r="E16" s="192">
        <f>'ריכוז פרקים'!S14/1000</f>
        <v>600</v>
      </c>
      <c r="F16" s="176">
        <v>3050</v>
      </c>
      <c r="H16" s="248">
        <f t="shared" si="0"/>
        <v>1.2632390452131067E-3</v>
      </c>
      <c r="N16" s="89"/>
      <c r="O16" s="89"/>
      <c r="P16" s="89"/>
    </row>
    <row r="17" spans="1:16" ht="20.100000000000001" customHeight="1">
      <c r="A17" s="89"/>
      <c r="C17" s="113" t="s">
        <v>85</v>
      </c>
      <c r="D17" s="192">
        <v>747</v>
      </c>
      <c r="E17" s="192">
        <f>'ריכוז פרקים'!S9/1000</f>
        <v>7221.8</v>
      </c>
      <c r="F17" s="176">
        <v>3035.2750000000001</v>
      </c>
      <c r="H17" s="248">
        <f t="shared" si="0"/>
        <v>1.5204766227866691E-2</v>
      </c>
      <c r="N17" s="89"/>
      <c r="O17" s="89"/>
      <c r="P17" s="89"/>
    </row>
    <row r="18" spans="1:16" ht="20.100000000000001" customHeight="1">
      <c r="A18" s="89"/>
      <c r="C18" s="113" t="s">
        <v>464</v>
      </c>
      <c r="D18" s="192">
        <v>848</v>
      </c>
      <c r="E18" s="192">
        <f>'ריכוז פרקים'!S16/1000</f>
        <v>6000</v>
      </c>
      <c r="F18" s="176">
        <v>2900</v>
      </c>
      <c r="H18" s="248">
        <f t="shared" si="0"/>
        <v>1.2632390452131067E-2</v>
      </c>
      <c r="M18" s="123"/>
      <c r="N18" s="89"/>
      <c r="O18" s="89"/>
      <c r="P18" s="89"/>
    </row>
    <row r="19" spans="1:16" ht="20.100000000000001" customHeight="1">
      <c r="A19" s="89"/>
      <c r="C19" s="113" t="s">
        <v>488</v>
      </c>
      <c r="D19" s="192">
        <v>84</v>
      </c>
      <c r="E19" s="192">
        <f>'ריכוז פרקים'!S13/1000</f>
        <v>400</v>
      </c>
      <c r="F19" s="176">
        <v>2600</v>
      </c>
      <c r="H19" s="248">
        <f t="shared" si="0"/>
        <v>8.4215936347540449E-4</v>
      </c>
      <c r="N19" s="89"/>
      <c r="O19" s="89"/>
      <c r="P19" s="89"/>
    </row>
    <row r="20" spans="1:16" ht="20.100000000000001" customHeight="1">
      <c r="A20" s="89"/>
      <c r="C20" s="113" t="s">
        <v>252</v>
      </c>
      <c r="D20" s="192">
        <v>61</v>
      </c>
      <c r="E20" s="192">
        <f>'ריכוז פרקים'!S6/1000</f>
        <v>8900</v>
      </c>
      <c r="F20" s="176">
        <v>50</v>
      </c>
      <c r="H20" s="248">
        <f t="shared" si="0"/>
        <v>1.8738045837327747E-2</v>
      </c>
      <c r="N20" s="89"/>
      <c r="O20" s="89"/>
      <c r="P20" s="89"/>
    </row>
    <row r="21" spans="1:16" ht="20.100000000000001" customHeight="1" thickBot="1">
      <c r="A21" s="89"/>
      <c r="C21" s="177" t="s">
        <v>94</v>
      </c>
      <c r="D21" s="178"/>
      <c r="E21" s="183">
        <f>SUM(E8:E20)</f>
        <v>474969.48599999998</v>
      </c>
      <c r="F21" s="184">
        <f>SUM(F8:F20)</f>
        <v>455886.071</v>
      </c>
      <c r="H21" s="179">
        <f>SUM(H8:H20)</f>
        <v>0.99999999999999989</v>
      </c>
      <c r="N21" s="89"/>
      <c r="O21" s="89"/>
      <c r="P21" s="89"/>
    </row>
    <row r="22" spans="1:16" ht="15.75">
      <c r="A22" s="89"/>
      <c r="M22" s="89"/>
      <c r="N22" s="89"/>
      <c r="O22" s="89"/>
      <c r="P22" s="89"/>
    </row>
    <row r="23" spans="1:16" s="327" customFormat="1" ht="15.75">
      <c r="A23" s="326"/>
      <c r="C23" s="328"/>
      <c r="M23" s="326"/>
      <c r="N23" s="326"/>
      <c r="O23" s="326"/>
      <c r="P23" s="326"/>
    </row>
    <row r="24" spans="1:16" ht="15.75">
      <c r="A24" s="89"/>
      <c r="B24" s="95"/>
      <c r="C24" s="95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 spans="1:16" ht="15.75">
      <c r="A25" s="95"/>
      <c r="B25" s="95"/>
      <c r="C25" s="95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5.75"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</row>
    <row r="27" spans="1:16" ht="15.75"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</row>
  </sheetData>
  <sortState ref="A8:Q20">
    <sortCondition descending="1" ref="E8:E20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AT13"/>
  <sheetViews>
    <sheetView showZeros="0" rightToLeft="1" zoomScaleNormal="100" workbookViewId="0">
      <pane xSplit="3" ySplit="5" topLeftCell="AI6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9.140625" defaultRowHeight="18.75"/>
  <cols>
    <col min="1" max="1" width="3.28515625" style="261" customWidth="1"/>
    <col min="2" max="2" width="4.7109375" style="154" customWidth="1"/>
    <col min="3" max="3" width="24.5703125" style="154" customWidth="1"/>
    <col min="4" max="20" width="9.7109375" style="155" hidden="1" customWidth="1"/>
    <col min="21" max="23" width="12.140625" style="154" customWidth="1"/>
    <col min="24" max="26" width="9.7109375" style="154" hidden="1" customWidth="1"/>
    <col min="27" max="27" width="12.140625" style="154" customWidth="1"/>
    <col min="28" max="28" width="34" style="154" hidden="1" customWidth="1"/>
    <col min="29" max="29" width="9.7109375" style="154" hidden="1" customWidth="1"/>
    <col min="30" max="38" width="11.7109375" style="259" hidden="1" customWidth="1"/>
    <col min="39" max="39" width="12.140625" style="259" customWidth="1"/>
    <col min="40" max="42" width="12.140625" style="154" customWidth="1"/>
    <col min="43" max="45" width="11.7109375" style="154" hidden="1" customWidth="1"/>
    <col min="46" max="46" width="12.140625" style="154" customWidth="1"/>
    <col min="47" max="16384" width="9.140625" style="154"/>
  </cols>
  <sheetData>
    <row r="1" spans="1:46" s="259" customFormat="1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80"/>
      <c r="Y1" s="280"/>
      <c r="Z1" s="280"/>
    </row>
    <row r="2" spans="1:46">
      <c r="A2" s="257" t="s">
        <v>2294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</row>
    <row r="3" spans="1:46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</row>
    <row r="4" spans="1:46" ht="25.15" customHeight="1">
      <c r="A4" s="688"/>
      <c r="B4" s="171"/>
      <c r="C4" s="171"/>
      <c r="T4" s="876" t="s">
        <v>2295</v>
      </c>
      <c r="U4" s="877"/>
      <c r="V4" s="876" t="s">
        <v>88</v>
      </c>
      <c r="W4" s="877"/>
      <c r="X4" s="877"/>
      <c r="Y4" s="877"/>
      <c r="Z4" s="877"/>
      <c r="AA4" s="878"/>
      <c r="AB4" s="18"/>
      <c r="AC4" s="876" t="s">
        <v>246</v>
      </c>
      <c r="AD4" s="877"/>
      <c r="AE4" s="877"/>
      <c r="AF4" s="877"/>
      <c r="AG4" s="877"/>
      <c r="AH4" s="877"/>
      <c r="AI4" s="877"/>
      <c r="AJ4" s="877"/>
      <c r="AK4" s="877"/>
      <c r="AL4" s="877"/>
      <c r="AM4" s="878"/>
      <c r="AN4" s="171"/>
      <c r="AO4" s="876" t="s">
        <v>2269</v>
      </c>
      <c r="AP4" s="877"/>
      <c r="AQ4" s="877"/>
      <c r="AR4" s="877"/>
      <c r="AS4" s="877"/>
      <c r="AT4" s="878"/>
    </row>
    <row r="5" spans="1:46" s="263" customFormat="1" ht="86.25" customHeight="1">
      <c r="A5" s="157" t="s">
        <v>0</v>
      </c>
      <c r="B5" s="157" t="s">
        <v>1</v>
      </c>
      <c r="C5" s="157" t="s">
        <v>2</v>
      </c>
      <c r="D5" s="157" t="s">
        <v>3</v>
      </c>
      <c r="E5" s="157" t="s">
        <v>4</v>
      </c>
      <c r="F5" s="157" t="s">
        <v>5</v>
      </c>
      <c r="G5" s="157" t="s">
        <v>6</v>
      </c>
      <c r="H5" s="157" t="s">
        <v>7</v>
      </c>
      <c r="I5" s="157" t="s">
        <v>9</v>
      </c>
      <c r="J5" s="157" t="s">
        <v>153</v>
      </c>
      <c r="K5" s="157" t="s">
        <v>10</v>
      </c>
      <c r="L5" s="157" t="s">
        <v>11</v>
      </c>
      <c r="M5" s="9" t="s">
        <v>618</v>
      </c>
      <c r="N5" s="157" t="s">
        <v>619</v>
      </c>
      <c r="O5" s="157" t="s">
        <v>620</v>
      </c>
      <c r="P5" s="157" t="s">
        <v>12</v>
      </c>
      <c r="Q5" s="157" t="s">
        <v>621</v>
      </c>
      <c r="R5" s="157" t="s">
        <v>622</v>
      </c>
      <c r="S5" s="157" t="s">
        <v>623</v>
      </c>
      <c r="T5" s="157" t="s">
        <v>624</v>
      </c>
      <c r="U5" s="157" t="s">
        <v>625</v>
      </c>
      <c r="V5" s="157" t="s">
        <v>13</v>
      </c>
      <c r="W5" s="157" t="s">
        <v>14</v>
      </c>
      <c r="X5" s="157" t="s">
        <v>15</v>
      </c>
      <c r="Y5" s="157" t="s">
        <v>265</v>
      </c>
      <c r="Z5" s="157" t="s">
        <v>749</v>
      </c>
      <c r="AA5" s="157" t="s">
        <v>84</v>
      </c>
      <c r="AB5" s="16" t="s">
        <v>304</v>
      </c>
      <c r="AC5" s="157" t="s">
        <v>16</v>
      </c>
      <c r="AD5" s="9" t="s">
        <v>1911</v>
      </c>
      <c r="AE5" s="9" t="s">
        <v>1912</v>
      </c>
      <c r="AF5" s="9" t="s">
        <v>247</v>
      </c>
      <c r="AG5" s="9" t="s">
        <v>248</v>
      </c>
      <c r="AH5" s="9" t="s">
        <v>1913</v>
      </c>
      <c r="AI5" s="9" t="s">
        <v>1914</v>
      </c>
      <c r="AJ5" s="9" t="s">
        <v>1915</v>
      </c>
      <c r="AK5" s="9" t="s">
        <v>1916</v>
      </c>
      <c r="AL5" s="9" t="s">
        <v>1917</v>
      </c>
      <c r="AM5" s="20" t="s">
        <v>2037</v>
      </c>
      <c r="AN5" s="20" t="s">
        <v>852</v>
      </c>
      <c r="AO5" s="9" t="s">
        <v>13</v>
      </c>
      <c r="AP5" s="9" t="s">
        <v>14</v>
      </c>
      <c r="AQ5" s="9" t="s">
        <v>15</v>
      </c>
      <c r="AR5" s="9" t="s">
        <v>265</v>
      </c>
      <c r="AS5" s="9" t="s">
        <v>749</v>
      </c>
      <c r="AT5" s="9" t="s">
        <v>84</v>
      </c>
    </row>
    <row r="6" spans="1:46" s="165" customFormat="1" ht="30" customHeight="1">
      <c r="A6" s="160">
        <v>1</v>
      </c>
      <c r="B6" s="160">
        <v>1519</v>
      </c>
      <c r="C6" s="160" t="s">
        <v>82</v>
      </c>
      <c r="D6" s="161">
        <v>8493000</v>
      </c>
      <c r="E6" s="161">
        <v>8493000</v>
      </c>
      <c r="F6" s="161">
        <f t="shared" ref="F6:F11" si="0">D6-E6</f>
        <v>0</v>
      </c>
      <c r="G6" s="161">
        <v>2680000</v>
      </c>
      <c r="H6" s="161">
        <v>2106927</v>
      </c>
      <c r="I6" s="161">
        <v>0</v>
      </c>
      <c r="J6" s="161">
        <v>0</v>
      </c>
      <c r="K6" s="161">
        <f t="shared" ref="K6:K11" si="1">SUM(I6:J6)</f>
        <v>0</v>
      </c>
      <c r="L6" s="161">
        <f t="shared" ref="L6:L11" si="2">H6+K6</f>
        <v>2106927</v>
      </c>
      <c r="M6" s="161">
        <f>P6+S6-550000</f>
        <v>23073</v>
      </c>
      <c r="N6" s="161">
        <f>1900000-350000</f>
        <v>1550000</v>
      </c>
      <c r="O6" s="161">
        <f t="shared" ref="O6:O11" si="3">D6-L6-M6-N6</f>
        <v>4813000</v>
      </c>
      <c r="P6" s="161">
        <f t="shared" ref="P6:P11" si="4">G6-L6</f>
        <v>573073</v>
      </c>
      <c r="Q6" s="161"/>
      <c r="R6" s="161"/>
      <c r="S6" s="161">
        <f t="shared" ref="S6:S11" si="5">SUM(Q6:R6)</f>
        <v>0</v>
      </c>
      <c r="T6" s="161">
        <f t="shared" ref="T6:T11" si="6">P6-M6+S6</f>
        <v>550000</v>
      </c>
      <c r="U6" s="581">
        <f t="shared" ref="U6:U11" si="7">N6-T6</f>
        <v>1000000</v>
      </c>
      <c r="V6" s="161">
        <f>U6-AA6</f>
        <v>771068</v>
      </c>
      <c r="W6" s="161"/>
      <c r="X6" s="161"/>
      <c r="Y6" s="161"/>
      <c r="Z6" s="161"/>
      <c r="AA6" s="161">
        <f>987865/2-265000-0.5</f>
        <v>228932</v>
      </c>
      <c r="AB6" s="160" t="s">
        <v>566</v>
      </c>
      <c r="AC6" s="160">
        <v>732000</v>
      </c>
      <c r="AD6" s="161"/>
      <c r="AE6" s="161"/>
      <c r="AF6" s="161"/>
      <c r="AG6" s="161"/>
      <c r="AH6" s="161"/>
      <c r="AI6" s="161"/>
      <c r="AJ6" s="161"/>
      <c r="AK6" s="161"/>
      <c r="AL6" s="161"/>
      <c r="AM6" s="161">
        <f t="shared" ref="AM6:AM11" si="8">SUM(AD6:AL6)</f>
        <v>0</v>
      </c>
      <c r="AN6" s="161">
        <f t="shared" ref="AN6:AN11" si="9">U6-AM6</f>
        <v>1000000</v>
      </c>
      <c r="AO6" s="161">
        <f t="shared" ref="AO6:AO11" si="10">AM6-AP6-AQ6-AR6-AS6-AT6</f>
        <v>0</v>
      </c>
      <c r="AP6" s="161"/>
      <c r="AQ6" s="161"/>
      <c r="AR6" s="161"/>
      <c r="AS6" s="161"/>
      <c r="AT6" s="161"/>
    </row>
    <row r="7" spans="1:46" s="164" customFormat="1" ht="30" customHeight="1">
      <c r="A7" s="160">
        <f>A6+1</f>
        <v>2</v>
      </c>
      <c r="B7" s="160">
        <v>1867</v>
      </c>
      <c r="C7" s="160" t="s">
        <v>128</v>
      </c>
      <c r="D7" s="161">
        <v>1520000</v>
      </c>
      <c r="E7" s="161">
        <v>1520000</v>
      </c>
      <c r="F7" s="161">
        <f t="shared" si="0"/>
        <v>0</v>
      </c>
      <c r="G7" s="161">
        <v>570000</v>
      </c>
      <c r="H7" s="161">
        <v>369131</v>
      </c>
      <c r="I7" s="161">
        <v>0</v>
      </c>
      <c r="J7" s="161">
        <v>0</v>
      </c>
      <c r="K7" s="161">
        <f t="shared" si="1"/>
        <v>0</v>
      </c>
      <c r="L7" s="161">
        <f t="shared" si="2"/>
        <v>369131</v>
      </c>
      <c r="M7" s="161">
        <f>P7+S7-200000</f>
        <v>869</v>
      </c>
      <c r="N7" s="161">
        <v>200000</v>
      </c>
      <c r="O7" s="161">
        <f t="shared" si="3"/>
        <v>950000</v>
      </c>
      <c r="P7" s="161">
        <f t="shared" si="4"/>
        <v>200869</v>
      </c>
      <c r="Q7" s="161"/>
      <c r="R7" s="161"/>
      <c r="S7" s="161">
        <f t="shared" si="5"/>
        <v>0</v>
      </c>
      <c r="T7" s="161">
        <f t="shared" si="6"/>
        <v>200000</v>
      </c>
      <c r="U7" s="581">
        <f t="shared" si="7"/>
        <v>0</v>
      </c>
      <c r="V7" s="161">
        <f>U7</f>
        <v>0</v>
      </c>
      <c r="W7" s="161"/>
      <c r="X7" s="161"/>
      <c r="Y7" s="161"/>
      <c r="Z7" s="161"/>
      <c r="AA7" s="161">
        <f>987864-987864</f>
        <v>0</v>
      </c>
      <c r="AB7" s="160" t="s">
        <v>447</v>
      </c>
      <c r="AC7" s="160">
        <v>732000</v>
      </c>
      <c r="AD7" s="161"/>
      <c r="AE7" s="161"/>
      <c r="AF7" s="161"/>
      <c r="AG7" s="161"/>
      <c r="AH7" s="161"/>
      <c r="AI7" s="161"/>
      <c r="AJ7" s="161"/>
      <c r="AK7" s="161"/>
      <c r="AL7" s="161"/>
      <c r="AM7" s="161">
        <f t="shared" si="8"/>
        <v>0</v>
      </c>
      <c r="AN7" s="161">
        <f t="shared" si="9"/>
        <v>0</v>
      </c>
      <c r="AO7" s="161">
        <f t="shared" si="10"/>
        <v>0</v>
      </c>
      <c r="AP7" s="161"/>
      <c r="AQ7" s="161"/>
      <c r="AR7" s="161"/>
      <c r="AS7" s="161"/>
      <c r="AT7" s="161"/>
    </row>
    <row r="8" spans="1:46" s="164" customFormat="1" ht="30" customHeight="1">
      <c r="A8" s="160">
        <f>A7+1</f>
        <v>3</v>
      </c>
      <c r="B8" s="160">
        <v>1869</v>
      </c>
      <c r="C8" s="160" t="s">
        <v>2439</v>
      </c>
      <c r="D8" s="161">
        <v>8200000</v>
      </c>
      <c r="E8" s="161">
        <v>8200000</v>
      </c>
      <c r="F8" s="161">
        <f t="shared" si="0"/>
        <v>0</v>
      </c>
      <c r="G8" s="161">
        <v>200000</v>
      </c>
      <c r="H8" s="161">
        <v>94426</v>
      </c>
      <c r="I8" s="161">
        <v>0</v>
      </c>
      <c r="J8" s="161">
        <v>0</v>
      </c>
      <c r="K8" s="161">
        <f t="shared" si="1"/>
        <v>0</v>
      </c>
      <c r="L8" s="161">
        <f t="shared" si="2"/>
        <v>94426</v>
      </c>
      <c r="M8" s="161">
        <f>P8+S8-100000</f>
        <v>5574</v>
      </c>
      <c r="N8" s="161">
        <f>400000-300000</f>
        <v>100000</v>
      </c>
      <c r="O8" s="161">
        <f t="shared" si="3"/>
        <v>8000000</v>
      </c>
      <c r="P8" s="161">
        <f t="shared" si="4"/>
        <v>105574</v>
      </c>
      <c r="Q8" s="161"/>
      <c r="R8" s="161"/>
      <c r="S8" s="161">
        <f t="shared" si="5"/>
        <v>0</v>
      </c>
      <c r="T8" s="161">
        <f t="shared" si="6"/>
        <v>100000</v>
      </c>
      <c r="U8" s="581">
        <f t="shared" si="7"/>
        <v>0</v>
      </c>
      <c r="V8" s="161">
        <f>U8</f>
        <v>0</v>
      </c>
      <c r="W8" s="161"/>
      <c r="X8" s="161"/>
      <c r="Y8" s="161"/>
      <c r="Z8" s="161"/>
      <c r="AA8" s="161">
        <f>987864-987864</f>
        <v>0</v>
      </c>
      <c r="AB8" s="160" t="s">
        <v>672</v>
      </c>
      <c r="AC8" s="160">
        <v>742000</v>
      </c>
      <c r="AD8" s="161"/>
      <c r="AE8" s="161"/>
      <c r="AF8" s="161"/>
      <c r="AG8" s="161"/>
      <c r="AH8" s="161"/>
      <c r="AI8" s="161"/>
      <c r="AJ8" s="161"/>
      <c r="AK8" s="161"/>
      <c r="AL8" s="161"/>
      <c r="AM8" s="161">
        <f t="shared" si="8"/>
        <v>0</v>
      </c>
      <c r="AN8" s="161">
        <f t="shared" si="9"/>
        <v>0</v>
      </c>
      <c r="AO8" s="161">
        <f t="shared" si="10"/>
        <v>0</v>
      </c>
      <c r="AP8" s="161"/>
      <c r="AQ8" s="161"/>
      <c r="AR8" s="161"/>
      <c r="AS8" s="161"/>
      <c r="AT8" s="161"/>
    </row>
    <row r="9" spans="1:46" s="164" customFormat="1" ht="30" customHeight="1">
      <c r="A9" s="160">
        <f>A8+1</f>
        <v>4</v>
      </c>
      <c r="B9" s="160">
        <v>1979</v>
      </c>
      <c r="C9" s="160" t="s">
        <v>145</v>
      </c>
      <c r="D9" s="174">
        <v>195000</v>
      </c>
      <c r="E9" s="174">
        <v>195000</v>
      </c>
      <c r="F9" s="161">
        <f t="shared" si="0"/>
        <v>0</v>
      </c>
      <c r="G9" s="161">
        <v>195000</v>
      </c>
      <c r="H9" s="161">
        <v>64729</v>
      </c>
      <c r="I9" s="161">
        <v>0</v>
      </c>
      <c r="J9" s="161">
        <v>0</v>
      </c>
      <c r="K9" s="161">
        <f t="shared" si="1"/>
        <v>0</v>
      </c>
      <c r="L9" s="161">
        <f t="shared" si="2"/>
        <v>64729</v>
      </c>
      <c r="M9" s="161">
        <f>P9+S9-100000</f>
        <v>30271</v>
      </c>
      <c r="N9" s="161">
        <v>100000</v>
      </c>
      <c r="O9" s="161">
        <f t="shared" si="3"/>
        <v>0</v>
      </c>
      <c r="P9" s="161">
        <f t="shared" si="4"/>
        <v>130271</v>
      </c>
      <c r="Q9" s="161"/>
      <c r="R9" s="161"/>
      <c r="S9" s="161">
        <f t="shared" si="5"/>
        <v>0</v>
      </c>
      <c r="T9" s="161">
        <f t="shared" si="6"/>
        <v>100000</v>
      </c>
      <c r="U9" s="581">
        <f t="shared" si="7"/>
        <v>0</v>
      </c>
      <c r="V9" s="161">
        <f>U9</f>
        <v>0</v>
      </c>
      <c r="W9" s="161"/>
      <c r="X9" s="161"/>
      <c r="Y9" s="161"/>
      <c r="Z9" s="161"/>
      <c r="AA9" s="161">
        <f>987864-987864</f>
        <v>0</v>
      </c>
      <c r="AB9" s="160" t="s">
        <v>447</v>
      </c>
      <c r="AC9" s="160">
        <v>732000</v>
      </c>
      <c r="AD9" s="161"/>
      <c r="AE9" s="161"/>
      <c r="AF9" s="161"/>
      <c r="AG9" s="161"/>
      <c r="AH9" s="161"/>
      <c r="AI9" s="161"/>
      <c r="AJ9" s="161"/>
      <c r="AK9" s="161"/>
      <c r="AL9" s="161"/>
      <c r="AM9" s="161">
        <f t="shared" si="8"/>
        <v>0</v>
      </c>
      <c r="AN9" s="161">
        <f t="shared" si="9"/>
        <v>0</v>
      </c>
      <c r="AO9" s="161">
        <f t="shared" si="10"/>
        <v>0</v>
      </c>
      <c r="AP9" s="161"/>
      <c r="AQ9" s="161"/>
      <c r="AR9" s="161"/>
      <c r="AS9" s="161"/>
      <c r="AT9" s="161"/>
    </row>
    <row r="10" spans="1:46" s="164" customFormat="1" ht="45">
      <c r="A10" s="160">
        <f>A9+1</f>
        <v>5</v>
      </c>
      <c r="B10" s="160">
        <v>1980</v>
      </c>
      <c r="C10" s="160" t="s">
        <v>158</v>
      </c>
      <c r="D10" s="174">
        <v>1150000</v>
      </c>
      <c r="E10" s="174">
        <v>1150000</v>
      </c>
      <c r="F10" s="161">
        <f t="shared" si="0"/>
        <v>0</v>
      </c>
      <c r="G10" s="161">
        <v>1150000</v>
      </c>
      <c r="H10" s="161">
        <v>618607</v>
      </c>
      <c r="I10" s="161">
        <v>0</v>
      </c>
      <c r="J10" s="161">
        <v>0</v>
      </c>
      <c r="K10" s="161">
        <f t="shared" si="1"/>
        <v>0</v>
      </c>
      <c r="L10" s="161">
        <f t="shared" si="2"/>
        <v>618607</v>
      </c>
      <c r="M10" s="161">
        <f>P10+S10-500000</f>
        <v>31393</v>
      </c>
      <c r="N10" s="161">
        <v>500000</v>
      </c>
      <c r="O10" s="161">
        <f t="shared" si="3"/>
        <v>0</v>
      </c>
      <c r="P10" s="161">
        <f t="shared" si="4"/>
        <v>531393</v>
      </c>
      <c r="Q10" s="161"/>
      <c r="R10" s="161"/>
      <c r="S10" s="161">
        <f t="shared" si="5"/>
        <v>0</v>
      </c>
      <c r="T10" s="161">
        <f t="shared" si="6"/>
        <v>500000</v>
      </c>
      <c r="U10" s="581">
        <f t="shared" si="7"/>
        <v>0</v>
      </c>
      <c r="V10" s="161">
        <f>U10</f>
        <v>0</v>
      </c>
      <c r="W10" s="161"/>
      <c r="X10" s="161"/>
      <c r="Y10" s="161"/>
      <c r="Z10" s="161"/>
      <c r="AA10" s="161">
        <f>987864-987864</f>
        <v>0</v>
      </c>
      <c r="AB10" s="160" t="s">
        <v>673</v>
      </c>
      <c r="AC10" s="160">
        <v>732000</v>
      </c>
      <c r="AD10" s="161"/>
      <c r="AE10" s="161"/>
      <c r="AF10" s="161"/>
      <c r="AG10" s="161"/>
      <c r="AH10" s="161"/>
      <c r="AI10" s="161"/>
      <c r="AJ10" s="161"/>
      <c r="AK10" s="161"/>
      <c r="AL10" s="161"/>
      <c r="AM10" s="161">
        <f t="shared" si="8"/>
        <v>0</v>
      </c>
      <c r="AN10" s="161">
        <f t="shared" si="9"/>
        <v>0</v>
      </c>
      <c r="AO10" s="161">
        <f t="shared" si="10"/>
        <v>0</v>
      </c>
      <c r="AP10" s="161"/>
      <c r="AQ10" s="161"/>
      <c r="AR10" s="161"/>
      <c r="AS10" s="161"/>
      <c r="AT10" s="161"/>
    </row>
    <row r="11" spans="1:46" s="164" customFormat="1" ht="30" customHeight="1">
      <c r="A11" s="160">
        <f>A10+1</f>
        <v>6</v>
      </c>
      <c r="B11" s="160">
        <v>1981</v>
      </c>
      <c r="C11" s="160" t="s">
        <v>146</v>
      </c>
      <c r="D11" s="174">
        <v>1100000</v>
      </c>
      <c r="E11" s="174">
        <v>1100000</v>
      </c>
      <c r="F11" s="161">
        <f t="shared" si="0"/>
        <v>0</v>
      </c>
      <c r="G11" s="161">
        <v>1100000</v>
      </c>
      <c r="H11" s="161">
        <v>826984</v>
      </c>
      <c r="I11" s="161">
        <v>0</v>
      </c>
      <c r="J11" s="161">
        <v>0</v>
      </c>
      <c r="K11" s="161">
        <f t="shared" si="1"/>
        <v>0</v>
      </c>
      <c r="L11" s="161">
        <f t="shared" si="2"/>
        <v>826984</v>
      </c>
      <c r="M11" s="161">
        <f>P11+S11-250000</f>
        <v>23016</v>
      </c>
      <c r="N11" s="161">
        <v>250000</v>
      </c>
      <c r="O11" s="161">
        <f t="shared" si="3"/>
        <v>0</v>
      </c>
      <c r="P11" s="161">
        <f t="shared" si="4"/>
        <v>273016</v>
      </c>
      <c r="Q11" s="161"/>
      <c r="R11" s="161"/>
      <c r="S11" s="161">
        <f t="shared" si="5"/>
        <v>0</v>
      </c>
      <c r="T11" s="161">
        <f t="shared" si="6"/>
        <v>250000</v>
      </c>
      <c r="U11" s="581">
        <f t="shared" si="7"/>
        <v>0</v>
      </c>
      <c r="V11" s="161">
        <f>U11</f>
        <v>0</v>
      </c>
      <c r="W11" s="161"/>
      <c r="X11" s="161"/>
      <c r="Y11" s="161"/>
      <c r="Z11" s="161"/>
      <c r="AA11" s="161">
        <f>987864-987864</f>
        <v>0</v>
      </c>
      <c r="AB11" s="160" t="s">
        <v>447</v>
      </c>
      <c r="AC11" s="160">
        <v>732000</v>
      </c>
      <c r="AD11" s="161"/>
      <c r="AE11" s="161"/>
      <c r="AF11" s="161"/>
      <c r="AG11" s="161"/>
      <c r="AH11" s="161"/>
      <c r="AI11" s="161"/>
      <c r="AJ11" s="161"/>
      <c r="AK11" s="161"/>
      <c r="AL11" s="161"/>
      <c r="AM11" s="161">
        <f t="shared" si="8"/>
        <v>0</v>
      </c>
      <c r="AN11" s="161">
        <f t="shared" si="9"/>
        <v>0</v>
      </c>
      <c r="AO11" s="161">
        <f t="shared" si="10"/>
        <v>0</v>
      </c>
      <c r="AP11" s="161"/>
      <c r="AQ11" s="161"/>
      <c r="AR11" s="161"/>
      <c r="AS11" s="161"/>
      <c r="AT11" s="161"/>
    </row>
    <row r="12" spans="1:46" s="370" customFormat="1" ht="30" customHeight="1">
      <c r="A12" s="302">
        <f>A11</f>
        <v>6</v>
      </c>
      <c r="B12" s="302"/>
      <c r="C12" s="32" t="s">
        <v>263</v>
      </c>
      <c r="D12" s="369">
        <f>SUM(D6:D11)</f>
        <v>20658000</v>
      </c>
      <c r="E12" s="369">
        <f t="shared" ref="E12:AT12" si="11">SUM(E6:E11)</f>
        <v>20658000</v>
      </c>
      <c r="F12" s="369">
        <f t="shared" si="11"/>
        <v>0</v>
      </c>
      <c r="G12" s="369">
        <f t="shared" si="11"/>
        <v>5895000</v>
      </c>
      <c r="H12" s="369">
        <f t="shared" si="11"/>
        <v>4080804</v>
      </c>
      <c r="I12" s="369">
        <f t="shared" si="11"/>
        <v>0</v>
      </c>
      <c r="J12" s="369">
        <f t="shared" si="11"/>
        <v>0</v>
      </c>
      <c r="K12" s="369">
        <f t="shared" si="11"/>
        <v>0</v>
      </c>
      <c r="L12" s="369">
        <f t="shared" si="11"/>
        <v>4080804</v>
      </c>
      <c r="M12" s="369">
        <f t="shared" si="11"/>
        <v>114196</v>
      </c>
      <c r="N12" s="369">
        <f t="shared" si="11"/>
        <v>2700000</v>
      </c>
      <c r="O12" s="369">
        <f t="shared" si="11"/>
        <v>13763000</v>
      </c>
      <c r="P12" s="369">
        <f t="shared" si="11"/>
        <v>1814196</v>
      </c>
      <c r="Q12" s="369">
        <f t="shared" si="11"/>
        <v>0</v>
      </c>
      <c r="R12" s="369">
        <f t="shared" si="11"/>
        <v>0</v>
      </c>
      <c r="S12" s="369">
        <f t="shared" si="11"/>
        <v>0</v>
      </c>
      <c r="T12" s="369">
        <f t="shared" si="11"/>
        <v>1700000</v>
      </c>
      <c r="U12" s="369">
        <f t="shared" si="11"/>
        <v>1000000</v>
      </c>
      <c r="V12" s="369">
        <f t="shared" si="11"/>
        <v>771068</v>
      </c>
      <c r="W12" s="369">
        <f t="shared" si="11"/>
        <v>0</v>
      </c>
      <c r="X12" s="369">
        <f t="shared" si="11"/>
        <v>0</v>
      </c>
      <c r="Y12" s="369">
        <f t="shared" si="11"/>
        <v>0</v>
      </c>
      <c r="Z12" s="369">
        <f t="shared" si="11"/>
        <v>0</v>
      </c>
      <c r="AA12" s="369">
        <f t="shared" si="11"/>
        <v>228932</v>
      </c>
      <c r="AB12" s="369">
        <f t="shared" si="11"/>
        <v>0</v>
      </c>
      <c r="AC12" s="369">
        <f t="shared" si="11"/>
        <v>4402000</v>
      </c>
      <c r="AD12" s="369">
        <f t="shared" si="11"/>
        <v>0</v>
      </c>
      <c r="AE12" s="369">
        <f>SUM(AE6:AE11)</f>
        <v>0</v>
      </c>
      <c r="AF12" s="369">
        <f>SUM(AF6:AF11)</f>
        <v>0</v>
      </c>
      <c r="AG12" s="369">
        <f t="shared" si="11"/>
        <v>0</v>
      </c>
      <c r="AH12" s="369">
        <f>SUM(AH6:AH11)</f>
        <v>0</v>
      </c>
      <c r="AI12" s="369">
        <f>SUM(AI6:AI11)</f>
        <v>0</v>
      </c>
      <c r="AJ12" s="369">
        <f>SUM(AJ6:AJ11)</f>
        <v>0</v>
      </c>
      <c r="AK12" s="369">
        <f>SUM(AK6:AK11)</f>
        <v>0</v>
      </c>
      <c r="AL12" s="369">
        <f>SUM(AL6:AL11)</f>
        <v>0</v>
      </c>
      <c r="AM12" s="369">
        <f t="shared" si="11"/>
        <v>0</v>
      </c>
      <c r="AN12" s="369">
        <f t="shared" si="11"/>
        <v>1000000</v>
      </c>
      <c r="AO12" s="369">
        <f t="shared" si="11"/>
        <v>0</v>
      </c>
      <c r="AP12" s="369">
        <f t="shared" si="11"/>
        <v>0</v>
      </c>
      <c r="AQ12" s="369">
        <f t="shared" si="11"/>
        <v>0</v>
      </c>
      <c r="AR12" s="369">
        <f t="shared" si="11"/>
        <v>0</v>
      </c>
      <c r="AS12" s="369">
        <f t="shared" si="11"/>
        <v>0</v>
      </c>
      <c r="AT12" s="369">
        <f t="shared" si="11"/>
        <v>0</v>
      </c>
    </row>
    <row r="13" spans="1:46" hidden="1">
      <c r="M13" s="155">
        <f>P12-T12</f>
        <v>114196</v>
      </c>
      <c r="P13" s="155">
        <f>G12-L12</f>
        <v>1814196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V4:AA4"/>
    <mergeCell ref="AC4:AM4"/>
    <mergeCell ref="AO4:AT4"/>
    <mergeCell ref="T4:U4"/>
  </mergeCells>
  <conditionalFormatting sqref="U6:U11">
    <cfRule type="cellIs" dxfId="38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rowBreaks count="1" manualBreakCount="1">
    <brk id="17" max="16383" man="1"/>
  </rowBreaks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AT61"/>
  <sheetViews>
    <sheetView showZeros="0" rightToLeft="1" workbookViewId="0">
      <pane xSplit="3" ySplit="5" topLeftCell="D6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8.85546875" defaultRowHeight="12.75"/>
  <cols>
    <col min="1" max="1" width="3" style="194" customWidth="1"/>
    <col min="2" max="2" width="4.28515625" style="194" customWidth="1"/>
    <col min="3" max="3" width="24.5703125" style="194" customWidth="1"/>
    <col min="4" max="19" width="9.7109375" style="194" hidden="1" customWidth="1"/>
    <col min="20" max="20" width="8.7109375" style="194" hidden="1" customWidth="1"/>
    <col min="21" max="23" width="12.140625" style="194" customWidth="1"/>
    <col min="24" max="26" width="8.7109375" style="194" hidden="1" customWidth="1"/>
    <col min="27" max="27" width="12.140625" style="194" customWidth="1"/>
    <col min="28" max="28" width="35" style="194" hidden="1" customWidth="1"/>
    <col min="29" max="29" width="8.85546875" style="194" hidden="1" customWidth="1"/>
    <col min="30" max="38" width="11.7109375" style="194" hidden="1" customWidth="1"/>
    <col min="39" max="42" width="12.140625" style="194" customWidth="1"/>
    <col min="43" max="45" width="11.7109375" style="194" hidden="1" customWidth="1"/>
    <col min="46" max="46" width="12.140625" style="194" customWidth="1"/>
    <col min="47" max="16384" width="8.85546875" style="194"/>
  </cols>
  <sheetData>
    <row r="1" spans="1:46" ht="18.75">
      <c r="A1" s="705"/>
      <c r="B1" s="705"/>
      <c r="C1" s="705"/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5"/>
      <c r="R1" s="705"/>
      <c r="S1" s="705"/>
      <c r="T1" s="705"/>
      <c r="U1" s="705"/>
      <c r="V1" s="705"/>
      <c r="W1" s="705"/>
      <c r="X1" s="706"/>
      <c r="Y1" s="706"/>
      <c r="Z1" s="706"/>
      <c r="AA1" s="707"/>
      <c r="AB1" s="708"/>
      <c r="AC1" s="707"/>
      <c r="AD1" s="709"/>
      <c r="AE1" s="709"/>
      <c r="AF1" s="709"/>
      <c r="AG1" s="709"/>
      <c r="AH1" s="709"/>
      <c r="AI1" s="709"/>
      <c r="AJ1" s="709"/>
      <c r="AK1" s="709"/>
      <c r="AL1" s="709"/>
      <c r="AM1" s="709"/>
      <c r="AN1" s="709"/>
      <c r="AO1" s="709"/>
      <c r="AP1" s="498"/>
      <c r="AQ1" s="498"/>
      <c r="AR1" s="498"/>
      <c r="AS1" s="498"/>
      <c r="AT1" s="498"/>
    </row>
    <row r="2" spans="1:46" ht="18.75">
      <c r="A2" s="705" t="s">
        <v>2296</v>
      </c>
      <c r="B2" s="705"/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/>
      <c r="S2" s="705"/>
      <c r="T2" s="705"/>
      <c r="U2" s="705"/>
      <c r="V2" s="705"/>
      <c r="W2" s="705"/>
      <c r="X2" s="710"/>
      <c r="Y2" s="710"/>
      <c r="Z2" s="710"/>
      <c r="AA2" s="710"/>
      <c r="AB2" s="709"/>
      <c r="AC2" s="710"/>
      <c r="AD2" s="709"/>
      <c r="AE2" s="709"/>
      <c r="AF2" s="709"/>
      <c r="AG2" s="709"/>
      <c r="AH2" s="709"/>
      <c r="AI2" s="709"/>
      <c r="AJ2" s="709"/>
      <c r="AK2" s="709"/>
      <c r="AL2" s="709"/>
      <c r="AM2" s="709"/>
      <c r="AN2" s="709"/>
      <c r="AO2" s="709"/>
      <c r="AP2" s="498"/>
      <c r="AQ2" s="498"/>
      <c r="AR2" s="498"/>
      <c r="AS2" s="498"/>
      <c r="AT2" s="498"/>
    </row>
    <row r="3" spans="1:46" ht="18.75">
      <c r="A3" s="705"/>
      <c r="B3" s="705"/>
      <c r="C3" s="705"/>
      <c r="D3" s="705"/>
      <c r="E3" s="705"/>
      <c r="F3" s="705"/>
      <c r="G3" s="705"/>
      <c r="H3" s="705"/>
      <c r="I3" s="705"/>
      <c r="J3" s="705"/>
      <c r="K3" s="705"/>
      <c r="L3" s="705"/>
      <c r="M3" s="705"/>
      <c r="N3" s="705"/>
      <c r="O3" s="705"/>
      <c r="P3" s="705"/>
      <c r="Q3" s="705"/>
      <c r="R3" s="705"/>
      <c r="S3" s="705"/>
      <c r="T3" s="705"/>
      <c r="U3" s="705"/>
      <c r="V3" s="705"/>
      <c r="W3" s="705"/>
      <c r="X3" s="710"/>
      <c r="Y3" s="710"/>
      <c r="Z3" s="710"/>
      <c r="AA3" s="710"/>
      <c r="AB3" s="709"/>
      <c r="AC3" s="710"/>
      <c r="AD3" s="709"/>
      <c r="AE3" s="709"/>
      <c r="AF3" s="709"/>
      <c r="AG3" s="709"/>
      <c r="AH3" s="709"/>
      <c r="AI3" s="709"/>
      <c r="AJ3" s="709"/>
      <c r="AK3" s="709"/>
      <c r="AL3" s="709"/>
      <c r="AM3" s="709"/>
      <c r="AN3" s="709"/>
      <c r="AO3" s="709"/>
      <c r="AP3" s="498"/>
      <c r="AQ3" s="498"/>
      <c r="AR3" s="498"/>
      <c r="AS3" s="498"/>
      <c r="AT3" s="498"/>
    </row>
    <row r="4" spans="1:46" ht="25.15" customHeight="1">
      <c r="A4" s="711"/>
      <c r="B4" s="712"/>
      <c r="C4" s="712"/>
      <c r="D4" s="713"/>
      <c r="E4" s="713"/>
      <c r="F4" s="713"/>
      <c r="G4" s="713"/>
      <c r="H4" s="713"/>
      <c r="I4" s="713"/>
      <c r="J4" s="713"/>
      <c r="K4" s="713"/>
      <c r="L4" s="713"/>
      <c r="M4" s="713"/>
      <c r="N4" s="713"/>
      <c r="O4" s="713"/>
      <c r="P4" s="713"/>
      <c r="Q4" s="713"/>
      <c r="R4" s="713"/>
      <c r="S4" s="713"/>
      <c r="T4" s="876" t="s">
        <v>256</v>
      </c>
      <c r="U4" s="877"/>
      <c r="V4" s="876" t="s">
        <v>88</v>
      </c>
      <c r="W4" s="877"/>
      <c r="X4" s="877"/>
      <c r="Y4" s="877"/>
      <c r="Z4" s="877"/>
      <c r="AA4" s="878"/>
      <c r="AB4" s="18"/>
      <c r="AC4" s="876" t="s">
        <v>246</v>
      </c>
      <c r="AD4" s="877"/>
      <c r="AE4" s="877"/>
      <c r="AF4" s="877"/>
      <c r="AG4" s="877"/>
      <c r="AH4" s="877"/>
      <c r="AI4" s="877"/>
      <c r="AJ4" s="877"/>
      <c r="AK4" s="877"/>
      <c r="AL4" s="877"/>
      <c r="AM4" s="878"/>
      <c r="AN4" s="171"/>
      <c r="AO4" s="876" t="s">
        <v>2269</v>
      </c>
      <c r="AP4" s="877"/>
      <c r="AQ4" s="877"/>
      <c r="AR4" s="877"/>
      <c r="AS4" s="877"/>
      <c r="AT4" s="878"/>
    </row>
    <row r="5" spans="1:46" ht="90">
      <c r="A5" s="157" t="s">
        <v>0</v>
      </c>
      <c r="B5" s="572" t="s">
        <v>587</v>
      </c>
      <c r="C5" s="572" t="s">
        <v>2</v>
      </c>
      <c r="D5" s="572" t="s">
        <v>3</v>
      </c>
      <c r="E5" s="572" t="s">
        <v>4</v>
      </c>
      <c r="F5" s="572" t="s">
        <v>5</v>
      </c>
      <c r="G5" s="572" t="s">
        <v>6</v>
      </c>
      <c r="H5" s="572" t="s">
        <v>7</v>
      </c>
      <c r="I5" s="572" t="s">
        <v>9</v>
      </c>
      <c r="J5" s="572" t="s">
        <v>153</v>
      </c>
      <c r="K5" s="572" t="s">
        <v>10</v>
      </c>
      <c r="L5" s="572" t="s">
        <v>11</v>
      </c>
      <c r="M5" s="9" t="s">
        <v>618</v>
      </c>
      <c r="N5" s="572" t="s">
        <v>619</v>
      </c>
      <c r="O5" s="572" t="s">
        <v>620</v>
      </c>
      <c r="P5" s="572" t="s">
        <v>12</v>
      </c>
      <c r="Q5" s="572" t="s">
        <v>621</v>
      </c>
      <c r="R5" s="572" t="s">
        <v>622</v>
      </c>
      <c r="S5" s="572" t="s">
        <v>623</v>
      </c>
      <c r="T5" s="572" t="s">
        <v>624</v>
      </c>
      <c r="U5" s="572" t="s">
        <v>625</v>
      </c>
      <c r="V5" s="572" t="s">
        <v>13</v>
      </c>
      <c r="W5" s="572" t="s">
        <v>14</v>
      </c>
      <c r="X5" s="572" t="s">
        <v>15</v>
      </c>
      <c r="Y5" s="572" t="s">
        <v>265</v>
      </c>
      <c r="Z5" s="572" t="s">
        <v>749</v>
      </c>
      <c r="AA5" s="572" t="s">
        <v>84</v>
      </c>
      <c r="AB5" s="714" t="s">
        <v>304</v>
      </c>
      <c r="AC5" s="572" t="s">
        <v>16</v>
      </c>
      <c r="AD5" s="9" t="s">
        <v>1911</v>
      </c>
      <c r="AE5" s="9" t="s">
        <v>1912</v>
      </c>
      <c r="AF5" s="9" t="s">
        <v>247</v>
      </c>
      <c r="AG5" s="9" t="s">
        <v>248</v>
      </c>
      <c r="AH5" s="9" t="s">
        <v>1913</v>
      </c>
      <c r="AI5" s="9" t="s">
        <v>1914</v>
      </c>
      <c r="AJ5" s="9" t="s">
        <v>1915</v>
      </c>
      <c r="AK5" s="9" t="s">
        <v>1916</v>
      </c>
      <c r="AL5" s="9" t="s">
        <v>1917</v>
      </c>
      <c r="AM5" s="20" t="s">
        <v>2037</v>
      </c>
      <c r="AN5" s="20" t="s">
        <v>852</v>
      </c>
      <c r="AO5" s="9" t="s">
        <v>13</v>
      </c>
      <c r="AP5" s="9" t="s">
        <v>14</v>
      </c>
      <c r="AQ5" s="9" t="s">
        <v>15</v>
      </c>
      <c r="AR5" s="9" t="s">
        <v>265</v>
      </c>
      <c r="AS5" s="9" t="s">
        <v>749</v>
      </c>
      <c r="AT5" s="9" t="s">
        <v>84</v>
      </c>
    </row>
    <row r="6" spans="1:46" ht="45" customHeight="1">
      <c r="A6" s="582">
        <v>1</v>
      </c>
      <c r="B6" s="582">
        <v>1002</v>
      </c>
      <c r="C6" s="582" t="s">
        <v>133</v>
      </c>
      <c r="D6" s="581">
        <v>3290000</v>
      </c>
      <c r="E6" s="581">
        <v>2290000</v>
      </c>
      <c r="F6" s="581">
        <f t="shared" ref="F6:F15" si="0">D6-E6</f>
        <v>1000000</v>
      </c>
      <c r="G6" s="581">
        <v>2160000</v>
      </c>
      <c r="H6" s="581">
        <v>2146623</v>
      </c>
      <c r="I6" s="581">
        <v>0</v>
      </c>
      <c r="J6" s="581">
        <v>9403</v>
      </c>
      <c r="K6" s="581">
        <f t="shared" ref="K6:K15" si="1">I6+J6</f>
        <v>9403</v>
      </c>
      <c r="L6" s="581">
        <f t="shared" ref="L6:L15" si="2">H6+K6</f>
        <v>2156026</v>
      </c>
      <c r="M6" s="581">
        <f t="shared" ref="M6:M15" si="3">P6+S6</f>
        <v>3974</v>
      </c>
      <c r="N6" s="581">
        <v>50000</v>
      </c>
      <c r="O6" s="581">
        <f t="shared" ref="O6:O15" si="4">D6-L6-M6-N6</f>
        <v>1080000</v>
      </c>
      <c r="P6" s="581">
        <f t="shared" ref="P6:P15" si="5">G6-L6</f>
        <v>3974</v>
      </c>
      <c r="Q6" s="581"/>
      <c r="R6" s="581"/>
      <c r="S6" s="581">
        <f t="shared" ref="S6:S15" si="6">SUM(Q6:R6)</f>
        <v>0</v>
      </c>
      <c r="T6" s="581">
        <f t="shared" ref="T6:T15" si="7">P6-M6+S6</f>
        <v>0</v>
      </c>
      <c r="U6" s="581">
        <f t="shared" ref="U6:U15" si="8">N6-T6</f>
        <v>50000</v>
      </c>
      <c r="V6" s="581"/>
      <c r="W6" s="581">
        <f t="shared" ref="W6:W15" si="9">U6-V6-X6-Z6-AA6</f>
        <v>50000</v>
      </c>
      <c r="X6" s="581"/>
      <c r="Y6" s="581"/>
      <c r="Z6" s="581"/>
      <c r="AA6" s="582"/>
      <c r="AB6" s="582" t="s">
        <v>395</v>
      </c>
      <c r="AC6" s="582">
        <v>760000</v>
      </c>
      <c r="AD6" s="581"/>
      <c r="AE6" s="581"/>
      <c r="AF6" s="581"/>
      <c r="AG6" s="581"/>
      <c r="AH6" s="581">
        <v>50000</v>
      </c>
      <c r="AI6" s="581"/>
      <c r="AJ6" s="581"/>
      <c r="AK6" s="581"/>
      <c r="AL6" s="581"/>
      <c r="AM6" s="581">
        <f>SUM(AD6:AL6)</f>
        <v>50000</v>
      </c>
      <c r="AN6" s="581">
        <f>U6-AM6</f>
        <v>0</v>
      </c>
      <c r="AO6" s="581"/>
      <c r="AP6" s="581">
        <f>AM6-AO6-AQ6-AR6-AS6-AT6</f>
        <v>50000</v>
      </c>
      <c r="AQ6" s="581"/>
      <c r="AR6" s="581"/>
      <c r="AS6" s="581"/>
      <c r="AT6" s="581"/>
    </row>
    <row r="7" spans="1:46" ht="45" customHeight="1">
      <c r="A7" s="582">
        <f>A6+1</f>
        <v>2</v>
      </c>
      <c r="B7" s="582">
        <v>1497</v>
      </c>
      <c r="C7" s="582" t="s">
        <v>62</v>
      </c>
      <c r="D7" s="581">
        <v>8820000</v>
      </c>
      <c r="E7" s="581">
        <v>8820000</v>
      </c>
      <c r="F7" s="581">
        <f t="shared" si="0"/>
        <v>0</v>
      </c>
      <c r="G7" s="581">
        <v>2973000</v>
      </c>
      <c r="H7" s="581">
        <v>2761476</v>
      </c>
      <c r="I7" s="581">
        <v>136200</v>
      </c>
      <c r="J7" s="581">
        <v>58046</v>
      </c>
      <c r="K7" s="581">
        <f t="shared" si="1"/>
        <v>194246</v>
      </c>
      <c r="L7" s="581">
        <f t="shared" si="2"/>
        <v>2955722</v>
      </c>
      <c r="M7" s="581">
        <f t="shared" si="3"/>
        <v>17278</v>
      </c>
      <c r="N7" s="581">
        <v>50000</v>
      </c>
      <c r="O7" s="581">
        <f t="shared" si="4"/>
        <v>5797000</v>
      </c>
      <c r="P7" s="581">
        <f t="shared" si="5"/>
        <v>17278</v>
      </c>
      <c r="Q7" s="581"/>
      <c r="R7" s="581"/>
      <c r="S7" s="581">
        <f t="shared" si="6"/>
        <v>0</v>
      </c>
      <c r="T7" s="581">
        <f t="shared" si="7"/>
        <v>0</v>
      </c>
      <c r="U7" s="581">
        <f t="shared" si="8"/>
        <v>50000</v>
      </c>
      <c r="V7" s="581"/>
      <c r="W7" s="581">
        <f t="shared" si="9"/>
        <v>50000</v>
      </c>
      <c r="X7" s="581"/>
      <c r="Y7" s="581"/>
      <c r="Z7" s="581"/>
      <c r="AA7" s="582"/>
      <c r="AB7" s="582" t="s">
        <v>2033</v>
      </c>
      <c r="AC7" s="582">
        <v>610000</v>
      </c>
      <c r="AD7" s="581">
        <v>50000</v>
      </c>
      <c r="AE7" s="581"/>
      <c r="AF7" s="581"/>
      <c r="AG7" s="581"/>
      <c r="AH7" s="581"/>
      <c r="AI7" s="581"/>
      <c r="AJ7" s="581"/>
      <c r="AK7" s="581"/>
      <c r="AL7" s="581"/>
      <c r="AM7" s="581">
        <f t="shared" ref="AM7:AM15" si="10">SUM(AD7:AL7)</f>
        <v>50000</v>
      </c>
      <c r="AN7" s="581">
        <f t="shared" ref="AN7:AN15" si="11">U7-AM7</f>
        <v>0</v>
      </c>
      <c r="AO7" s="581"/>
      <c r="AP7" s="581">
        <f t="shared" ref="AP7:AP15" si="12">AM7-AO7-AQ7-AR7-AS7-AT7</f>
        <v>50000</v>
      </c>
      <c r="AQ7" s="581"/>
      <c r="AR7" s="581"/>
      <c r="AS7" s="581"/>
      <c r="AT7" s="581"/>
    </row>
    <row r="8" spans="1:46" ht="45" customHeight="1">
      <c r="A8" s="582">
        <f t="shared" ref="A8:A15" si="13">A7+1</f>
        <v>3</v>
      </c>
      <c r="B8" s="582">
        <v>1647</v>
      </c>
      <c r="C8" s="582" t="s">
        <v>370</v>
      </c>
      <c r="D8" s="581">
        <v>4700000</v>
      </c>
      <c r="E8" s="581">
        <v>4700000</v>
      </c>
      <c r="F8" s="581">
        <f t="shared" si="0"/>
        <v>0</v>
      </c>
      <c r="G8" s="581">
        <v>4200000</v>
      </c>
      <c r="H8" s="581">
        <v>4107773</v>
      </c>
      <c r="I8" s="581">
        <v>0</v>
      </c>
      <c r="J8" s="581">
        <v>70989</v>
      </c>
      <c r="K8" s="581">
        <f t="shared" si="1"/>
        <v>70989</v>
      </c>
      <c r="L8" s="581">
        <f t="shared" si="2"/>
        <v>4178762</v>
      </c>
      <c r="M8" s="581">
        <f t="shared" si="3"/>
        <v>21238</v>
      </c>
      <c r="N8" s="581">
        <v>50000</v>
      </c>
      <c r="O8" s="581">
        <f t="shared" si="4"/>
        <v>450000</v>
      </c>
      <c r="P8" s="581">
        <f t="shared" si="5"/>
        <v>21238</v>
      </c>
      <c r="Q8" s="581"/>
      <c r="R8" s="581"/>
      <c r="S8" s="581">
        <f t="shared" si="6"/>
        <v>0</v>
      </c>
      <c r="T8" s="581">
        <f t="shared" si="7"/>
        <v>0</v>
      </c>
      <c r="U8" s="581">
        <f t="shared" si="8"/>
        <v>50000</v>
      </c>
      <c r="V8" s="581"/>
      <c r="W8" s="581">
        <f t="shared" si="9"/>
        <v>50000</v>
      </c>
      <c r="X8" s="581"/>
      <c r="Y8" s="581"/>
      <c r="Z8" s="581"/>
      <c r="AA8" s="582"/>
      <c r="AB8" s="582" t="s">
        <v>410</v>
      </c>
      <c r="AC8" s="582">
        <v>810000</v>
      </c>
      <c r="AD8" s="581">
        <v>50000</v>
      </c>
      <c r="AE8" s="581"/>
      <c r="AF8" s="581"/>
      <c r="AG8" s="581"/>
      <c r="AH8" s="581"/>
      <c r="AI8" s="581"/>
      <c r="AJ8" s="581"/>
      <c r="AK8" s="581"/>
      <c r="AL8" s="581"/>
      <c r="AM8" s="581">
        <f t="shared" si="10"/>
        <v>50000</v>
      </c>
      <c r="AN8" s="581">
        <f t="shared" si="11"/>
        <v>0</v>
      </c>
      <c r="AO8" s="581"/>
      <c r="AP8" s="581">
        <f t="shared" si="12"/>
        <v>50000</v>
      </c>
      <c r="AQ8" s="581"/>
      <c r="AR8" s="581"/>
      <c r="AS8" s="581"/>
      <c r="AT8" s="581"/>
    </row>
    <row r="9" spans="1:46" ht="45" customHeight="1">
      <c r="A9" s="582">
        <f t="shared" si="13"/>
        <v>4</v>
      </c>
      <c r="B9" s="582">
        <v>1871</v>
      </c>
      <c r="C9" s="582" t="s">
        <v>448</v>
      </c>
      <c r="D9" s="581">
        <v>16000000</v>
      </c>
      <c r="E9" s="581">
        <v>8000000</v>
      </c>
      <c r="F9" s="581">
        <f t="shared" si="0"/>
        <v>8000000</v>
      </c>
      <c r="G9" s="581">
        <v>4990000</v>
      </c>
      <c r="H9" s="581">
        <v>876576</v>
      </c>
      <c r="I9" s="581">
        <v>0</v>
      </c>
      <c r="J9" s="581">
        <v>3531865</v>
      </c>
      <c r="K9" s="581">
        <f t="shared" si="1"/>
        <v>3531865</v>
      </c>
      <c r="L9" s="581">
        <f t="shared" si="2"/>
        <v>4408441</v>
      </c>
      <c r="M9" s="581">
        <f t="shared" si="3"/>
        <v>581559</v>
      </c>
      <c r="N9" s="581">
        <f>7700000-300000+50000-2000000</f>
        <v>5450000</v>
      </c>
      <c r="O9" s="581">
        <f t="shared" si="4"/>
        <v>5560000</v>
      </c>
      <c r="P9" s="581">
        <f t="shared" si="5"/>
        <v>581559</v>
      </c>
      <c r="Q9" s="581"/>
      <c r="R9" s="581"/>
      <c r="S9" s="581">
        <f t="shared" si="6"/>
        <v>0</v>
      </c>
      <c r="T9" s="581">
        <f t="shared" si="7"/>
        <v>0</v>
      </c>
      <c r="U9" s="581">
        <f t="shared" si="8"/>
        <v>5450000</v>
      </c>
      <c r="V9" s="581">
        <v>5450000</v>
      </c>
      <c r="W9" s="581">
        <f t="shared" si="9"/>
        <v>0</v>
      </c>
      <c r="X9" s="581"/>
      <c r="Y9" s="581"/>
      <c r="Z9" s="581"/>
      <c r="AA9" s="582"/>
      <c r="AB9" s="582" t="s">
        <v>369</v>
      </c>
      <c r="AC9" s="582">
        <v>760000</v>
      </c>
      <c r="AD9" s="581">
        <v>4650000</v>
      </c>
      <c r="AE9" s="581"/>
      <c r="AF9" s="581"/>
      <c r="AG9" s="581"/>
      <c r="AH9" s="581">
        <v>800000</v>
      </c>
      <c r="AI9" s="581"/>
      <c r="AJ9" s="581"/>
      <c r="AK9" s="581"/>
      <c r="AL9" s="581"/>
      <c r="AM9" s="581">
        <f t="shared" si="10"/>
        <v>5450000</v>
      </c>
      <c r="AN9" s="581">
        <f t="shared" si="11"/>
        <v>0</v>
      </c>
      <c r="AO9" s="581">
        <f>AM9-AP9-AQ9-AR9-AS9-AT9</f>
        <v>5450000</v>
      </c>
      <c r="AP9" s="581"/>
      <c r="AQ9" s="581"/>
      <c r="AR9" s="581"/>
      <c r="AS9" s="581"/>
      <c r="AT9" s="581"/>
    </row>
    <row r="10" spans="1:46" ht="45" customHeight="1">
      <c r="A10" s="582">
        <f t="shared" si="13"/>
        <v>5</v>
      </c>
      <c r="B10" s="582">
        <v>1982</v>
      </c>
      <c r="C10" s="582" t="s">
        <v>449</v>
      </c>
      <c r="D10" s="581">
        <v>14800000</v>
      </c>
      <c r="E10" s="581">
        <v>17700000</v>
      </c>
      <c r="F10" s="581">
        <f t="shared" si="0"/>
        <v>-2900000</v>
      </c>
      <c r="G10" s="581">
        <v>10150000</v>
      </c>
      <c r="H10" s="581">
        <v>7569369</v>
      </c>
      <c r="I10" s="581">
        <v>0</v>
      </c>
      <c r="J10" s="581">
        <v>2228112</v>
      </c>
      <c r="K10" s="581">
        <f t="shared" si="1"/>
        <v>2228112</v>
      </c>
      <c r="L10" s="581">
        <f t="shared" si="2"/>
        <v>9797481</v>
      </c>
      <c r="M10" s="581">
        <f t="shared" si="3"/>
        <v>352519</v>
      </c>
      <c r="N10" s="581">
        <f>3300000-300000+50000-1000000</f>
        <v>2050000</v>
      </c>
      <c r="O10" s="581">
        <f t="shared" si="4"/>
        <v>2600000</v>
      </c>
      <c r="P10" s="581">
        <f t="shared" si="5"/>
        <v>352519</v>
      </c>
      <c r="Q10" s="581"/>
      <c r="R10" s="581"/>
      <c r="S10" s="581">
        <f t="shared" si="6"/>
        <v>0</v>
      </c>
      <c r="T10" s="581">
        <f t="shared" si="7"/>
        <v>0</v>
      </c>
      <c r="U10" s="581">
        <f t="shared" si="8"/>
        <v>2050000</v>
      </c>
      <c r="V10" s="581"/>
      <c r="W10" s="581">
        <f t="shared" si="9"/>
        <v>2050000</v>
      </c>
      <c r="X10" s="581"/>
      <c r="Y10" s="581"/>
      <c r="Z10" s="581"/>
      <c r="AA10" s="582"/>
      <c r="AB10" s="582" t="s">
        <v>850</v>
      </c>
      <c r="AC10" s="582">
        <v>722000</v>
      </c>
      <c r="AD10" s="581">
        <v>1125000</v>
      </c>
      <c r="AE10" s="581"/>
      <c r="AF10" s="581">
        <v>200000</v>
      </c>
      <c r="AG10" s="581"/>
      <c r="AH10" s="581">
        <v>725000</v>
      </c>
      <c r="AI10" s="581"/>
      <c r="AJ10" s="581"/>
      <c r="AK10" s="581"/>
      <c r="AL10" s="581"/>
      <c r="AM10" s="581">
        <f t="shared" si="10"/>
        <v>2050000</v>
      </c>
      <c r="AN10" s="581">
        <f t="shared" si="11"/>
        <v>0</v>
      </c>
      <c r="AO10" s="581"/>
      <c r="AP10" s="581">
        <f t="shared" si="12"/>
        <v>2050000</v>
      </c>
      <c r="AQ10" s="581"/>
      <c r="AR10" s="581"/>
      <c r="AS10" s="581"/>
      <c r="AT10" s="581"/>
    </row>
    <row r="11" spans="1:46" ht="45" customHeight="1">
      <c r="A11" s="582">
        <f t="shared" si="13"/>
        <v>6</v>
      </c>
      <c r="B11" s="582">
        <v>2081</v>
      </c>
      <c r="C11" s="582" t="s">
        <v>371</v>
      </c>
      <c r="D11" s="581">
        <v>10000000</v>
      </c>
      <c r="E11" s="581">
        <v>1500000</v>
      </c>
      <c r="F11" s="581">
        <f t="shared" si="0"/>
        <v>8500000</v>
      </c>
      <c r="G11" s="581">
        <v>0</v>
      </c>
      <c r="H11" s="581">
        <v>0</v>
      </c>
      <c r="I11" s="581">
        <v>0</v>
      </c>
      <c r="J11" s="581">
        <v>0</v>
      </c>
      <c r="K11" s="581">
        <f t="shared" si="1"/>
        <v>0</v>
      </c>
      <c r="L11" s="581">
        <f t="shared" si="2"/>
        <v>0</v>
      </c>
      <c r="M11" s="581">
        <f t="shared" si="3"/>
        <v>0</v>
      </c>
      <c r="N11" s="581">
        <v>0</v>
      </c>
      <c r="O11" s="581">
        <f t="shared" si="4"/>
        <v>10000000</v>
      </c>
      <c r="P11" s="581">
        <f t="shared" si="5"/>
        <v>0</v>
      </c>
      <c r="Q11" s="581"/>
      <c r="R11" s="581"/>
      <c r="S11" s="581">
        <f t="shared" si="6"/>
        <v>0</v>
      </c>
      <c r="T11" s="581">
        <f t="shared" si="7"/>
        <v>0</v>
      </c>
      <c r="U11" s="581">
        <f t="shared" si="8"/>
        <v>0</v>
      </c>
      <c r="V11" s="581"/>
      <c r="W11" s="581">
        <f t="shared" si="9"/>
        <v>0</v>
      </c>
      <c r="X11" s="581"/>
      <c r="Y11" s="581"/>
      <c r="Z11" s="581"/>
      <c r="AA11" s="582"/>
      <c r="AB11" s="582" t="s">
        <v>586</v>
      </c>
      <c r="AC11" s="582">
        <v>760000</v>
      </c>
      <c r="AD11" s="581"/>
      <c r="AE11" s="581"/>
      <c r="AF11" s="581"/>
      <c r="AG11" s="581"/>
      <c r="AH11" s="581"/>
      <c r="AI11" s="581"/>
      <c r="AJ11" s="581"/>
      <c r="AK11" s="581"/>
      <c r="AL11" s="581"/>
      <c r="AM11" s="581">
        <f t="shared" si="10"/>
        <v>0</v>
      </c>
      <c r="AN11" s="581">
        <f t="shared" si="11"/>
        <v>0</v>
      </c>
      <c r="AO11" s="581"/>
      <c r="AP11" s="581">
        <f t="shared" si="12"/>
        <v>0</v>
      </c>
      <c r="AQ11" s="581"/>
      <c r="AR11" s="581"/>
      <c r="AS11" s="581"/>
      <c r="AT11" s="581"/>
    </row>
    <row r="12" spans="1:46" ht="45" customHeight="1">
      <c r="A12" s="582">
        <f t="shared" si="13"/>
        <v>7</v>
      </c>
      <c r="B12" s="582">
        <v>2082</v>
      </c>
      <c r="C12" s="582" t="s">
        <v>372</v>
      </c>
      <c r="D12" s="581">
        <v>1000000</v>
      </c>
      <c r="E12" s="581">
        <v>1000000</v>
      </c>
      <c r="F12" s="581">
        <f t="shared" si="0"/>
        <v>0</v>
      </c>
      <c r="G12" s="581">
        <v>100000</v>
      </c>
      <c r="H12" s="581">
        <v>27574</v>
      </c>
      <c r="I12" s="581">
        <v>0</v>
      </c>
      <c r="J12" s="581">
        <v>22561</v>
      </c>
      <c r="K12" s="581">
        <f t="shared" si="1"/>
        <v>22561</v>
      </c>
      <c r="L12" s="581">
        <f t="shared" si="2"/>
        <v>50135</v>
      </c>
      <c r="M12" s="581">
        <f t="shared" si="3"/>
        <v>49865</v>
      </c>
      <c r="N12" s="581">
        <f>900000-450000-150000-150000</f>
        <v>150000</v>
      </c>
      <c r="O12" s="581">
        <f t="shared" si="4"/>
        <v>750000</v>
      </c>
      <c r="P12" s="581">
        <f t="shared" si="5"/>
        <v>49865</v>
      </c>
      <c r="Q12" s="581"/>
      <c r="R12" s="581"/>
      <c r="S12" s="581">
        <f t="shared" si="6"/>
        <v>0</v>
      </c>
      <c r="T12" s="581">
        <f t="shared" si="7"/>
        <v>0</v>
      </c>
      <c r="U12" s="581">
        <f t="shared" si="8"/>
        <v>150000</v>
      </c>
      <c r="V12" s="581"/>
      <c r="W12" s="581">
        <f t="shared" si="9"/>
        <v>150000</v>
      </c>
      <c r="X12" s="581"/>
      <c r="Y12" s="581"/>
      <c r="Z12" s="581"/>
      <c r="AA12" s="582"/>
      <c r="AB12" s="582" t="s">
        <v>450</v>
      </c>
      <c r="AC12" s="582">
        <v>760000</v>
      </c>
      <c r="AD12" s="581">
        <v>100000</v>
      </c>
      <c r="AE12" s="581"/>
      <c r="AF12" s="581"/>
      <c r="AG12" s="581"/>
      <c r="AH12" s="581"/>
      <c r="AI12" s="581"/>
      <c r="AJ12" s="581"/>
      <c r="AK12" s="581"/>
      <c r="AL12" s="581"/>
      <c r="AM12" s="581">
        <f t="shared" si="10"/>
        <v>100000</v>
      </c>
      <c r="AN12" s="581">
        <f t="shared" si="11"/>
        <v>50000</v>
      </c>
      <c r="AO12" s="581"/>
      <c r="AP12" s="581">
        <f t="shared" si="12"/>
        <v>100000</v>
      </c>
      <c r="AQ12" s="581"/>
      <c r="AR12" s="581"/>
      <c r="AS12" s="581"/>
      <c r="AT12" s="581"/>
    </row>
    <row r="13" spans="1:46" ht="45" customHeight="1">
      <c r="A13" s="582">
        <f t="shared" si="13"/>
        <v>8</v>
      </c>
      <c r="B13" s="582">
        <v>2083</v>
      </c>
      <c r="C13" s="582" t="s">
        <v>390</v>
      </c>
      <c r="D13" s="581">
        <v>5580000</v>
      </c>
      <c r="E13" s="581">
        <v>5580000</v>
      </c>
      <c r="F13" s="581">
        <f t="shared" si="0"/>
        <v>0</v>
      </c>
      <c r="G13" s="581">
        <v>5580000</v>
      </c>
      <c r="H13" s="581">
        <v>2975445</v>
      </c>
      <c r="I13" s="581">
        <v>0</v>
      </c>
      <c r="J13" s="581">
        <v>0</v>
      </c>
      <c r="K13" s="581">
        <f t="shared" si="1"/>
        <v>0</v>
      </c>
      <c r="L13" s="581">
        <f t="shared" si="2"/>
        <v>2975445</v>
      </c>
      <c r="M13" s="581">
        <f t="shared" si="3"/>
        <v>2604555</v>
      </c>
      <c r="N13" s="581">
        <v>0</v>
      </c>
      <c r="O13" s="581">
        <f t="shared" si="4"/>
        <v>0</v>
      </c>
      <c r="P13" s="581">
        <f t="shared" si="5"/>
        <v>2604555</v>
      </c>
      <c r="Q13" s="581"/>
      <c r="R13" s="581"/>
      <c r="S13" s="581">
        <f t="shared" si="6"/>
        <v>0</v>
      </c>
      <c r="T13" s="581">
        <f t="shared" si="7"/>
        <v>0</v>
      </c>
      <c r="U13" s="581">
        <f t="shared" si="8"/>
        <v>0</v>
      </c>
      <c r="V13" s="581"/>
      <c r="W13" s="581">
        <f t="shared" si="9"/>
        <v>0</v>
      </c>
      <c r="X13" s="581"/>
      <c r="Y13" s="581"/>
      <c r="Z13" s="581"/>
      <c r="AA13" s="582"/>
      <c r="AB13" s="582" t="s">
        <v>887</v>
      </c>
      <c r="AC13" s="582">
        <v>810000</v>
      </c>
      <c r="AD13" s="581"/>
      <c r="AE13" s="581"/>
      <c r="AF13" s="581"/>
      <c r="AG13" s="581"/>
      <c r="AH13" s="581"/>
      <c r="AI13" s="581"/>
      <c r="AJ13" s="581"/>
      <c r="AK13" s="581"/>
      <c r="AL13" s="581"/>
      <c r="AM13" s="581">
        <f t="shared" si="10"/>
        <v>0</v>
      </c>
      <c r="AN13" s="581">
        <f t="shared" si="11"/>
        <v>0</v>
      </c>
      <c r="AO13" s="581"/>
      <c r="AP13" s="581">
        <f t="shared" si="12"/>
        <v>0</v>
      </c>
      <c r="AQ13" s="581"/>
      <c r="AR13" s="581"/>
      <c r="AS13" s="581"/>
      <c r="AT13" s="581"/>
    </row>
    <row r="14" spans="1:46" ht="45" customHeight="1">
      <c r="A14" s="582">
        <f t="shared" si="13"/>
        <v>9</v>
      </c>
      <c r="B14" s="350">
        <v>2170</v>
      </c>
      <c r="C14" s="3" t="s">
        <v>564</v>
      </c>
      <c r="D14" s="4">
        <v>280000</v>
      </c>
      <c r="E14" s="4">
        <v>200000</v>
      </c>
      <c r="F14" s="581">
        <f t="shared" si="0"/>
        <v>80000</v>
      </c>
      <c r="G14" s="4">
        <v>80000</v>
      </c>
      <c r="H14" s="4">
        <v>57330</v>
      </c>
      <c r="I14" s="4">
        <v>0</v>
      </c>
      <c r="J14" s="4">
        <v>0</v>
      </c>
      <c r="K14" s="581">
        <f t="shared" si="1"/>
        <v>0</v>
      </c>
      <c r="L14" s="581">
        <f t="shared" si="2"/>
        <v>57330</v>
      </c>
      <c r="M14" s="581">
        <f t="shared" si="3"/>
        <v>22670</v>
      </c>
      <c r="N14" s="581">
        <f>150000-50000+50000</f>
        <v>150000</v>
      </c>
      <c r="O14" s="581">
        <f t="shared" si="4"/>
        <v>50000</v>
      </c>
      <c r="P14" s="581">
        <f t="shared" si="5"/>
        <v>22670</v>
      </c>
      <c r="Q14" s="581"/>
      <c r="R14" s="581"/>
      <c r="S14" s="581">
        <f t="shared" si="6"/>
        <v>0</v>
      </c>
      <c r="T14" s="581">
        <f t="shared" si="7"/>
        <v>0</v>
      </c>
      <c r="U14" s="581">
        <f t="shared" si="8"/>
        <v>150000</v>
      </c>
      <c r="V14" s="581"/>
      <c r="W14" s="581">
        <f t="shared" si="9"/>
        <v>150000</v>
      </c>
      <c r="X14" s="581"/>
      <c r="Y14" s="581"/>
      <c r="Z14" s="581"/>
      <c r="AA14" s="582"/>
      <c r="AB14" s="3" t="s">
        <v>670</v>
      </c>
      <c r="AC14" s="582">
        <v>760000</v>
      </c>
      <c r="AD14" s="581">
        <v>80000</v>
      </c>
      <c r="AE14" s="581"/>
      <c r="AF14" s="581"/>
      <c r="AG14" s="581"/>
      <c r="AH14" s="581"/>
      <c r="AI14" s="581"/>
      <c r="AJ14" s="581"/>
      <c r="AK14" s="581"/>
      <c r="AL14" s="581"/>
      <c r="AM14" s="581">
        <f t="shared" si="10"/>
        <v>80000</v>
      </c>
      <c r="AN14" s="581">
        <f t="shared" si="11"/>
        <v>70000</v>
      </c>
      <c r="AO14" s="581"/>
      <c r="AP14" s="581">
        <f t="shared" si="12"/>
        <v>80000</v>
      </c>
      <c r="AQ14" s="581"/>
      <c r="AR14" s="581"/>
      <c r="AS14" s="581"/>
      <c r="AT14" s="581"/>
    </row>
    <row r="15" spans="1:46" ht="45" customHeight="1">
      <c r="A15" s="582">
        <f t="shared" si="13"/>
        <v>10</v>
      </c>
      <c r="B15" s="350">
        <v>2188</v>
      </c>
      <c r="C15" s="3" t="s">
        <v>671</v>
      </c>
      <c r="D15" s="4">
        <v>2500000</v>
      </c>
      <c r="E15" s="4">
        <v>2000000</v>
      </c>
      <c r="F15" s="581">
        <f t="shared" si="0"/>
        <v>500000</v>
      </c>
      <c r="G15" s="4">
        <v>1000000</v>
      </c>
      <c r="H15" s="4"/>
      <c r="I15" s="4"/>
      <c r="J15" s="4"/>
      <c r="K15" s="581">
        <f t="shared" si="1"/>
        <v>0</v>
      </c>
      <c r="L15" s="581">
        <f t="shared" si="2"/>
        <v>0</v>
      </c>
      <c r="M15" s="581">
        <f t="shared" si="3"/>
        <v>2000000</v>
      </c>
      <c r="N15" s="581">
        <v>500000</v>
      </c>
      <c r="O15" s="581">
        <f t="shared" si="4"/>
        <v>0</v>
      </c>
      <c r="P15" s="581">
        <f t="shared" si="5"/>
        <v>1000000</v>
      </c>
      <c r="Q15" s="581"/>
      <c r="R15" s="581">
        <v>1000000</v>
      </c>
      <c r="S15" s="581">
        <f t="shared" si="6"/>
        <v>1000000</v>
      </c>
      <c r="T15" s="581">
        <f t="shared" si="7"/>
        <v>0</v>
      </c>
      <c r="U15" s="581">
        <f t="shared" si="8"/>
        <v>500000</v>
      </c>
      <c r="V15" s="581"/>
      <c r="W15" s="581">
        <f t="shared" si="9"/>
        <v>0</v>
      </c>
      <c r="X15" s="581"/>
      <c r="Y15" s="581"/>
      <c r="Z15" s="581"/>
      <c r="AA15" s="581">
        <v>500000</v>
      </c>
      <c r="AB15" s="3" t="s">
        <v>851</v>
      </c>
      <c r="AC15" s="582">
        <v>810000</v>
      </c>
      <c r="AD15" s="581">
        <v>500000</v>
      </c>
      <c r="AE15" s="581"/>
      <c r="AF15" s="581"/>
      <c r="AG15" s="581"/>
      <c r="AH15" s="581"/>
      <c r="AI15" s="581"/>
      <c r="AJ15" s="581"/>
      <c r="AK15" s="581"/>
      <c r="AL15" s="581"/>
      <c r="AM15" s="581">
        <f t="shared" si="10"/>
        <v>500000</v>
      </c>
      <c r="AN15" s="581">
        <f t="shared" si="11"/>
        <v>0</v>
      </c>
      <c r="AO15" s="581"/>
      <c r="AP15" s="581">
        <f t="shared" si="12"/>
        <v>0</v>
      </c>
      <c r="AQ15" s="581"/>
      <c r="AR15" s="581"/>
      <c r="AS15" s="581"/>
      <c r="AT15" s="581">
        <v>500000</v>
      </c>
    </row>
    <row r="16" spans="1:46" ht="45" customHeight="1">
      <c r="A16" s="302">
        <f>A15</f>
        <v>10</v>
      </c>
      <c r="B16" s="715"/>
      <c r="C16" s="583" t="s">
        <v>409</v>
      </c>
      <c r="D16" s="65">
        <f>SUM(D6:D15)</f>
        <v>66970000</v>
      </c>
      <c r="E16" s="65">
        <f t="shared" ref="E16:AT16" si="14">SUM(E6:E15)</f>
        <v>51790000</v>
      </c>
      <c r="F16" s="65">
        <f t="shared" si="14"/>
        <v>15180000</v>
      </c>
      <c r="G16" s="65">
        <f t="shared" si="14"/>
        <v>31233000</v>
      </c>
      <c r="H16" s="65">
        <f t="shared" si="14"/>
        <v>20522166</v>
      </c>
      <c r="I16" s="65">
        <f t="shared" si="14"/>
        <v>136200</v>
      </c>
      <c r="J16" s="65">
        <f t="shared" si="14"/>
        <v>5920976</v>
      </c>
      <c r="K16" s="65">
        <f t="shared" si="14"/>
        <v>6057176</v>
      </c>
      <c r="L16" s="65">
        <f t="shared" si="14"/>
        <v>26579342</v>
      </c>
      <c r="M16" s="65">
        <f t="shared" si="14"/>
        <v>5653658</v>
      </c>
      <c r="N16" s="65">
        <f t="shared" si="14"/>
        <v>8450000</v>
      </c>
      <c r="O16" s="65">
        <f t="shared" si="14"/>
        <v>26287000</v>
      </c>
      <c r="P16" s="65">
        <f t="shared" si="14"/>
        <v>4653658</v>
      </c>
      <c r="Q16" s="65">
        <f t="shared" si="14"/>
        <v>0</v>
      </c>
      <c r="R16" s="65">
        <f t="shared" si="14"/>
        <v>1000000</v>
      </c>
      <c r="S16" s="65">
        <f t="shared" si="14"/>
        <v>1000000</v>
      </c>
      <c r="T16" s="65">
        <f t="shared" si="14"/>
        <v>0</v>
      </c>
      <c r="U16" s="65">
        <f t="shared" si="14"/>
        <v>8450000</v>
      </c>
      <c r="V16" s="65">
        <f t="shared" si="14"/>
        <v>5450000</v>
      </c>
      <c r="W16" s="65">
        <f t="shared" si="14"/>
        <v>2500000</v>
      </c>
      <c r="X16" s="65">
        <f t="shared" si="14"/>
        <v>0</v>
      </c>
      <c r="Y16" s="65">
        <f t="shared" si="14"/>
        <v>0</v>
      </c>
      <c r="Z16" s="65">
        <f t="shared" si="14"/>
        <v>0</v>
      </c>
      <c r="AA16" s="65">
        <f t="shared" si="14"/>
        <v>500000</v>
      </c>
      <c r="AB16" s="65">
        <f t="shared" si="14"/>
        <v>0</v>
      </c>
      <c r="AC16" s="65">
        <f t="shared" si="14"/>
        <v>7562000</v>
      </c>
      <c r="AD16" s="65">
        <f t="shared" si="14"/>
        <v>6555000</v>
      </c>
      <c r="AE16" s="65">
        <f t="shared" si="14"/>
        <v>0</v>
      </c>
      <c r="AF16" s="65">
        <f t="shared" si="14"/>
        <v>200000</v>
      </c>
      <c r="AG16" s="65">
        <f t="shared" si="14"/>
        <v>0</v>
      </c>
      <c r="AH16" s="65">
        <f t="shared" si="14"/>
        <v>1575000</v>
      </c>
      <c r="AI16" s="65">
        <f t="shared" si="14"/>
        <v>0</v>
      </c>
      <c r="AJ16" s="65">
        <f t="shared" si="14"/>
        <v>0</v>
      </c>
      <c r="AK16" s="65">
        <f t="shared" si="14"/>
        <v>0</v>
      </c>
      <c r="AL16" s="65">
        <f t="shared" si="14"/>
        <v>0</v>
      </c>
      <c r="AM16" s="65">
        <f t="shared" si="14"/>
        <v>8330000</v>
      </c>
      <c r="AN16" s="65">
        <f t="shared" si="14"/>
        <v>120000</v>
      </c>
      <c r="AO16" s="65">
        <f t="shared" si="14"/>
        <v>5450000</v>
      </c>
      <c r="AP16" s="65">
        <f t="shared" si="14"/>
        <v>2380000</v>
      </c>
      <c r="AQ16" s="65">
        <f t="shared" si="14"/>
        <v>0</v>
      </c>
      <c r="AR16" s="65">
        <f t="shared" si="14"/>
        <v>0</v>
      </c>
      <c r="AS16" s="65">
        <f t="shared" si="14"/>
        <v>0</v>
      </c>
      <c r="AT16" s="65">
        <f t="shared" si="14"/>
        <v>500000</v>
      </c>
    </row>
    <row r="17" spans="1:41" ht="14.25" hidden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M17" s="584"/>
      <c r="N17" s="584"/>
      <c r="O17" s="584"/>
      <c r="P17" s="584"/>
      <c r="Q17" s="584"/>
      <c r="R17" s="584"/>
      <c r="S17" s="584"/>
      <c r="T17" s="584"/>
      <c r="U17" s="584"/>
      <c r="V17" s="584"/>
      <c r="W17" s="584"/>
      <c r="X17" s="584"/>
      <c r="Y17" s="584"/>
      <c r="Z17" s="584"/>
      <c r="AA17" s="584"/>
      <c r="AB17" s="584"/>
      <c r="AC17" s="584"/>
      <c r="AD17" s="584"/>
      <c r="AE17" s="584"/>
      <c r="AF17" s="584"/>
      <c r="AG17" s="584"/>
      <c r="AH17" s="584"/>
      <c r="AI17" s="584"/>
      <c r="AJ17" s="584"/>
      <c r="AK17" s="584"/>
      <c r="AL17" s="584"/>
      <c r="AM17" s="584"/>
      <c r="AN17" s="584"/>
      <c r="AO17" s="584"/>
    </row>
    <row r="18" spans="1:41" ht="15" hidden="1">
      <c r="A18" s="585"/>
      <c r="B18" s="586"/>
      <c r="C18" s="586"/>
      <c r="D18" s="587"/>
      <c r="E18" s="587"/>
      <c r="F18" s="587"/>
      <c r="G18" s="587"/>
      <c r="H18" s="587"/>
      <c r="I18" s="587"/>
      <c r="J18" s="587"/>
      <c r="K18" s="587"/>
      <c r="L18" s="587">
        <f>K16+H16</f>
        <v>26579342</v>
      </c>
      <c r="M18" s="587">
        <f>P18+S16-T16</f>
        <v>5653658</v>
      </c>
      <c r="N18" s="587"/>
      <c r="O18" s="587"/>
      <c r="P18" s="587">
        <f>G16-L16</f>
        <v>4653658</v>
      </c>
      <c r="Q18" s="587"/>
      <c r="R18" s="587"/>
      <c r="S18" s="587"/>
      <c r="T18" s="587"/>
      <c r="U18" s="586"/>
      <c r="V18" s="586"/>
      <c r="W18" s="586"/>
      <c r="X18" s="586"/>
      <c r="Y18" s="586"/>
      <c r="Z18" s="586"/>
      <c r="AA18" s="586"/>
      <c r="AB18" s="585"/>
      <c r="AC18" s="586"/>
      <c r="AD18" s="584"/>
      <c r="AE18" s="584"/>
      <c r="AF18" s="584"/>
      <c r="AG18" s="584"/>
      <c r="AH18" s="584"/>
      <c r="AI18" s="584"/>
      <c r="AJ18" s="584"/>
      <c r="AK18" s="584"/>
      <c r="AL18" s="584"/>
      <c r="AM18" s="584"/>
      <c r="AN18" s="584"/>
      <c r="AO18" s="584"/>
    </row>
    <row r="19" spans="1:41" ht="15" hidden="1">
      <c r="A19" s="585"/>
      <c r="B19" s="586"/>
      <c r="C19" s="586"/>
      <c r="D19" s="587"/>
      <c r="E19" s="587"/>
      <c r="F19" s="587"/>
      <c r="G19" s="587"/>
      <c r="H19" s="587"/>
      <c r="I19" s="587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6"/>
      <c r="V19" s="586"/>
      <c r="W19" s="586"/>
      <c r="X19" s="586"/>
      <c r="Y19" s="586"/>
      <c r="Z19" s="586"/>
      <c r="AA19" s="586"/>
      <c r="AB19" s="585"/>
      <c r="AC19" s="586"/>
      <c r="AD19" s="584"/>
      <c r="AE19" s="584"/>
      <c r="AF19" s="584"/>
      <c r="AG19" s="584"/>
      <c r="AH19" s="584"/>
      <c r="AI19" s="584"/>
      <c r="AJ19" s="584"/>
      <c r="AK19" s="584"/>
      <c r="AL19" s="584"/>
      <c r="AM19" s="584"/>
      <c r="AN19" s="584"/>
      <c r="AO19" s="584"/>
    </row>
    <row r="20" spans="1:41" ht="15">
      <c r="A20" s="585"/>
      <c r="B20" s="586"/>
      <c r="C20" s="586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6"/>
      <c r="V20" s="586"/>
      <c r="W20" s="586"/>
      <c r="X20" s="586"/>
      <c r="Y20" s="586"/>
      <c r="Z20" s="586"/>
      <c r="AA20" s="586"/>
      <c r="AB20" s="585"/>
      <c r="AC20" s="586"/>
      <c r="AD20" s="584"/>
      <c r="AE20" s="584"/>
      <c r="AF20" s="584"/>
      <c r="AG20" s="584"/>
      <c r="AH20" s="584"/>
      <c r="AI20" s="584"/>
      <c r="AJ20" s="584"/>
      <c r="AK20" s="584"/>
      <c r="AL20" s="584"/>
      <c r="AM20" s="584"/>
      <c r="AN20" s="584"/>
      <c r="AO20" s="584"/>
    </row>
    <row r="21" spans="1:41" ht="15">
      <c r="A21" s="585"/>
      <c r="B21" s="586"/>
      <c r="C21" s="586"/>
      <c r="D21" s="587"/>
      <c r="E21" s="587"/>
      <c r="F21" s="587"/>
      <c r="G21" s="587"/>
      <c r="H21" s="587"/>
      <c r="I21" s="587"/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6"/>
      <c r="V21" s="586"/>
      <c r="W21" s="586"/>
      <c r="X21" s="586"/>
      <c r="Y21" s="586"/>
      <c r="Z21" s="586"/>
      <c r="AA21" s="586"/>
      <c r="AB21" s="585"/>
      <c r="AC21" s="586"/>
      <c r="AD21" s="584"/>
      <c r="AE21" s="584"/>
      <c r="AF21" s="584"/>
      <c r="AG21" s="584"/>
      <c r="AH21" s="584"/>
      <c r="AI21" s="584"/>
      <c r="AJ21" s="584"/>
      <c r="AK21" s="584"/>
      <c r="AL21" s="584"/>
      <c r="AM21" s="584"/>
      <c r="AN21" s="584"/>
      <c r="AO21" s="584"/>
    </row>
    <row r="22" spans="1:41" ht="15">
      <c r="A22" s="585"/>
      <c r="B22" s="586"/>
      <c r="C22" s="586"/>
      <c r="D22" s="587"/>
      <c r="E22" s="587"/>
      <c r="F22" s="587"/>
      <c r="G22" s="587"/>
      <c r="H22" s="587"/>
      <c r="I22" s="587"/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6"/>
      <c r="V22" s="586"/>
      <c r="W22" s="586"/>
      <c r="X22" s="586"/>
      <c r="Y22" s="586"/>
      <c r="Z22" s="586"/>
      <c r="AA22" s="586"/>
      <c r="AB22" s="585"/>
      <c r="AC22" s="586"/>
      <c r="AD22" s="584"/>
      <c r="AE22" s="584"/>
      <c r="AF22" s="584"/>
      <c r="AG22" s="584"/>
      <c r="AH22" s="584"/>
      <c r="AI22" s="584"/>
      <c r="AJ22" s="584"/>
      <c r="AK22" s="584"/>
      <c r="AL22" s="584"/>
      <c r="AM22" s="584"/>
      <c r="AN22" s="584"/>
      <c r="AO22" s="584"/>
    </row>
    <row r="23" spans="1:41" ht="15">
      <c r="A23" s="585"/>
      <c r="B23" s="586"/>
      <c r="C23" s="586"/>
      <c r="D23" s="587"/>
      <c r="E23" s="587"/>
      <c r="F23" s="587"/>
      <c r="G23" s="587"/>
      <c r="H23" s="587"/>
      <c r="I23" s="587"/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6"/>
      <c r="V23" s="586"/>
      <c r="W23" s="586"/>
      <c r="X23" s="586"/>
      <c r="Y23" s="586"/>
      <c r="Z23" s="586"/>
      <c r="AA23" s="586"/>
      <c r="AB23" s="585"/>
      <c r="AC23" s="586"/>
      <c r="AD23" s="584"/>
      <c r="AE23" s="584"/>
      <c r="AF23" s="584"/>
      <c r="AG23" s="584"/>
      <c r="AH23" s="584"/>
      <c r="AI23" s="584"/>
      <c r="AJ23" s="584"/>
      <c r="AK23" s="584"/>
      <c r="AL23" s="584"/>
      <c r="AM23" s="584"/>
      <c r="AN23" s="584"/>
      <c r="AO23" s="584"/>
    </row>
    <row r="24" spans="1:41" ht="15">
      <c r="A24" s="585"/>
      <c r="B24" s="586"/>
      <c r="C24" s="586"/>
      <c r="D24" s="587"/>
      <c r="E24" s="587"/>
      <c r="F24" s="587"/>
      <c r="G24" s="587"/>
      <c r="H24" s="587"/>
      <c r="I24" s="587"/>
      <c r="J24" s="587"/>
      <c r="K24" s="587"/>
      <c r="L24" s="587"/>
      <c r="M24" s="587"/>
      <c r="N24" s="587"/>
      <c r="O24" s="587"/>
      <c r="P24" s="587"/>
      <c r="Q24" s="587"/>
      <c r="R24" s="587"/>
      <c r="S24" s="587"/>
      <c r="T24" s="587"/>
      <c r="U24" s="586"/>
      <c r="V24" s="586"/>
      <c r="W24" s="586"/>
      <c r="X24" s="586"/>
      <c r="Y24" s="586"/>
      <c r="Z24" s="586"/>
      <c r="AA24" s="586"/>
      <c r="AB24" s="585"/>
      <c r="AC24" s="586"/>
      <c r="AD24" s="584"/>
      <c r="AE24" s="584"/>
      <c r="AF24" s="584"/>
      <c r="AG24" s="584"/>
      <c r="AH24" s="584"/>
      <c r="AI24" s="584"/>
      <c r="AJ24" s="584"/>
      <c r="AK24" s="584"/>
      <c r="AL24" s="584"/>
      <c r="AM24" s="584"/>
      <c r="AN24" s="584"/>
      <c r="AO24" s="584"/>
    </row>
    <row r="25" spans="1:41" ht="15">
      <c r="A25" s="585"/>
      <c r="B25" s="586"/>
      <c r="C25" s="586"/>
      <c r="D25" s="587"/>
      <c r="E25" s="587"/>
      <c r="F25" s="587"/>
      <c r="G25" s="587"/>
      <c r="H25" s="587"/>
      <c r="I25" s="587"/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6"/>
      <c r="V25" s="586"/>
      <c r="W25" s="586"/>
      <c r="X25" s="586"/>
      <c r="Y25" s="586"/>
      <c r="Z25" s="586"/>
      <c r="AA25" s="586"/>
      <c r="AB25" s="585"/>
      <c r="AC25" s="586"/>
      <c r="AD25" s="584"/>
      <c r="AE25" s="584"/>
      <c r="AF25" s="584"/>
      <c r="AG25" s="584"/>
      <c r="AH25" s="584"/>
      <c r="AI25" s="584"/>
      <c r="AJ25" s="584"/>
      <c r="AK25" s="584"/>
      <c r="AL25" s="584"/>
      <c r="AM25" s="584"/>
      <c r="AN25" s="584"/>
      <c r="AO25" s="584"/>
    </row>
    <row r="26" spans="1:41" ht="15">
      <c r="A26" s="585"/>
      <c r="B26" s="586"/>
      <c r="C26" s="586"/>
      <c r="D26" s="587"/>
      <c r="E26" s="587"/>
      <c r="F26" s="587"/>
      <c r="G26" s="587"/>
      <c r="H26" s="587"/>
      <c r="I26" s="587"/>
      <c r="J26" s="587"/>
      <c r="K26" s="587"/>
      <c r="L26" s="587"/>
      <c r="M26" s="587"/>
      <c r="N26" s="587"/>
      <c r="O26" s="587"/>
      <c r="P26" s="587"/>
      <c r="Q26" s="587"/>
      <c r="R26" s="587"/>
      <c r="S26" s="587"/>
      <c r="T26" s="587"/>
      <c r="U26" s="586"/>
      <c r="V26" s="586"/>
      <c r="W26" s="586"/>
      <c r="X26" s="586"/>
      <c r="Y26" s="586"/>
      <c r="Z26" s="586"/>
      <c r="AA26" s="586"/>
      <c r="AB26" s="585"/>
      <c r="AC26" s="586"/>
      <c r="AD26" s="584"/>
      <c r="AE26" s="584"/>
      <c r="AF26" s="584"/>
      <c r="AG26" s="584"/>
      <c r="AH26" s="584"/>
      <c r="AI26" s="584"/>
      <c r="AJ26" s="584"/>
      <c r="AK26" s="584"/>
      <c r="AL26" s="584"/>
      <c r="AM26" s="584"/>
      <c r="AN26" s="584"/>
      <c r="AO26" s="584"/>
    </row>
    <row r="27" spans="1:41" ht="15">
      <c r="A27" s="585"/>
      <c r="B27" s="586"/>
      <c r="C27" s="586"/>
      <c r="D27" s="587"/>
      <c r="E27" s="587"/>
      <c r="F27" s="587"/>
      <c r="G27" s="587"/>
      <c r="H27" s="587"/>
      <c r="I27" s="587"/>
      <c r="J27" s="587"/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6"/>
      <c r="V27" s="586"/>
      <c r="W27" s="586"/>
      <c r="X27" s="586"/>
      <c r="Y27" s="586"/>
      <c r="Z27" s="586"/>
      <c r="AA27" s="586"/>
      <c r="AB27" s="585"/>
      <c r="AC27" s="586"/>
      <c r="AD27" s="584"/>
      <c r="AE27" s="584"/>
      <c r="AF27" s="584"/>
      <c r="AG27" s="584"/>
      <c r="AH27" s="584"/>
      <c r="AI27" s="584"/>
      <c r="AJ27" s="584"/>
      <c r="AK27" s="584"/>
      <c r="AL27" s="584"/>
      <c r="AM27" s="584"/>
      <c r="AN27" s="584"/>
      <c r="AO27" s="584"/>
    </row>
    <row r="28" spans="1:41" ht="15">
      <c r="A28" s="585"/>
      <c r="B28" s="586"/>
      <c r="C28" s="586"/>
      <c r="D28" s="587"/>
      <c r="E28" s="587"/>
      <c r="F28" s="587"/>
      <c r="G28" s="587"/>
      <c r="H28" s="587"/>
      <c r="I28" s="587"/>
      <c r="J28" s="587"/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6"/>
      <c r="V28" s="586"/>
      <c r="W28" s="586"/>
      <c r="X28" s="586"/>
      <c r="Y28" s="586"/>
      <c r="Z28" s="586"/>
      <c r="AA28" s="586"/>
      <c r="AB28" s="585"/>
      <c r="AC28" s="586"/>
      <c r="AD28" s="584"/>
      <c r="AE28" s="584"/>
      <c r="AF28" s="584"/>
      <c r="AG28" s="584"/>
      <c r="AH28" s="584"/>
      <c r="AI28" s="584"/>
      <c r="AJ28" s="584"/>
      <c r="AK28" s="584"/>
      <c r="AL28" s="584"/>
      <c r="AM28" s="584"/>
      <c r="AN28" s="584"/>
      <c r="AO28" s="584"/>
    </row>
    <row r="29" spans="1:41" ht="15">
      <c r="A29" s="585"/>
      <c r="B29" s="586"/>
      <c r="C29" s="586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6"/>
      <c r="V29" s="586"/>
      <c r="W29" s="586"/>
      <c r="X29" s="586"/>
      <c r="Y29" s="586"/>
      <c r="Z29" s="586"/>
      <c r="AA29" s="586"/>
      <c r="AB29" s="585"/>
      <c r="AC29" s="586"/>
      <c r="AD29" s="584"/>
      <c r="AE29" s="584"/>
      <c r="AF29" s="584"/>
      <c r="AG29" s="584"/>
      <c r="AH29" s="584"/>
      <c r="AI29" s="584"/>
      <c r="AJ29" s="584"/>
      <c r="AK29" s="584"/>
      <c r="AL29" s="584"/>
      <c r="AM29" s="584"/>
      <c r="AN29" s="584"/>
      <c r="AO29" s="584"/>
    </row>
    <row r="30" spans="1:41" ht="15">
      <c r="A30" s="585"/>
      <c r="B30" s="586"/>
      <c r="C30" s="586"/>
      <c r="D30" s="587"/>
      <c r="E30" s="587"/>
      <c r="F30" s="587"/>
      <c r="G30" s="587"/>
      <c r="H30" s="587"/>
      <c r="I30" s="587"/>
      <c r="J30" s="587"/>
      <c r="K30" s="587"/>
      <c r="L30" s="587"/>
      <c r="M30" s="587"/>
      <c r="N30" s="587"/>
      <c r="O30" s="587"/>
      <c r="P30" s="587"/>
      <c r="Q30" s="587"/>
      <c r="R30" s="587"/>
      <c r="S30" s="587"/>
      <c r="T30" s="587"/>
      <c r="U30" s="586"/>
      <c r="V30" s="586"/>
      <c r="W30" s="586"/>
      <c r="X30" s="586"/>
      <c r="Y30" s="586"/>
      <c r="Z30" s="586"/>
      <c r="AA30" s="586"/>
      <c r="AB30" s="585"/>
      <c r="AC30" s="586"/>
      <c r="AD30" s="584"/>
      <c r="AE30" s="584"/>
      <c r="AF30" s="584"/>
      <c r="AG30" s="584"/>
      <c r="AH30" s="584"/>
      <c r="AI30" s="584"/>
      <c r="AJ30" s="584"/>
      <c r="AK30" s="584"/>
      <c r="AL30" s="584"/>
      <c r="AM30" s="584"/>
      <c r="AN30" s="584"/>
      <c r="AO30" s="584"/>
    </row>
    <row r="31" spans="1:41" ht="15">
      <c r="A31" s="585"/>
      <c r="B31" s="586"/>
      <c r="C31" s="586"/>
      <c r="D31" s="587"/>
      <c r="E31" s="587"/>
      <c r="F31" s="587"/>
      <c r="G31" s="587"/>
      <c r="H31" s="587"/>
      <c r="I31" s="587"/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6"/>
      <c r="V31" s="586"/>
      <c r="W31" s="586"/>
      <c r="X31" s="586"/>
      <c r="Y31" s="586"/>
      <c r="Z31" s="586"/>
      <c r="AA31" s="586"/>
      <c r="AB31" s="585"/>
      <c r="AC31" s="586"/>
      <c r="AD31" s="584"/>
      <c r="AE31" s="584"/>
      <c r="AF31" s="584"/>
      <c r="AG31" s="584"/>
      <c r="AH31" s="584"/>
      <c r="AI31" s="584"/>
      <c r="AJ31" s="584"/>
      <c r="AK31" s="584"/>
      <c r="AL31" s="584"/>
      <c r="AM31" s="584"/>
      <c r="AN31" s="584"/>
      <c r="AO31" s="584"/>
    </row>
    <row r="32" spans="1:41" ht="15">
      <c r="A32" s="585"/>
      <c r="B32" s="586"/>
      <c r="C32" s="586"/>
      <c r="D32" s="587"/>
      <c r="E32" s="587"/>
      <c r="F32" s="587"/>
      <c r="G32" s="587"/>
      <c r="H32" s="587"/>
      <c r="I32" s="587"/>
      <c r="J32" s="587"/>
      <c r="K32" s="587"/>
      <c r="L32" s="587"/>
      <c r="M32" s="587"/>
      <c r="N32" s="587"/>
      <c r="O32" s="587"/>
      <c r="P32" s="587"/>
      <c r="Q32" s="587"/>
      <c r="R32" s="587"/>
      <c r="S32" s="587"/>
      <c r="T32" s="587"/>
      <c r="U32" s="586"/>
      <c r="V32" s="586"/>
      <c r="W32" s="586"/>
      <c r="X32" s="586"/>
      <c r="Y32" s="586"/>
      <c r="Z32" s="586"/>
      <c r="AA32" s="586"/>
      <c r="AB32" s="585"/>
      <c r="AC32" s="586"/>
      <c r="AD32" s="584"/>
      <c r="AE32" s="584"/>
      <c r="AF32" s="584"/>
      <c r="AG32" s="584"/>
      <c r="AH32" s="584"/>
      <c r="AI32" s="584"/>
      <c r="AJ32" s="584"/>
      <c r="AK32" s="584"/>
      <c r="AL32" s="584"/>
      <c r="AM32" s="584"/>
      <c r="AN32" s="584"/>
      <c r="AO32" s="584"/>
    </row>
    <row r="33" spans="1:41" ht="15">
      <c r="A33" s="585"/>
      <c r="B33" s="586"/>
      <c r="C33" s="586"/>
      <c r="D33" s="587"/>
      <c r="E33" s="587"/>
      <c r="F33" s="587"/>
      <c r="G33" s="587"/>
      <c r="H33" s="587"/>
      <c r="I33" s="587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6"/>
      <c r="V33" s="586"/>
      <c r="W33" s="586"/>
      <c r="X33" s="586"/>
      <c r="Y33" s="586"/>
      <c r="Z33" s="586"/>
      <c r="AA33" s="586"/>
      <c r="AB33" s="585"/>
      <c r="AC33" s="586"/>
      <c r="AD33" s="584"/>
      <c r="AE33" s="584"/>
      <c r="AF33" s="584"/>
      <c r="AG33" s="584"/>
      <c r="AH33" s="584"/>
      <c r="AI33" s="584"/>
      <c r="AJ33" s="584"/>
      <c r="AK33" s="584"/>
      <c r="AL33" s="584"/>
      <c r="AM33" s="584"/>
      <c r="AN33" s="584"/>
      <c r="AO33" s="584"/>
    </row>
    <row r="34" spans="1:41" ht="15">
      <c r="A34" s="585"/>
      <c r="B34" s="586"/>
      <c r="C34" s="586"/>
      <c r="D34" s="587"/>
      <c r="E34" s="587"/>
      <c r="F34" s="587"/>
      <c r="G34" s="587"/>
      <c r="H34" s="587"/>
      <c r="I34" s="587"/>
      <c r="J34" s="587"/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6"/>
      <c r="V34" s="586"/>
      <c r="W34" s="586"/>
      <c r="X34" s="586"/>
      <c r="Y34" s="586"/>
      <c r="Z34" s="586"/>
      <c r="AA34" s="586"/>
      <c r="AB34" s="585"/>
      <c r="AC34" s="586"/>
      <c r="AD34" s="584"/>
      <c r="AE34" s="584"/>
      <c r="AF34" s="584"/>
      <c r="AG34" s="584"/>
      <c r="AH34" s="584"/>
      <c r="AI34" s="584"/>
      <c r="AJ34" s="584"/>
      <c r="AK34" s="584"/>
      <c r="AL34" s="584"/>
      <c r="AM34" s="584"/>
      <c r="AN34" s="584"/>
      <c r="AO34" s="584"/>
    </row>
    <row r="35" spans="1:41" ht="15">
      <c r="A35" s="585"/>
      <c r="B35" s="586"/>
      <c r="C35" s="586"/>
      <c r="D35" s="587"/>
      <c r="E35" s="587"/>
      <c r="F35" s="587"/>
      <c r="G35" s="587"/>
      <c r="H35" s="587"/>
      <c r="I35" s="587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6"/>
      <c r="V35" s="586"/>
      <c r="W35" s="586"/>
      <c r="X35" s="586"/>
      <c r="Y35" s="586"/>
      <c r="Z35" s="586"/>
      <c r="AA35" s="586"/>
      <c r="AB35" s="585"/>
      <c r="AC35" s="586"/>
      <c r="AD35" s="584"/>
      <c r="AE35" s="584"/>
      <c r="AF35" s="584"/>
      <c r="AG35" s="584"/>
      <c r="AH35" s="584"/>
      <c r="AI35" s="584"/>
      <c r="AJ35" s="584"/>
      <c r="AK35" s="584"/>
      <c r="AL35" s="584"/>
      <c r="AM35" s="584"/>
      <c r="AN35" s="584"/>
      <c r="AO35" s="584"/>
    </row>
    <row r="36" spans="1:41" ht="15">
      <c r="A36" s="585"/>
      <c r="B36" s="586"/>
      <c r="C36" s="586"/>
      <c r="D36" s="587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6"/>
      <c r="V36" s="586"/>
      <c r="W36" s="586"/>
      <c r="X36" s="586"/>
      <c r="Y36" s="586"/>
      <c r="Z36" s="586"/>
      <c r="AA36" s="586"/>
      <c r="AB36" s="585"/>
      <c r="AC36" s="586"/>
      <c r="AD36" s="584"/>
      <c r="AE36" s="584"/>
      <c r="AF36" s="584"/>
      <c r="AG36" s="584"/>
      <c r="AH36" s="584"/>
      <c r="AI36" s="584"/>
      <c r="AJ36" s="584"/>
      <c r="AK36" s="584"/>
      <c r="AL36" s="584"/>
      <c r="AM36" s="584"/>
      <c r="AN36" s="584"/>
      <c r="AO36" s="584"/>
    </row>
    <row r="37" spans="1:41" ht="15">
      <c r="A37" s="585"/>
      <c r="B37" s="586"/>
      <c r="C37" s="586"/>
      <c r="D37" s="587"/>
      <c r="E37" s="587"/>
      <c r="F37" s="587"/>
      <c r="G37" s="587"/>
      <c r="H37" s="587"/>
      <c r="I37" s="587"/>
      <c r="J37" s="587"/>
      <c r="K37" s="587"/>
      <c r="L37" s="587"/>
      <c r="M37" s="587"/>
      <c r="N37" s="587"/>
      <c r="O37" s="587"/>
      <c r="P37" s="587"/>
      <c r="Q37" s="587"/>
      <c r="R37" s="587"/>
      <c r="S37" s="587"/>
      <c r="T37" s="587"/>
      <c r="U37" s="586"/>
      <c r="V37" s="586"/>
      <c r="W37" s="586"/>
      <c r="X37" s="586"/>
      <c r="Y37" s="586"/>
      <c r="Z37" s="586"/>
      <c r="AA37" s="586"/>
      <c r="AB37" s="585"/>
      <c r="AC37" s="586"/>
      <c r="AD37" s="584"/>
      <c r="AE37" s="584"/>
      <c r="AF37" s="584"/>
      <c r="AG37" s="584"/>
      <c r="AH37" s="584"/>
      <c r="AI37" s="584"/>
      <c r="AJ37" s="584"/>
      <c r="AK37" s="584"/>
      <c r="AL37" s="584"/>
      <c r="AM37" s="584"/>
      <c r="AN37" s="584"/>
      <c r="AO37" s="584"/>
    </row>
    <row r="38" spans="1:41" ht="15">
      <c r="A38" s="585"/>
      <c r="B38" s="586"/>
      <c r="C38" s="586"/>
      <c r="D38" s="587"/>
      <c r="E38" s="587"/>
      <c r="F38" s="587"/>
      <c r="G38" s="587"/>
      <c r="H38" s="587"/>
      <c r="I38" s="587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7"/>
      <c r="U38" s="586"/>
      <c r="V38" s="586"/>
      <c r="W38" s="586"/>
      <c r="X38" s="586"/>
      <c r="Y38" s="586"/>
      <c r="Z38" s="586"/>
      <c r="AA38" s="586"/>
      <c r="AB38" s="585"/>
      <c r="AC38" s="586"/>
      <c r="AD38" s="584"/>
      <c r="AE38" s="584"/>
      <c r="AF38" s="584"/>
      <c r="AG38" s="584"/>
      <c r="AH38" s="584"/>
      <c r="AI38" s="584"/>
      <c r="AJ38" s="584"/>
      <c r="AK38" s="584"/>
      <c r="AL38" s="584"/>
      <c r="AM38" s="584"/>
      <c r="AN38" s="584"/>
      <c r="AO38" s="584"/>
    </row>
    <row r="39" spans="1:41" ht="15">
      <c r="A39" s="585"/>
      <c r="B39" s="586"/>
      <c r="C39" s="586"/>
      <c r="D39" s="587"/>
      <c r="E39" s="587"/>
      <c r="F39" s="587"/>
      <c r="G39" s="587"/>
      <c r="H39" s="587"/>
      <c r="I39" s="587"/>
      <c r="J39" s="587"/>
      <c r="K39" s="587"/>
      <c r="L39" s="587"/>
      <c r="M39" s="587"/>
      <c r="N39" s="587"/>
      <c r="O39" s="587"/>
      <c r="P39" s="587"/>
      <c r="Q39" s="587"/>
      <c r="R39" s="587"/>
      <c r="S39" s="587"/>
      <c r="T39" s="587"/>
      <c r="U39" s="586"/>
      <c r="V39" s="586"/>
      <c r="W39" s="586"/>
      <c r="X39" s="586"/>
      <c r="Y39" s="586"/>
      <c r="Z39" s="586"/>
      <c r="AA39" s="586"/>
      <c r="AB39" s="585"/>
      <c r="AC39" s="586"/>
      <c r="AD39" s="584"/>
      <c r="AE39" s="584"/>
      <c r="AF39" s="584"/>
      <c r="AG39" s="584"/>
      <c r="AH39" s="584"/>
      <c r="AI39" s="584"/>
      <c r="AJ39" s="584"/>
      <c r="AK39" s="584"/>
      <c r="AL39" s="584"/>
      <c r="AM39" s="584"/>
      <c r="AN39" s="584"/>
      <c r="AO39" s="584"/>
    </row>
    <row r="40" spans="1:41" ht="15">
      <c r="A40" s="585"/>
      <c r="B40" s="586"/>
      <c r="C40" s="586"/>
      <c r="D40" s="587"/>
      <c r="E40" s="587"/>
      <c r="F40" s="587"/>
      <c r="G40" s="587"/>
      <c r="H40" s="587"/>
      <c r="I40" s="587"/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6"/>
      <c r="V40" s="586"/>
      <c r="W40" s="586"/>
      <c r="X40" s="586"/>
      <c r="Y40" s="586"/>
      <c r="Z40" s="586"/>
      <c r="AA40" s="586"/>
      <c r="AB40" s="585"/>
      <c r="AC40" s="586"/>
      <c r="AD40" s="584"/>
      <c r="AE40" s="584"/>
      <c r="AF40" s="584"/>
      <c r="AG40" s="584"/>
      <c r="AH40" s="584"/>
      <c r="AI40" s="584"/>
      <c r="AJ40" s="584"/>
      <c r="AK40" s="584"/>
      <c r="AL40" s="584"/>
      <c r="AM40" s="584"/>
      <c r="AN40" s="584"/>
      <c r="AO40" s="584"/>
    </row>
    <row r="41" spans="1:41" ht="15">
      <c r="A41" s="585"/>
      <c r="B41" s="586"/>
      <c r="C41" s="586"/>
      <c r="D41" s="587"/>
      <c r="E41" s="587"/>
      <c r="F41" s="587"/>
      <c r="G41" s="587"/>
      <c r="H41" s="587"/>
      <c r="I41" s="587"/>
      <c r="J41" s="587"/>
      <c r="K41" s="587"/>
      <c r="L41" s="587"/>
      <c r="M41" s="587"/>
      <c r="N41" s="587"/>
      <c r="O41" s="587"/>
      <c r="P41" s="587"/>
      <c r="Q41" s="587"/>
      <c r="R41" s="587"/>
      <c r="S41" s="587"/>
      <c r="T41" s="587"/>
      <c r="U41" s="586"/>
      <c r="V41" s="586"/>
      <c r="W41" s="586"/>
      <c r="X41" s="586"/>
      <c r="Y41" s="586"/>
      <c r="Z41" s="586"/>
      <c r="AA41" s="586"/>
      <c r="AB41" s="585"/>
      <c r="AC41" s="586"/>
      <c r="AD41" s="584"/>
      <c r="AE41" s="584"/>
      <c r="AF41" s="584"/>
      <c r="AG41" s="584"/>
      <c r="AH41" s="584"/>
      <c r="AI41" s="584"/>
      <c r="AJ41" s="584"/>
      <c r="AK41" s="584"/>
      <c r="AL41" s="584"/>
      <c r="AM41" s="584"/>
      <c r="AN41" s="584"/>
      <c r="AO41" s="584"/>
    </row>
    <row r="42" spans="1:41" ht="15">
      <c r="A42" s="585"/>
      <c r="B42" s="586"/>
      <c r="C42" s="586"/>
      <c r="D42" s="587"/>
      <c r="E42" s="587"/>
      <c r="F42" s="587"/>
      <c r="G42" s="587"/>
      <c r="H42" s="587"/>
      <c r="I42" s="587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6"/>
      <c r="V42" s="586"/>
      <c r="W42" s="586"/>
      <c r="X42" s="586"/>
      <c r="Y42" s="586"/>
      <c r="Z42" s="586"/>
      <c r="AA42" s="586"/>
      <c r="AB42" s="585"/>
      <c r="AC42" s="586"/>
      <c r="AD42" s="584"/>
      <c r="AE42" s="584"/>
      <c r="AF42" s="584"/>
      <c r="AG42" s="584"/>
      <c r="AH42" s="584"/>
      <c r="AI42" s="584"/>
      <c r="AJ42" s="584"/>
      <c r="AK42" s="584"/>
      <c r="AL42" s="584"/>
      <c r="AM42" s="584"/>
      <c r="AN42" s="584"/>
      <c r="AO42" s="584"/>
    </row>
    <row r="43" spans="1:41" ht="15">
      <c r="A43" s="585"/>
      <c r="B43" s="586"/>
      <c r="C43" s="586"/>
      <c r="D43" s="587"/>
      <c r="E43" s="587"/>
      <c r="F43" s="587"/>
      <c r="G43" s="587"/>
      <c r="H43" s="587"/>
      <c r="I43" s="587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586"/>
      <c r="V43" s="586"/>
      <c r="W43" s="586"/>
      <c r="X43" s="586"/>
      <c r="Y43" s="586"/>
      <c r="Z43" s="586"/>
      <c r="AA43" s="586"/>
      <c r="AB43" s="585"/>
      <c r="AC43" s="586"/>
      <c r="AD43" s="584"/>
      <c r="AE43" s="584"/>
      <c r="AF43" s="584"/>
      <c r="AG43" s="584"/>
      <c r="AH43" s="584"/>
      <c r="AI43" s="584"/>
      <c r="AJ43" s="584"/>
      <c r="AK43" s="584"/>
      <c r="AL43" s="584"/>
      <c r="AM43" s="584"/>
      <c r="AN43" s="584"/>
      <c r="AO43" s="584"/>
    </row>
    <row r="44" spans="1:41" ht="15">
      <c r="A44" s="585"/>
      <c r="B44" s="586"/>
      <c r="C44" s="586"/>
      <c r="D44" s="587"/>
      <c r="E44" s="587"/>
      <c r="F44" s="587"/>
      <c r="G44" s="587"/>
      <c r="H44" s="587"/>
      <c r="I44" s="587"/>
      <c r="J44" s="587"/>
      <c r="K44" s="587"/>
      <c r="L44" s="587"/>
      <c r="M44" s="587"/>
      <c r="N44" s="587"/>
      <c r="O44" s="587"/>
      <c r="P44" s="587"/>
      <c r="Q44" s="587"/>
      <c r="R44" s="587"/>
      <c r="S44" s="587"/>
      <c r="T44" s="587"/>
      <c r="U44" s="586"/>
      <c r="V44" s="586"/>
      <c r="W44" s="586"/>
      <c r="X44" s="586"/>
      <c r="Y44" s="586"/>
      <c r="Z44" s="586"/>
      <c r="AA44" s="586"/>
      <c r="AB44" s="585"/>
      <c r="AC44" s="586"/>
      <c r="AD44" s="584"/>
      <c r="AE44" s="584"/>
      <c r="AF44" s="584"/>
      <c r="AG44" s="584"/>
      <c r="AH44" s="584"/>
      <c r="AI44" s="584"/>
      <c r="AJ44" s="584"/>
      <c r="AK44" s="584"/>
      <c r="AL44" s="584"/>
      <c r="AM44" s="584"/>
      <c r="AN44" s="584"/>
      <c r="AO44" s="584"/>
    </row>
    <row r="45" spans="1:41" ht="15">
      <c r="A45" s="585"/>
      <c r="B45" s="586"/>
      <c r="C45" s="586"/>
      <c r="D45" s="587"/>
      <c r="E45" s="587"/>
      <c r="F45" s="587"/>
      <c r="G45" s="587"/>
      <c r="H45" s="587"/>
      <c r="I45" s="587"/>
      <c r="J45" s="587"/>
      <c r="K45" s="587"/>
      <c r="L45" s="587"/>
      <c r="M45" s="587"/>
      <c r="N45" s="587"/>
      <c r="O45" s="587"/>
      <c r="P45" s="587"/>
      <c r="Q45" s="587"/>
      <c r="R45" s="587"/>
      <c r="S45" s="587"/>
      <c r="T45" s="587"/>
      <c r="U45" s="586"/>
      <c r="V45" s="586"/>
      <c r="W45" s="586"/>
      <c r="X45" s="586"/>
      <c r="Y45" s="586"/>
      <c r="Z45" s="586"/>
      <c r="AA45" s="586"/>
      <c r="AB45" s="585"/>
      <c r="AC45" s="586"/>
      <c r="AD45" s="584"/>
      <c r="AE45" s="584"/>
      <c r="AF45" s="584"/>
      <c r="AG45" s="584"/>
      <c r="AH45" s="584"/>
      <c r="AI45" s="584"/>
      <c r="AJ45" s="584"/>
      <c r="AK45" s="584"/>
      <c r="AL45" s="584"/>
      <c r="AM45" s="584"/>
      <c r="AN45" s="584"/>
      <c r="AO45" s="584"/>
    </row>
    <row r="46" spans="1:41" ht="15">
      <c r="A46" s="585"/>
      <c r="B46" s="586"/>
      <c r="C46" s="586"/>
      <c r="D46" s="587"/>
      <c r="E46" s="587"/>
      <c r="F46" s="587"/>
      <c r="G46" s="587"/>
      <c r="H46" s="587"/>
      <c r="I46" s="587"/>
      <c r="J46" s="587"/>
      <c r="K46" s="587"/>
      <c r="L46" s="587"/>
      <c r="M46" s="587"/>
      <c r="N46" s="587"/>
      <c r="O46" s="587"/>
      <c r="P46" s="587"/>
      <c r="Q46" s="587"/>
      <c r="R46" s="587"/>
      <c r="S46" s="587"/>
      <c r="T46" s="587"/>
      <c r="U46" s="586"/>
      <c r="V46" s="586"/>
      <c r="W46" s="586"/>
      <c r="X46" s="586"/>
      <c r="Y46" s="586"/>
      <c r="Z46" s="586"/>
      <c r="AA46" s="586"/>
      <c r="AB46" s="585"/>
      <c r="AC46" s="586"/>
      <c r="AD46" s="584"/>
      <c r="AE46" s="584"/>
      <c r="AF46" s="584"/>
      <c r="AG46" s="584"/>
      <c r="AH46" s="584"/>
      <c r="AI46" s="584"/>
      <c r="AJ46" s="584"/>
      <c r="AK46" s="584"/>
      <c r="AL46" s="584"/>
      <c r="AM46" s="584"/>
      <c r="AN46" s="584"/>
      <c r="AO46" s="584"/>
    </row>
    <row r="47" spans="1:41" ht="15">
      <c r="A47" s="585"/>
      <c r="B47" s="586"/>
      <c r="C47" s="586"/>
      <c r="D47" s="587"/>
      <c r="E47" s="587"/>
      <c r="F47" s="587"/>
      <c r="G47" s="587"/>
      <c r="H47" s="587"/>
      <c r="I47" s="587"/>
      <c r="J47" s="587"/>
      <c r="K47" s="587"/>
      <c r="L47" s="587"/>
      <c r="M47" s="587"/>
      <c r="N47" s="587"/>
      <c r="O47" s="587"/>
      <c r="P47" s="587"/>
      <c r="Q47" s="587"/>
      <c r="R47" s="587"/>
      <c r="S47" s="587"/>
      <c r="T47" s="587"/>
      <c r="U47" s="586"/>
      <c r="V47" s="586"/>
      <c r="W47" s="586"/>
      <c r="X47" s="586"/>
      <c r="Y47" s="586"/>
      <c r="Z47" s="586"/>
      <c r="AA47" s="586"/>
      <c r="AB47" s="585"/>
      <c r="AC47" s="586"/>
      <c r="AD47" s="584"/>
      <c r="AE47" s="584"/>
      <c r="AF47" s="584"/>
      <c r="AG47" s="584"/>
      <c r="AH47" s="584"/>
      <c r="AI47" s="584"/>
      <c r="AJ47" s="584"/>
      <c r="AK47" s="584"/>
      <c r="AL47" s="584"/>
      <c r="AM47" s="584"/>
      <c r="AN47" s="584"/>
      <c r="AO47" s="584"/>
    </row>
    <row r="48" spans="1:41" ht="15">
      <c r="A48" s="585"/>
      <c r="B48" s="586"/>
      <c r="C48" s="586"/>
      <c r="D48" s="587"/>
      <c r="E48" s="587"/>
      <c r="F48" s="587"/>
      <c r="G48" s="587"/>
      <c r="H48" s="587"/>
      <c r="I48" s="587"/>
      <c r="J48" s="587"/>
      <c r="K48" s="587"/>
      <c r="L48" s="587"/>
      <c r="M48" s="587"/>
      <c r="N48" s="587"/>
      <c r="O48" s="587"/>
      <c r="P48" s="587"/>
      <c r="Q48" s="587"/>
      <c r="R48" s="587"/>
      <c r="S48" s="587"/>
      <c r="T48" s="587"/>
      <c r="U48" s="586"/>
      <c r="V48" s="586"/>
      <c r="W48" s="586"/>
      <c r="X48" s="586"/>
      <c r="Y48" s="586"/>
      <c r="Z48" s="586"/>
      <c r="AA48" s="586"/>
      <c r="AB48" s="585"/>
      <c r="AC48" s="586"/>
      <c r="AD48" s="584"/>
      <c r="AE48" s="584"/>
      <c r="AF48" s="584"/>
      <c r="AG48" s="584"/>
      <c r="AH48" s="584"/>
      <c r="AI48" s="584"/>
      <c r="AJ48" s="584"/>
      <c r="AK48" s="584"/>
      <c r="AL48" s="584"/>
      <c r="AM48" s="584"/>
      <c r="AN48" s="584"/>
      <c r="AO48" s="584"/>
    </row>
    <row r="49" spans="1:41" ht="15">
      <c r="A49" s="585"/>
      <c r="B49" s="586"/>
      <c r="C49" s="586"/>
      <c r="D49" s="587"/>
      <c r="E49" s="587"/>
      <c r="F49" s="587"/>
      <c r="G49" s="587"/>
      <c r="H49" s="587"/>
      <c r="I49" s="587"/>
      <c r="J49" s="587"/>
      <c r="K49" s="587"/>
      <c r="L49" s="587"/>
      <c r="M49" s="587"/>
      <c r="N49" s="587"/>
      <c r="O49" s="587"/>
      <c r="P49" s="587"/>
      <c r="Q49" s="587"/>
      <c r="R49" s="587"/>
      <c r="S49" s="587"/>
      <c r="T49" s="587"/>
      <c r="U49" s="586"/>
      <c r="V49" s="586"/>
      <c r="W49" s="586"/>
      <c r="X49" s="586"/>
      <c r="Y49" s="586"/>
      <c r="Z49" s="586"/>
      <c r="AA49" s="586"/>
      <c r="AB49" s="585"/>
      <c r="AC49" s="586"/>
      <c r="AD49" s="584"/>
      <c r="AE49" s="584"/>
      <c r="AF49" s="584"/>
      <c r="AG49" s="584"/>
      <c r="AH49" s="584"/>
      <c r="AI49" s="584"/>
      <c r="AJ49" s="584"/>
      <c r="AK49" s="584"/>
      <c r="AL49" s="584"/>
      <c r="AM49" s="584"/>
      <c r="AN49" s="584"/>
      <c r="AO49" s="584"/>
    </row>
    <row r="50" spans="1:41" ht="15">
      <c r="A50" s="585"/>
      <c r="B50" s="586"/>
      <c r="C50" s="586"/>
      <c r="D50" s="587"/>
      <c r="E50" s="587"/>
      <c r="F50" s="587"/>
      <c r="G50" s="587"/>
      <c r="H50" s="587"/>
      <c r="I50" s="587"/>
      <c r="J50" s="587"/>
      <c r="K50" s="587"/>
      <c r="L50" s="587"/>
      <c r="M50" s="587"/>
      <c r="N50" s="587"/>
      <c r="O50" s="587"/>
      <c r="P50" s="587"/>
      <c r="Q50" s="587"/>
      <c r="R50" s="587"/>
      <c r="S50" s="587"/>
      <c r="T50" s="587"/>
      <c r="U50" s="586"/>
      <c r="V50" s="586"/>
      <c r="W50" s="586"/>
      <c r="X50" s="586"/>
      <c r="Y50" s="586"/>
      <c r="Z50" s="586"/>
      <c r="AA50" s="586"/>
      <c r="AB50" s="585"/>
      <c r="AC50" s="586"/>
      <c r="AD50" s="584"/>
      <c r="AE50" s="584"/>
      <c r="AF50" s="584"/>
      <c r="AG50" s="584"/>
      <c r="AH50" s="584"/>
      <c r="AI50" s="584"/>
      <c r="AJ50" s="584"/>
      <c r="AK50" s="584"/>
      <c r="AL50" s="584"/>
      <c r="AM50" s="584"/>
      <c r="AN50" s="584"/>
      <c r="AO50" s="584"/>
    </row>
    <row r="51" spans="1:41" ht="15">
      <c r="A51" s="585"/>
      <c r="B51" s="586"/>
      <c r="C51" s="586"/>
      <c r="D51" s="587"/>
      <c r="E51" s="587"/>
      <c r="F51" s="587"/>
      <c r="G51" s="587"/>
      <c r="H51" s="587"/>
      <c r="I51" s="587"/>
      <c r="J51" s="587"/>
      <c r="K51" s="587"/>
      <c r="L51" s="587"/>
      <c r="M51" s="587"/>
      <c r="N51" s="587"/>
      <c r="O51" s="587"/>
      <c r="P51" s="587"/>
      <c r="Q51" s="587"/>
      <c r="R51" s="587"/>
      <c r="S51" s="587"/>
      <c r="T51" s="587"/>
      <c r="U51" s="586"/>
      <c r="V51" s="586"/>
      <c r="W51" s="586"/>
      <c r="X51" s="586"/>
      <c r="Y51" s="586"/>
      <c r="Z51" s="586"/>
      <c r="AA51" s="586"/>
      <c r="AB51" s="585"/>
      <c r="AC51" s="586"/>
      <c r="AD51" s="584"/>
      <c r="AE51" s="584"/>
      <c r="AF51" s="584"/>
      <c r="AG51" s="584"/>
      <c r="AH51" s="584"/>
      <c r="AI51" s="584"/>
      <c r="AJ51" s="584"/>
      <c r="AK51" s="584"/>
      <c r="AL51" s="584"/>
      <c r="AM51" s="584"/>
      <c r="AN51" s="584"/>
      <c r="AO51" s="584"/>
    </row>
    <row r="52" spans="1:41" ht="15">
      <c r="A52" s="585"/>
      <c r="B52" s="586"/>
      <c r="C52" s="586"/>
      <c r="D52" s="587"/>
      <c r="E52" s="587"/>
      <c r="F52" s="587"/>
      <c r="G52" s="587"/>
      <c r="H52" s="587"/>
      <c r="I52" s="587"/>
      <c r="J52" s="587"/>
      <c r="K52" s="587"/>
      <c r="L52" s="587"/>
      <c r="M52" s="587"/>
      <c r="N52" s="587"/>
      <c r="O52" s="587"/>
      <c r="P52" s="587"/>
      <c r="Q52" s="587"/>
      <c r="R52" s="587"/>
      <c r="S52" s="587"/>
      <c r="T52" s="587"/>
      <c r="U52" s="586"/>
      <c r="V52" s="586"/>
      <c r="W52" s="586"/>
      <c r="X52" s="586"/>
      <c r="Y52" s="586"/>
      <c r="Z52" s="586"/>
      <c r="AA52" s="586"/>
      <c r="AB52" s="585"/>
      <c r="AC52" s="586"/>
      <c r="AD52" s="584"/>
      <c r="AE52" s="584"/>
      <c r="AF52" s="584"/>
      <c r="AG52" s="584"/>
      <c r="AH52" s="584"/>
      <c r="AI52" s="584"/>
      <c r="AJ52" s="584"/>
      <c r="AK52" s="584"/>
      <c r="AL52" s="584"/>
      <c r="AM52" s="584"/>
      <c r="AN52" s="584"/>
      <c r="AO52" s="584"/>
    </row>
    <row r="53" spans="1:41" ht="15">
      <c r="A53" s="585"/>
      <c r="B53" s="586"/>
      <c r="C53" s="586"/>
      <c r="D53" s="587"/>
      <c r="E53" s="587"/>
      <c r="F53" s="587"/>
      <c r="G53" s="587"/>
      <c r="H53" s="587"/>
      <c r="I53" s="587"/>
      <c r="J53" s="587"/>
      <c r="K53" s="587"/>
      <c r="L53" s="587"/>
      <c r="M53" s="587"/>
      <c r="N53" s="587"/>
      <c r="O53" s="587"/>
      <c r="P53" s="587"/>
      <c r="Q53" s="587"/>
      <c r="R53" s="587"/>
      <c r="S53" s="587"/>
      <c r="T53" s="587"/>
      <c r="U53" s="586"/>
      <c r="V53" s="586"/>
      <c r="W53" s="586"/>
      <c r="X53" s="586"/>
      <c r="Y53" s="586"/>
      <c r="Z53" s="586"/>
      <c r="AA53" s="586"/>
      <c r="AB53" s="585"/>
      <c r="AC53" s="586"/>
      <c r="AD53" s="584"/>
      <c r="AE53" s="584"/>
      <c r="AF53" s="584"/>
      <c r="AG53" s="584"/>
      <c r="AH53" s="584"/>
      <c r="AI53" s="584"/>
      <c r="AJ53" s="584"/>
      <c r="AK53" s="584"/>
      <c r="AL53" s="584"/>
      <c r="AM53" s="584"/>
      <c r="AN53" s="584"/>
      <c r="AO53" s="584"/>
    </row>
    <row r="54" spans="1:41" ht="15">
      <c r="A54" s="585"/>
      <c r="B54" s="586"/>
      <c r="C54" s="586"/>
      <c r="D54" s="587"/>
      <c r="E54" s="587"/>
      <c r="F54" s="587"/>
      <c r="G54" s="587"/>
      <c r="H54" s="587"/>
      <c r="I54" s="587"/>
      <c r="J54" s="587"/>
      <c r="K54" s="587"/>
      <c r="L54" s="587"/>
      <c r="M54" s="587"/>
      <c r="N54" s="587"/>
      <c r="O54" s="587"/>
      <c r="P54" s="587"/>
      <c r="Q54" s="587"/>
      <c r="R54" s="587"/>
      <c r="S54" s="587"/>
      <c r="T54" s="587"/>
      <c r="U54" s="586"/>
      <c r="V54" s="586"/>
      <c r="W54" s="586"/>
      <c r="X54" s="586"/>
      <c r="Y54" s="586"/>
      <c r="Z54" s="586"/>
      <c r="AA54" s="586"/>
      <c r="AB54" s="585"/>
      <c r="AC54" s="586"/>
      <c r="AD54" s="584"/>
      <c r="AE54" s="584"/>
      <c r="AF54" s="584"/>
      <c r="AG54" s="584"/>
      <c r="AH54" s="584"/>
      <c r="AI54" s="584"/>
      <c r="AJ54" s="584"/>
      <c r="AK54" s="584"/>
      <c r="AL54" s="584"/>
      <c r="AM54" s="584"/>
      <c r="AN54" s="584"/>
      <c r="AO54" s="584"/>
    </row>
    <row r="55" spans="1:41" ht="15">
      <c r="A55" s="585"/>
      <c r="B55" s="586"/>
      <c r="C55" s="586"/>
      <c r="D55" s="587"/>
      <c r="E55" s="587"/>
      <c r="F55" s="587"/>
      <c r="G55" s="587"/>
      <c r="H55" s="587"/>
      <c r="I55" s="587"/>
      <c r="J55" s="587"/>
      <c r="K55" s="587"/>
      <c r="L55" s="587"/>
      <c r="M55" s="587"/>
      <c r="N55" s="587"/>
      <c r="O55" s="587"/>
      <c r="P55" s="587"/>
      <c r="Q55" s="587"/>
      <c r="R55" s="587"/>
      <c r="S55" s="587"/>
      <c r="T55" s="587"/>
      <c r="U55" s="586"/>
      <c r="V55" s="586"/>
      <c r="W55" s="586"/>
      <c r="X55" s="586"/>
      <c r="Y55" s="586"/>
      <c r="Z55" s="586"/>
      <c r="AA55" s="586"/>
      <c r="AB55" s="585"/>
      <c r="AC55" s="586"/>
      <c r="AD55" s="584"/>
      <c r="AE55" s="584"/>
      <c r="AF55" s="584"/>
      <c r="AG55" s="584"/>
      <c r="AH55" s="584"/>
      <c r="AI55" s="584"/>
      <c r="AJ55" s="584"/>
      <c r="AK55" s="584"/>
      <c r="AL55" s="584"/>
      <c r="AM55" s="584"/>
      <c r="AN55" s="584"/>
      <c r="AO55" s="584"/>
    </row>
    <row r="56" spans="1:41" ht="15">
      <c r="A56" s="585"/>
      <c r="B56" s="586"/>
      <c r="C56" s="586"/>
      <c r="D56" s="587"/>
      <c r="E56" s="587"/>
      <c r="F56" s="587"/>
      <c r="G56" s="587"/>
      <c r="H56" s="587"/>
      <c r="I56" s="587"/>
      <c r="J56" s="587"/>
      <c r="K56" s="587"/>
      <c r="L56" s="587"/>
      <c r="M56" s="587"/>
      <c r="N56" s="587"/>
      <c r="O56" s="587"/>
      <c r="P56" s="587"/>
      <c r="Q56" s="587"/>
      <c r="R56" s="587"/>
      <c r="S56" s="587"/>
      <c r="T56" s="587"/>
      <c r="U56" s="586"/>
      <c r="V56" s="586"/>
      <c r="W56" s="586"/>
      <c r="X56" s="586"/>
      <c r="Y56" s="586"/>
      <c r="Z56" s="586"/>
      <c r="AA56" s="586"/>
      <c r="AB56" s="585"/>
      <c r="AC56" s="586"/>
      <c r="AD56" s="584"/>
      <c r="AE56" s="584"/>
      <c r="AF56" s="584"/>
      <c r="AG56" s="584"/>
      <c r="AH56" s="584"/>
      <c r="AI56" s="584"/>
      <c r="AJ56" s="584"/>
      <c r="AK56" s="584"/>
      <c r="AL56" s="584"/>
      <c r="AM56" s="584"/>
      <c r="AN56" s="584"/>
      <c r="AO56" s="584"/>
    </row>
    <row r="57" spans="1:41" ht="15">
      <c r="A57" s="585"/>
      <c r="B57" s="586"/>
      <c r="C57" s="586"/>
      <c r="D57" s="587"/>
      <c r="E57" s="587"/>
      <c r="F57" s="587"/>
      <c r="G57" s="587"/>
      <c r="H57" s="587"/>
      <c r="I57" s="587"/>
      <c r="J57" s="587"/>
      <c r="K57" s="587"/>
      <c r="L57" s="587"/>
      <c r="M57" s="587"/>
      <c r="N57" s="587"/>
      <c r="O57" s="587"/>
      <c r="P57" s="587"/>
      <c r="Q57" s="587"/>
      <c r="R57" s="587"/>
      <c r="S57" s="587"/>
      <c r="T57" s="587"/>
      <c r="U57" s="586"/>
      <c r="V57" s="586"/>
      <c r="W57" s="586"/>
      <c r="X57" s="586"/>
      <c r="Y57" s="586"/>
      <c r="Z57" s="586"/>
      <c r="AA57" s="586"/>
      <c r="AB57" s="585"/>
      <c r="AC57" s="586"/>
      <c r="AD57" s="584"/>
      <c r="AE57" s="584"/>
      <c r="AF57" s="584"/>
      <c r="AG57" s="584"/>
      <c r="AH57" s="584"/>
      <c r="AI57" s="584"/>
      <c r="AJ57" s="584"/>
      <c r="AK57" s="584"/>
      <c r="AL57" s="584"/>
      <c r="AM57" s="584"/>
      <c r="AN57" s="584"/>
      <c r="AO57" s="584"/>
    </row>
    <row r="58" spans="1:41" ht="15">
      <c r="A58" s="585"/>
      <c r="B58" s="586"/>
      <c r="C58" s="586"/>
      <c r="D58" s="587"/>
      <c r="E58" s="587"/>
      <c r="F58" s="587"/>
      <c r="G58" s="587"/>
      <c r="H58" s="587"/>
      <c r="I58" s="587"/>
      <c r="J58" s="587"/>
      <c r="K58" s="587"/>
      <c r="L58" s="587"/>
      <c r="M58" s="587"/>
      <c r="N58" s="587"/>
      <c r="O58" s="587"/>
      <c r="P58" s="587"/>
      <c r="Q58" s="587"/>
      <c r="R58" s="587"/>
      <c r="S58" s="587"/>
      <c r="T58" s="587"/>
      <c r="U58" s="586"/>
      <c r="V58" s="586"/>
      <c r="W58" s="586"/>
      <c r="X58" s="586"/>
      <c r="Y58" s="586"/>
      <c r="Z58" s="586"/>
      <c r="AA58" s="586"/>
      <c r="AB58" s="585"/>
      <c r="AC58" s="586"/>
      <c r="AD58" s="584"/>
      <c r="AE58" s="584"/>
      <c r="AF58" s="584"/>
      <c r="AG58" s="584"/>
      <c r="AH58" s="584"/>
      <c r="AI58" s="584"/>
      <c r="AJ58" s="584"/>
      <c r="AK58" s="584"/>
      <c r="AL58" s="584"/>
      <c r="AM58" s="584"/>
      <c r="AN58" s="584"/>
      <c r="AO58" s="584"/>
    </row>
    <row r="59" spans="1:41" ht="15">
      <c r="A59" s="585"/>
      <c r="B59" s="586"/>
      <c r="C59" s="586"/>
      <c r="D59" s="587"/>
      <c r="E59" s="587"/>
      <c r="F59" s="587"/>
      <c r="G59" s="587"/>
      <c r="H59" s="587"/>
      <c r="I59" s="587"/>
      <c r="J59" s="587"/>
      <c r="K59" s="587"/>
      <c r="L59" s="587"/>
      <c r="M59" s="587"/>
      <c r="N59" s="587"/>
      <c r="O59" s="587"/>
      <c r="P59" s="587"/>
      <c r="Q59" s="587"/>
      <c r="R59" s="587"/>
      <c r="S59" s="587"/>
      <c r="T59" s="587"/>
      <c r="U59" s="586"/>
      <c r="V59" s="586"/>
      <c r="W59" s="586"/>
      <c r="X59" s="586"/>
      <c r="Y59" s="586"/>
      <c r="Z59" s="586"/>
      <c r="AA59" s="586"/>
      <c r="AB59" s="585"/>
      <c r="AC59" s="586"/>
      <c r="AD59" s="584"/>
      <c r="AE59" s="584"/>
      <c r="AF59" s="584"/>
      <c r="AG59" s="584"/>
      <c r="AH59" s="584"/>
      <c r="AI59" s="584"/>
      <c r="AJ59" s="584"/>
      <c r="AK59" s="584"/>
      <c r="AL59" s="584"/>
      <c r="AM59" s="584"/>
      <c r="AN59" s="584"/>
      <c r="AO59" s="584"/>
    </row>
    <row r="60" spans="1:41" ht="15">
      <c r="A60" s="585"/>
      <c r="B60" s="586"/>
      <c r="C60" s="586"/>
      <c r="D60" s="587"/>
      <c r="E60" s="587"/>
      <c r="F60" s="587"/>
      <c r="G60" s="587"/>
      <c r="H60" s="587"/>
      <c r="I60" s="587"/>
      <c r="J60" s="587"/>
      <c r="K60" s="587"/>
      <c r="L60" s="587"/>
      <c r="M60" s="587"/>
      <c r="N60" s="587"/>
      <c r="O60" s="587"/>
      <c r="P60" s="587"/>
      <c r="Q60" s="587"/>
      <c r="R60" s="587"/>
      <c r="S60" s="587"/>
      <c r="T60" s="587"/>
      <c r="U60" s="586"/>
      <c r="V60" s="586"/>
      <c r="W60" s="586"/>
      <c r="X60" s="586"/>
      <c r="Y60" s="586"/>
      <c r="Z60" s="586"/>
      <c r="AA60" s="586"/>
      <c r="AB60" s="585"/>
      <c r="AC60" s="586"/>
      <c r="AD60" s="584"/>
      <c r="AE60" s="584"/>
      <c r="AF60" s="584"/>
      <c r="AG60" s="584"/>
      <c r="AH60" s="584"/>
      <c r="AI60" s="584"/>
      <c r="AJ60" s="584"/>
      <c r="AK60" s="584"/>
      <c r="AL60" s="584"/>
      <c r="AM60" s="584"/>
      <c r="AN60" s="584"/>
      <c r="AO60" s="584"/>
    </row>
    <row r="61" spans="1:41" ht="15">
      <c r="A61" s="585"/>
      <c r="B61" s="586"/>
      <c r="C61" s="586"/>
      <c r="D61" s="587"/>
      <c r="E61" s="587"/>
      <c r="F61" s="587"/>
      <c r="G61" s="587"/>
      <c r="H61" s="587"/>
      <c r="I61" s="587"/>
      <c r="J61" s="587"/>
      <c r="K61" s="587"/>
      <c r="L61" s="587"/>
      <c r="M61" s="587"/>
      <c r="N61" s="587"/>
      <c r="O61" s="587"/>
      <c r="P61" s="587"/>
      <c r="Q61" s="587"/>
      <c r="R61" s="587"/>
      <c r="S61" s="587"/>
      <c r="T61" s="587"/>
      <c r="U61" s="586"/>
      <c r="V61" s="586"/>
      <c r="W61" s="586"/>
      <c r="X61" s="586"/>
      <c r="Y61" s="586"/>
      <c r="Z61" s="586"/>
      <c r="AA61" s="586"/>
      <c r="AB61" s="585"/>
      <c r="AC61" s="586"/>
      <c r="AD61" s="584"/>
      <c r="AE61" s="584"/>
      <c r="AF61" s="584"/>
      <c r="AG61" s="584"/>
      <c r="AH61" s="584"/>
      <c r="AI61" s="584"/>
      <c r="AJ61" s="584"/>
      <c r="AK61" s="584"/>
      <c r="AL61" s="584"/>
      <c r="AM61" s="584"/>
      <c r="AN61" s="584"/>
      <c r="AO61" s="584"/>
    </row>
  </sheetData>
  <mergeCells count="4">
    <mergeCell ref="V4:AA4"/>
    <mergeCell ref="AC4:AM4"/>
    <mergeCell ref="AO4:AT4"/>
    <mergeCell ref="T4:U4"/>
  </mergeCells>
  <conditionalFormatting sqref="F6:F15">
    <cfRule type="cellIs" dxfId="37" priority="36" operator="equal">
      <formula>0</formula>
    </cfRule>
  </conditionalFormatting>
  <conditionalFormatting sqref="A7:E7 AB13:AC13 AB11:AC11 B8:E9 A17:K17 M17:X17 A18:X61 Z2:AA3 Z1:AB1 G7:J9 N7:N14 Q7:R14 V7:X14 S7:U15 F7:F15 K7:M15 O7:P15 Z7:AA14 A6:W6 AC1:AD3 A1:Y3 A8:A15 B16 Z17:AD61 B5:W5 AC7:AC10 Y5:Y14 X5:X6 A4:S4 Z5:AC6 AL17:AO61 AL1:AO3">
    <cfRule type="cellIs" dxfId="36" priority="35" operator="equal">
      <formula>0</formula>
    </cfRule>
  </conditionalFormatting>
  <conditionalFormatting sqref="AB9">
    <cfRule type="cellIs" dxfId="35" priority="32" operator="equal">
      <formula>0</formula>
    </cfRule>
  </conditionalFormatting>
  <conditionalFormatting sqref="AB7">
    <cfRule type="cellIs" dxfId="34" priority="34" operator="equal">
      <formula>0</formula>
    </cfRule>
  </conditionalFormatting>
  <conditionalFormatting sqref="AB8">
    <cfRule type="cellIs" dxfId="33" priority="33" operator="equal">
      <formula>0</formula>
    </cfRule>
  </conditionalFormatting>
  <conditionalFormatting sqref="B10:E10 G10:J10">
    <cfRule type="cellIs" dxfId="32" priority="31" operator="equal">
      <formula>0</formula>
    </cfRule>
  </conditionalFormatting>
  <conditionalFormatting sqref="AB10">
    <cfRule type="cellIs" dxfId="31" priority="30" operator="equal">
      <formula>0</formula>
    </cfRule>
  </conditionalFormatting>
  <conditionalFormatting sqref="B13:E13 B11:C11 G13:J13">
    <cfRule type="cellIs" dxfId="30" priority="29" operator="equal">
      <formula>0</formula>
    </cfRule>
  </conditionalFormatting>
  <conditionalFormatting sqref="B11 E11 G11:J11">
    <cfRule type="cellIs" dxfId="29" priority="28" operator="equal">
      <formula>0</formula>
    </cfRule>
  </conditionalFormatting>
  <conditionalFormatting sqref="C11">
    <cfRule type="cellIs" dxfId="28" priority="27" operator="equal">
      <formula>0</formula>
    </cfRule>
  </conditionalFormatting>
  <conditionalFormatting sqref="D11">
    <cfRule type="cellIs" dxfId="27" priority="26" operator="equal">
      <formula>0</formula>
    </cfRule>
  </conditionalFormatting>
  <conditionalFormatting sqref="AB12">
    <cfRule type="cellIs" dxfId="26" priority="25" operator="equal">
      <formula>0</formula>
    </cfRule>
  </conditionalFormatting>
  <conditionalFormatting sqref="B12:E12 G12:J12">
    <cfRule type="cellIs" dxfId="25" priority="24" operator="equal">
      <formula>0</formula>
    </cfRule>
  </conditionalFormatting>
  <conditionalFormatting sqref="AC12">
    <cfRule type="cellIs" dxfId="24" priority="23" operator="equal">
      <formula>0</formula>
    </cfRule>
  </conditionalFormatting>
  <conditionalFormatting sqref="AC14">
    <cfRule type="cellIs" dxfId="23" priority="22" operator="equal">
      <formula>0</formula>
    </cfRule>
  </conditionalFormatting>
  <conditionalFormatting sqref="AB2:AB3">
    <cfRule type="cellIs" dxfId="22" priority="21" operator="equal">
      <formula>0</formula>
    </cfRule>
  </conditionalFormatting>
  <conditionalFormatting sqref="N15 Z15:AA15 Q15:R15 V15:X15">
    <cfRule type="cellIs" dxfId="21" priority="20" operator="equal">
      <formula>0</formula>
    </cfRule>
  </conditionalFormatting>
  <conditionalFormatting sqref="AC15">
    <cfRule type="cellIs" dxfId="20" priority="19" operator="equal">
      <formula>0</formula>
    </cfRule>
  </conditionalFormatting>
  <conditionalFormatting sqref="Y17:Y61">
    <cfRule type="cellIs" dxfId="19" priority="18" operator="equal">
      <formula>0</formula>
    </cfRule>
  </conditionalFormatting>
  <conditionalFormatting sqref="Y15">
    <cfRule type="cellIs" dxfId="18" priority="17" operator="equal">
      <formula>0</formula>
    </cfRule>
  </conditionalFormatting>
  <conditionalFormatting sqref="AD6:AD15 AQ15:AS15 AL6:AT10 AQ11:AT14 AL11:AP15">
    <cfRule type="cellIs" dxfId="17" priority="16" operator="equal">
      <formula>0</formula>
    </cfRule>
  </conditionalFormatting>
  <conditionalFormatting sqref="AT15">
    <cfRule type="cellIs" dxfId="16" priority="15" operator="equal">
      <formula>0</formula>
    </cfRule>
  </conditionalFormatting>
  <conditionalFormatting sqref="AE17:AE61 AE1:AE3">
    <cfRule type="cellIs" dxfId="15" priority="14" operator="equal">
      <formula>0</formula>
    </cfRule>
  </conditionalFormatting>
  <conditionalFormatting sqref="AE6:AE15">
    <cfRule type="cellIs" dxfId="14" priority="13" operator="equal">
      <formula>0</formula>
    </cfRule>
  </conditionalFormatting>
  <conditionalFormatting sqref="AF17:AF61 AF1:AF3">
    <cfRule type="cellIs" dxfId="13" priority="12" operator="equal">
      <formula>0</formula>
    </cfRule>
  </conditionalFormatting>
  <conditionalFormatting sqref="AF6:AF15">
    <cfRule type="cellIs" dxfId="12" priority="11" operator="equal">
      <formula>0</formula>
    </cfRule>
  </conditionalFormatting>
  <conditionalFormatting sqref="AG17:AG61 AG1:AG3">
    <cfRule type="cellIs" dxfId="11" priority="10" operator="equal">
      <formula>0</formula>
    </cfRule>
  </conditionalFormatting>
  <conditionalFormatting sqref="AG6:AG15">
    <cfRule type="cellIs" dxfId="10" priority="9" operator="equal">
      <formula>0</formula>
    </cfRule>
  </conditionalFormatting>
  <conditionalFormatting sqref="AH17:AH61 AH1:AH3">
    <cfRule type="cellIs" dxfId="9" priority="8" operator="equal">
      <formula>0</formula>
    </cfRule>
  </conditionalFormatting>
  <conditionalFormatting sqref="AH6:AH15">
    <cfRule type="cellIs" dxfId="8" priority="7" operator="equal">
      <formula>0</formula>
    </cfRule>
  </conditionalFormatting>
  <conditionalFormatting sqref="AI17:AI61 AI1:AI3">
    <cfRule type="cellIs" dxfId="7" priority="6" operator="equal">
      <formula>0</formula>
    </cfRule>
  </conditionalFormatting>
  <conditionalFormatting sqref="AI6:AI15">
    <cfRule type="cellIs" dxfId="6" priority="5" operator="equal">
      <formula>0</formula>
    </cfRule>
  </conditionalFormatting>
  <conditionalFormatting sqref="AJ17:AJ61 AJ1:AJ3">
    <cfRule type="cellIs" dxfId="5" priority="4" operator="equal">
      <formula>0</formula>
    </cfRule>
  </conditionalFormatting>
  <conditionalFormatting sqref="AJ6:AJ15">
    <cfRule type="cellIs" dxfId="4" priority="3" operator="equal">
      <formula>0</formula>
    </cfRule>
  </conditionalFormatting>
  <conditionalFormatting sqref="AK17:AK61 AK1:AK3">
    <cfRule type="cellIs" dxfId="3" priority="2" operator="equal">
      <formula>0</formula>
    </cfRule>
  </conditionalFormatting>
  <conditionalFormatting sqref="AK6:AK15">
    <cfRule type="cellIs" dxfId="2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rowBreaks count="1" manualBreakCount="1">
    <brk id="17" max="16383" man="1"/>
  </rowBreaks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AT22"/>
  <sheetViews>
    <sheetView showZeros="0" rightToLeft="1" zoomScaleNormal="100" workbookViewId="0">
      <pane xSplit="3" ySplit="5" topLeftCell="V15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9.140625" defaultRowHeight="15"/>
  <cols>
    <col min="1" max="1" width="3.28515625" style="153" customWidth="1"/>
    <col min="2" max="2" width="4.7109375" style="152" customWidth="1"/>
    <col min="3" max="3" width="30.42578125" style="152" customWidth="1"/>
    <col min="4" max="5" width="10.7109375" style="156" hidden="1" customWidth="1"/>
    <col min="6" max="20" width="9.7109375" style="156" hidden="1" customWidth="1"/>
    <col min="21" max="23" width="12.140625" style="152" customWidth="1"/>
    <col min="24" max="26" width="10.140625" style="152" hidden="1" customWidth="1"/>
    <col min="27" max="27" width="12.140625" style="152" customWidth="1"/>
    <col min="28" max="28" width="32.7109375" style="152" hidden="1" customWidth="1"/>
    <col min="29" max="29" width="7.85546875" style="152" hidden="1" customWidth="1"/>
    <col min="30" max="38" width="11.7109375" style="152" hidden="1" customWidth="1"/>
    <col min="39" max="42" width="12.140625" style="152" customWidth="1"/>
    <col min="43" max="45" width="11.7109375" style="152" hidden="1" customWidth="1"/>
    <col min="46" max="46" width="12.140625" style="152" customWidth="1"/>
    <col min="47" max="16384" width="9.140625" style="152"/>
  </cols>
  <sheetData>
    <row r="1" spans="1:46" s="172" customFormat="1" ht="18.75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</row>
    <row r="2" spans="1:46" ht="18.75">
      <c r="A2" s="189" t="s">
        <v>2297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</row>
    <row r="3" spans="1:46" ht="18.75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</row>
    <row r="4" spans="1:46" ht="21" customHeight="1">
      <c r="A4" s="433"/>
      <c r="B4" s="333"/>
      <c r="C4" s="333"/>
      <c r="T4" s="876" t="s">
        <v>256</v>
      </c>
      <c r="U4" s="878"/>
      <c r="V4" s="880" t="s">
        <v>88</v>
      </c>
      <c r="W4" s="880"/>
      <c r="X4" s="880"/>
      <c r="Y4" s="880"/>
      <c r="Z4" s="880"/>
      <c r="AA4" s="880"/>
      <c r="AB4" s="18"/>
      <c r="AD4" s="876" t="s">
        <v>246</v>
      </c>
      <c r="AE4" s="877"/>
      <c r="AF4" s="877"/>
      <c r="AG4" s="877"/>
      <c r="AH4" s="877"/>
      <c r="AI4" s="877"/>
      <c r="AJ4" s="877"/>
      <c r="AK4" s="877"/>
      <c r="AL4" s="877"/>
      <c r="AM4" s="878"/>
      <c r="AN4" s="171"/>
      <c r="AO4" s="876" t="s">
        <v>2269</v>
      </c>
      <c r="AP4" s="877"/>
      <c r="AQ4" s="877"/>
      <c r="AR4" s="877"/>
      <c r="AS4" s="877"/>
      <c r="AT4" s="878"/>
    </row>
    <row r="5" spans="1:46" s="173" customFormat="1" ht="86.25" customHeight="1">
      <c r="A5" s="151" t="s">
        <v>0</v>
      </c>
      <c r="B5" s="151" t="s">
        <v>1</v>
      </c>
      <c r="C5" s="151" t="s">
        <v>2</v>
      </c>
      <c r="D5" s="151" t="s">
        <v>3</v>
      </c>
      <c r="E5" s="151" t="s">
        <v>4</v>
      </c>
      <c r="F5" s="151" t="s">
        <v>5</v>
      </c>
      <c r="G5" s="151" t="s">
        <v>6</v>
      </c>
      <c r="H5" s="151" t="s">
        <v>7</v>
      </c>
      <c r="I5" s="151" t="s">
        <v>9</v>
      </c>
      <c r="J5" s="151" t="s">
        <v>153</v>
      </c>
      <c r="K5" s="151" t="s">
        <v>10</v>
      </c>
      <c r="L5" s="151" t="s">
        <v>11</v>
      </c>
      <c r="M5" s="9" t="s">
        <v>618</v>
      </c>
      <c r="N5" s="9" t="s">
        <v>619</v>
      </c>
      <c r="O5" s="9" t="s">
        <v>620</v>
      </c>
      <c r="P5" s="9" t="s">
        <v>12</v>
      </c>
      <c r="Q5" s="9" t="s">
        <v>621</v>
      </c>
      <c r="R5" s="9" t="s">
        <v>622</v>
      </c>
      <c r="S5" s="9" t="s">
        <v>623</v>
      </c>
      <c r="T5" s="9" t="s">
        <v>624</v>
      </c>
      <c r="U5" s="9" t="s">
        <v>625</v>
      </c>
      <c r="V5" s="151" t="s">
        <v>13</v>
      </c>
      <c r="W5" s="151" t="s">
        <v>14</v>
      </c>
      <c r="X5" s="151" t="s">
        <v>15</v>
      </c>
      <c r="Y5" s="151" t="s">
        <v>265</v>
      </c>
      <c r="Z5" s="151" t="s">
        <v>749</v>
      </c>
      <c r="AA5" s="151" t="s">
        <v>84</v>
      </c>
      <c r="AB5" s="589" t="s">
        <v>304</v>
      </c>
      <c r="AC5" s="588" t="s">
        <v>16</v>
      </c>
      <c r="AD5" s="567" t="s">
        <v>1911</v>
      </c>
      <c r="AE5" s="567" t="s">
        <v>1912</v>
      </c>
      <c r="AF5" s="9" t="s">
        <v>247</v>
      </c>
      <c r="AG5" s="9" t="s">
        <v>248</v>
      </c>
      <c r="AH5" s="9" t="s">
        <v>1913</v>
      </c>
      <c r="AI5" s="9" t="s">
        <v>1914</v>
      </c>
      <c r="AJ5" s="9" t="s">
        <v>1915</v>
      </c>
      <c r="AK5" s="9" t="s">
        <v>1916</v>
      </c>
      <c r="AL5" s="9" t="s">
        <v>1917</v>
      </c>
      <c r="AM5" s="20" t="s">
        <v>2037</v>
      </c>
      <c r="AN5" s="20" t="s">
        <v>852</v>
      </c>
      <c r="AO5" s="567" t="s">
        <v>13</v>
      </c>
      <c r="AP5" s="567" t="s">
        <v>14</v>
      </c>
      <c r="AQ5" s="567" t="s">
        <v>15</v>
      </c>
      <c r="AR5" s="567" t="s">
        <v>265</v>
      </c>
      <c r="AS5" s="567" t="s">
        <v>749</v>
      </c>
      <c r="AT5" s="567" t="s">
        <v>84</v>
      </c>
    </row>
    <row r="6" spans="1:46" s="158" customFormat="1" ht="40.9" customHeight="1">
      <c r="A6" s="159">
        <v>1</v>
      </c>
      <c r="B6" s="160">
        <v>470</v>
      </c>
      <c r="C6" s="159" t="s">
        <v>65</v>
      </c>
      <c r="D6" s="140">
        <v>2130000</v>
      </c>
      <c r="E6" s="140">
        <v>2130000</v>
      </c>
      <c r="F6" s="140">
        <f t="shared" ref="F6:F18" si="0">D6-E6</f>
        <v>0</v>
      </c>
      <c r="G6" s="140">
        <v>1830000</v>
      </c>
      <c r="H6" s="140">
        <v>1737007</v>
      </c>
      <c r="I6" s="140">
        <v>0</v>
      </c>
      <c r="J6" s="140">
        <v>0</v>
      </c>
      <c r="K6" s="140">
        <f>SUM(I6:J6)</f>
        <v>0</v>
      </c>
      <c r="L6" s="140">
        <f t="shared" ref="L6:L20" si="1">H6+K6</f>
        <v>1737007</v>
      </c>
      <c r="M6" s="140">
        <f t="shared" ref="M6:M20" si="2">P6+S6</f>
        <v>92993</v>
      </c>
      <c r="N6" s="140"/>
      <c r="O6" s="140">
        <f t="shared" ref="O6:O20" si="3">D6-L6-M6-N6</f>
        <v>300000</v>
      </c>
      <c r="P6" s="140">
        <f t="shared" ref="P6:P20" si="4">G6-L6</f>
        <v>92993</v>
      </c>
      <c r="Q6" s="140"/>
      <c r="R6" s="140"/>
      <c r="S6" s="140">
        <f t="shared" ref="S6:S20" si="5">SUM(Q6:R6)</f>
        <v>0</v>
      </c>
      <c r="T6" s="140">
        <f t="shared" ref="T6:T20" si="6">P6-M6+S6</f>
        <v>0</v>
      </c>
      <c r="U6" s="140">
        <f t="shared" ref="U6:U20" si="7">N6-T6</f>
        <v>0</v>
      </c>
      <c r="V6" s="140">
        <f t="shared" ref="V6:V20" si="8">U6-W6-Z6-AA6</f>
        <v>0</v>
      </c>
      <c r="W6" s="140"/>
      <c r="X6" s="140"/>
      <c r="Y6" s="140"/>
      <c r="Z6" s="140"/>
      <c r="AA6" s="159"/>
      <c r="AB6" s="363" t="s">
        <v>376</v>
      </c>
      <c r="AC6" s="159">
        <v>935000</v>
      </c>
      <c r="AD6" s="140"/>
      <c r="AE6" s="140"/>
      <c r="AF6" s="140"/>
      <c r="AG6" s="140"/>
      <c r="AH6" s="140"/>
      <c r="AI6" s="140"/>
      <c r="AJ6" s="140"/>
      <c r="AK6" s="140"/>
      <c r="AL6" s="140"/>
      <c r="AM6" s="140">
        <f>SUM(AD6:AL6)</f>
        <v>0</v>
      </c>
      <c r="AN6" s="140">
        <f>U6-AM6</f>
        <v>0</v>
      </c>
      <c r="AO6" s="140">
        <f>AM6-AP6-AQ6-AR6-AS6-AT6</f>
        <v>0</v>
      </c>
      <c r="AP6" s="159"/>
      <c r="AQ6" s="159"/>
      <c r="AR6" s="159"/>
      <c r="AS6" s="159"/>
      <c r="AT6" s="159"/>
    </row>
    <row r="7" spans="1:46" s="158" customFormat="1" ht="40.9" customHeight="1">
      <c r="A7" s="159">
        <f>A6+1</f>
        <v>2</v>
      </c>
      <c r="B7" s="160">
        <v>1066</v>
      </c>
      <c r="C7" s="159" t="s">
        <v>66</v>
      </c>
      <c r="D7" s="140">
        <v>75000</v>
      </c>
      <c r="E7" s="140">
        <v>75000</v>
      </c>
      <c r="F7" s="140">
        <f t="shared" si="0"/>
        <v>0</v>
      </c>
      <c r="G7" s="140">
        <v>75000</v>
      </c>
      <c r="H7" s="140">
        <v>40172</v>
      </c>
      <c r="I7" s="140">
        <v>0</v>
      </c>
      <c r="J7" s="140">
        <v>0</v>
      </c>
      <c r="K7" s="140">
        <f t="shared" ref="K7:K20" si="9">SUM(I7:J7)</f>
        <v>0</v>
      </c>
      <c r="L7" s="140">
        <f t="shared" si="1"/>
        <v>40172</v>
      </c>
      <c r="M7" s="140">
        <f t="shared" si="2"/>
        <v>34828</v>
      </c>
      <c r="N7" s="140"/>
      <c r="O7" s="140">
        <f t="shared" si="3"/>
        <v>0</v>
      </c>
      <c r="P7" s="140">
        <f t="shared" si="4"/>
        <v>34828</v>
      </c>
      <c r="Q7" s="140"/>
      <c r="R7" s="140"/>
      <c r="S7" s="140">
        <f t="shared" si="5"/>
        <v>0</v>
      </c>
      <c r="T7" s="140">
        <f t="shared" si="6"/>
        <v>0</v>
      </c>
      <c r="U7" s="140">
        <f t="shared" si="7"/>
        <v>0</v>
      </c>
      <c r="V7" s="140">
        <f t="shared" si="8"/>
        <v>0</v>
      </c>
      <c r="W7" s="140"/>
      <c r="X7" s="140"/>
      <c r="Y7" s="140"/>
      <c r="Z7" s="140"/>
      <c r="AA7" s="159"/>
      <c r="AB7" s="364" t="s">
        <v>404</v>
      </c>
      <c r="AC7" s="159">
        <v>935000</v>
      </c>
      <c r="AD7" s="140"/>
      <c r="AE7" s="140"/>
      <c r="AF7" s="140"/>
      <c r="AG7" s="140"/>
      <c r="AH7" s="140"/>
      <c r="AI7" s="140"/>
      <c r="AJ7" s="140"/>
      <c r="AK7" s="140"/>
      <c r="AL7" s="140"/>
      <c r="AM7" s="140">
        <f t="shared" ref="AM7:AM20" si="10">SUM(AD7:AL7)</f>
        <v>0</v>
      </c>
      <c r="AN7" s="140">
        <f t="shared" ref="AN7:AN20" si="11">U7-AM7</f>
        <v>0</v>
      </c>
      <c r="AO7" s="140">
        <f t="shared" ref="AO7:AO20" si="12">AM7-AP7-AQ7-AR7-AS7-AT7</f>
        <v>0</v>
      </c>
      <c r="AP7" s="159"/>
      <c r="AQ7" s="159"/>
      <c r="AR7" s="159"/>
      <c r="AS7" s="159"/>
      <c r="AT7" s="159"/>
    </row>
    <row r="8" spans="1:46" s="158" customFormat="1" ht="40.9" customHeight="1">
      <c r="A8" s="159">
        <f t="shared" ref="A8:A20" si="13">A7+1</f>
        <v>3</v>
      </c>
      <c r="B8" s="160">
        <v>1177</v>
      </c>
      <c r="C8" s="159" t="s">
        <v>67</v>
      </c>
      <c r="D8" s="140">
        <v>41850000</v>
      </c>
      <c r="E8" s="140">
        <v>41850000</v>
      </c>
      <c r="F8" s="140">
        <f t="shared" si="0"/>
        <v>0</v>
      </c>
      <c r="G8" s="140">
        <v>28957000</v>
      </c>
      <c r="H8" s="140">
        <v>26727455</v>
      </c>
      <c r="I8" s="140">
        <v>0</v>
      </c>
      <c r="J8" s="140">
        <v>0</v>
      </c>
      <c r="K8" s="140">
        <f t="shared" si="9"/>
        <v>0</v>
      </c>
      <c r="L8" s="140">
        <f t="shared" si="1"/>
        <v>26727455</v>
      </c>
      <c r="M8" s="140">
        <f t="shared" si="2"/>
        <v>2229545</v>
      </c>
      <c r="N8" s="140"/>
      <c r="O8" s="140">
        <f t="shared" si="3"/>
        <v>12893000</v>
      </c>
      <c r="P8" s="140">
        <f t="shared" si="4"/>
        <v>2229545</v>
      </c>
      <c r="Q8" s="140"/>
      <c r="R8" s="140"/>
      <c r="S8" s="140">
        <f t="shared" si="5"/>
        <v>0</v>
      </c>
      <c r="T8" s="140">
        <f t="shared" si="6"/>
        <v>0</v>
      </c>
      <c r="U8" s="140">
        <f t="shared" si="7"/>
        <v>0</v>
      </c>
      <c r="V8" s="140">
        <f t="shared" si="8"/>
        <v>0</v>
      </c>
      <c r="W8" s="140"/>
      <c r="X8" s="140"/>
      <c r="Y8" s="140"/>
      <c r="Z8" s="140"/>
      <c r="AA8" s="159"/>
      <c r="AB8" s="364" t="s">
        <v>405</v>
      </c>
      <c r="AC8" s="159">
        <v>930000</v>
      </c>
      <c r="AD8" s="140"/>
      <c r="AE8" s="140"/>
      <c r="AF8" s="140"/>
      <c r="AG8" s="140"/>
      <c r="AH8" s="140"/>
      <c r="AI8" s="140"/>
      <c r="AJ8" s="140"/>
      <c r="AK8" s="140"/>
      <c r="AL8" s="140"/>
      <c r="AM8" s="140">
        <f t="shared" si="10"/>
        <v>0</v>
      </c>
      <c r="AN8" s="140">
        <f t="shared" si="11"/>
        <v>0</v>
      </c>
      <c r="AO8" s="140">
        <f t="shared" si="12"/>
        <v>0</v>
      </c>
      <c r="AP8" s="159"/>
      <c r="AQ8" s="159"/>
      <c r="AR8" s="159"/>
      <c r="AS8" s="159"/>
      <c r="AT8" s="159"/>
    </row>
    <row r="9" spans="1:46" s="158" customFormat="1" ht="40.9" customHeight="1">
      <c r="A9" s="159">
        <f t="shared" si="13"/>
        <v>4</v>
      </c>
      <c r="B9" s="160">
        <v>1258</v>
      </c>
      <c r="C9" s="159" t="s">
        <v>68</v>
      </c>
      <c r="D9" s="140">
        <v>1400000</v>
      </c>
      <c r="E9" s="140">
        <v>1400000</v>
      </c>
      <c r="F9" s="140">
        <f t="shared" si="0"/>
        <v>0</v>
      </c>
      <c r="G9" s="140">
        <v>950000</v>
      </c>
      <c r="H9" s="140">
        <v>887543</v>
      </c>
      <c r="I9" s="140">
        <v>0</v>
      </c>
      <c r="J9" s="140">
        <v>0</v>
      </c>
      <c r="K9" s="140">
        <f t="shared" si="9"/>
        <v>0</v>
      </c>
      <c r="L9" s="140">
        <f t="shared" si="1"/>
        <v>887543</v>
      </c>
      <c r="M9" s="140">
        <f t="shared" si="2"/>
        <v>62457</v>
      </c>
      <c r="N9" s="140"/>
      <c r="O9" s="140">
        <f t="shared" si="3"/>
        <v>450000</v>
      </c>
      <c r="P9" s="140">
        <f t="shared" si="4"/>
        <v>62457</v>
      </c>
      <c r="Q9" s="140"/>
      <c r="R9" s="140"/>
      <c r="S9" s="140">
        <f t="shared" si="5"/>
        <v>0</v>
      </c>
      <c r="T9" s="140">
        <f t="shared" si="6"/>
        <v>0</v>
      </c>
      <c r="U9" s="140">
        <f t="shared" si="7"/>
        <v>0</v>
      </c>
      <c r="V9" s="140">
        <f t="shared" si="8"/>
        <v>0</v>
      </c>
      <c r="W9" s="140"/>
      <c r="X9" s="140"/>
      <c r="Y9" s="140"/>
      <c r="Z9" s="140"/>
      <c r="AA9" s="159"/>
      <c r="AB9" s="365" t="s">
        <v>299</v>
      </c>
      <c r="AC9" s="159">
        <v>930000</v>
      </c>
      <c r="AD9" s="140"/>
      <c r="AE9" s="140"/>
      <c r="AF9" s="140"/>
      <c r="AG9" s="140"/>
      <c r="AH9" s="140"/>
      <c r="AI9" s="140"/>
      <c r="AJ9" s="140"/>
      <c r="AK9" s="140"/>
      <c r="AL9" s="140"/>
      <c r="AM9" s="140">
        <f t="shared" si="10"/>
        <v>0</v>
      </c>
      <c r="AN9" s="140">
        <f t="shared" si="11"/>
        <v>0</v>
      </c>
      <c r="AO9" s="140">
        <f t="shared" si="12"/>
        <v>0</v>
      </c>
      <c r="AP9" s="159"/>
      <c r="AQ9" s="159"/>
      <c r="AR9" s="159"/>
      <c r="AS9" s="159"/>
      <c r="AT9" s="159"/>
    </row>
    <row r="10" spans="1:46" s="158" customFormat="1" ht="40.9" customHeight="1">
      <c r="A10" s="159">
        <f t="shared" si="13"/>
        <v>5</v>
      </c>
      <c r="B10" s="160">
        <v>1330</v>
      </c>
      <c r="C10" s="159" t="s">
        <v>69</v>
      </c>
      <c r="D10" s="140">
        <v>60700000</v>
      </c>
      <c r="E10" s="140">
        <v>60700000</v>
      </c>
      <c r="F10" s="140">
        <f t="shared" si="0"/>
        <v>0</v>
      </c>
      <c r="G10" s="140">
        <v>17249825</v>
      </c>
      <c r="H10" s="140">
        <v>6557693</v>
      </c>
      <c r="I10" s="140">
        <v>0</v>
      </c>
      <c r="J10" s="140">
        <v>0</v>
      </c>
      <c r="K10" s="140">
        <f t="shared" si="9"/>
        <v>0</v>
      </c>
      <c r="L10" s="140">
        <f t="shared" si="1"/>
        <v>6557693</v>
      </c>
      <c r="M10" s="140">
        <f t="shared" si="2"/>
        <v>10692132</v>
      </c>
      <c r="N10" s="140"/>
      <c r="O10" s="140">
        <f t="shared" si="3"/>
        <v>43450175</v>
      </c>
      <c r="P10" s="140">
        <f t="shared" si="4"/>
        <v>10692132</v>
      </c>
      <c r="Q10" s="140"/>
      <c r="R10" s="140"/>
      <c r="S10" s="140">
        <f t="shared" si="5"/>
        <v>0</v>
      </c>
      <c r="T10" s="140">
        <f t="shared" si="6"/>
        <v>0</v>
      </c>
      <c r="U10" s="140">
        <f t="shared" si="7"/>
        <v>0</v>
      </c>
      <c r="V10" s="140">
        <f t="shared" si="8"/>
        <v>0</v>
      </c>
      <c r="W10" s="140"/>
      <c r="X10" s="140"/>
      <c r="Y10" s="140"/>
      <c r="Z10" s="140"/>
      <c r="AA10" s="159"/>
      <c r="AB10" s="364" t="s">
        <v>406</v>
      </c>
      <c r="AC10" s="159">
        <v>930000</v>
      </c>
      <c r="AD10" s="140"/>
      <c r="AE10" s="140"/>
      <c r="AF10" s="140"/>
      <c r="AG10" s="140"/>
      <c r="AH10" s="140"/>
      <c r="AI10" s="140"/>
      <c r="AJ10" s="140"/>
      <c r="AK10" s="140"/>
      <c r="AL10" s="140"/>
      <c r="AM10" s="140">
        <f t="shared" si="10"/>
        <v>0</v>
      </c>
      <c r="AN10" s="140">
        <f t="shared" si="11"/>
        <v>0</v>
      </c>
      <c r="AO10" s="140">
        <f t="shared" si="12"/>
        <v>0</v>
      </c>
      <c r="AP10" s="159"/>
      <c r="AQ10" s="159"/>
      <c r="AR10" s="159"/>
      <c r="AS10" s="159"/>
      <c r="AT10" s="159"/>
    </row>
    <row r="11" spans="1:46" s="158" customFormat="1" ht="40.9" customHeight="1">
      <c r="A11" s="159">
        <f t="shared" si="13"/>
        <v>6</v>
      </c>
      <c r="B11" s="160">
        <v>1369</v>
      </c>
      <c r="C11" s="159" t="s">
        <v>2298</v>
      </c>
      <c r="D11" s="140">
        <v>4000000</v>
      </c>
      <c r="E11" s="140">
        <v>4000000</v>
      </c>
      <c r="F11" s="140">
        <f t="shared" si="0"/>
        <v>0</v>
      </c>
      <c r="G11" s="140">
        <v>1670700</v>
      </c>
      <c r="H11" s="140">
        <v>1396855</v>
      </c>
      <c r="I11" s="140">
        <v>0</v>
      </c>
      <c r="J11" s="140">
        <v>0</v>
      </c>
      <c r="K11" s="140">
        <f t="shared" si="9"/>
        <v>0</v>
      </c>
      <c r="L11" s="140">
        <f t="shared" si="1"/>
        <v>1396855</v>
      </c>
      <c r="M11" s="140">
        <f t="shared" si="2"/>
        <v>273845</v>
      </c>
      <c r="N11" s="140"/>
      <c r="O11" s="140">
        <f t="shared" si="3"/>
        <v>2329300</v>
      </c>
      <c r="P11" s="140">
        <f t="shared" si="4"/>
        <v>273845</v>
      </c>
      <c r="Q11" s="140"/>
      <c r="R11" s="140"/>
      <c r="S11" s="140">
        <f t="shared" si="5"/>
        <v>0</v>
      </c>
      <c r="T11" s="140">
        <f t="shared" si="6"/>
        <v>0</v>
      </c>
      <c r="U11" s="140">
        <f t="shared" si="7"/>
        <v>0</v>
      </c>
      <c r="V11" s="140">
        <f t="shared" si="8"/>
        <v>0</v>
      </c>
      <c r="W11" s="140"/>
      <c r="X11" s="140"/>
      <c r="Y11" s="140"/>
      <c r="Z11" s="140"/>
      <c r="AA11" s="159"/>
      <c r="AB11" s="363" t="s">
        <v>377</v>
      </c>
      <c r="AC11" s="159">
        <v>930000</v>
      </c>
      <c r="AD11" s="140"/>
      <c r="AE11" s="140"/>
      <c r="AF11" s="140"/>
      <c r="AG11" s="140"/>
      <c r="AH11" s="140"/>
      <c r="AI11" s="140"/>
      <c r="AJ11" s="140"/>
      <c r="AK11" s="140"/>
      <c r="AL11" s="140"/>
      <c r="AM11" s="140">
        <f t="shared" si="10"/>
        <v>0</v>
      </c>
      <c r="AN11" s="140">
        <f t="shared" si="11"/>
        <v>0</v>
      </c>
      <c r="AO11" s="140">
        <f t="shared" si="12"/>
        <v>0</v>
      </c>
      <c r="AP11" s="159"/>
      <c r="AQ11" s="159"/>
      <c r="AR11" s="159"/>
      <c r="AS11" s="159"/>
      <c r="AT11" s="159"/>
    </row>
    <row r="12" spans="1:46" s="158" customFormat="1" ht="40.9" customHeight="1">
      <c r="A12" s="159">
        <f t="shared" si="13"/>
        <v>7</v>
      </c>
      <c r="B12" s="159">
        <v>1704</v>
      </c>
      <c r="C12" s="159" t="s">
        <v>70</v>
      </c>
      <c r="D12" s="140">
        <v>5784000</v>
      </c>
      <c r="E12" s="140">
        <v>5784000</v>
      </c>
      <c r="F12" s="140">
        <f t="shared" si="0"/>
        <v>0</v>
      </c>
      <c r="G12" s="140">
        <v>40000</v>
      </c>
      <c r="H12" s="140">
        <v>37961</v>
      </c>
      <c r="I12" s="140">
        <v>0</v>
      </c>
      <c r="J12" s="140">
        <v>0</v>
      </c>
      <c r="K12" s="140">
        <f t="shared" si="9"/>
        <v>0</v>
      </c>
      <c r="L12" s="140">
        <f t="shared" si="1"/>
        <v>37961</v>
      </c>
      <c r="M12" s="140">
        <f t="shared" si="2"/>
        <v>2039</v>
      </c>
      <c r="N12" s="140">
        <v>1540000</v>
      </c>
      <c r="O12" s="140">
        <f t="shared" si="3"/>
        <v>4204000</v>
      </c>
      <c r="P12" s="140">
        <f t="shared" si="4"/>
        <v>2039</v>
      </c>
      <c r="Q12" s="140"/>
      <c r="R12" s="140"/>
      <c r="S12" s="140">
        <f t="shared" si="5"/>
        <v>0</v>
      </c>
      <c r="T12" s="140">
        <f t="shared" si="6"/>
        <v>0</v>
      </c>
      <c r="U12" s="140">
        <f t="shared" si="7"/>
        <v>1540000</v>
      </c>
      <c r="V12" s="140">
        <f t="shared" si="8"/>
        <v>1540000</v>
      </c>
      <c r="W12" s="140"/>
      <c r="X12" s="140"/>
      <c r="Y12" s="140"/>
      <c r="Z12" s="140"/>
      <c r="AA12" s="159"/>
      <c r="AB12" s="365" t="s">
        <v>378</v>
      </c>
      <c r="AC12" s="159">
        <v>930000</v>
      </c>
      <c r="AD12" s="140"/>
      <c r="AE12" s="140"/>
      <c r="AF12" s="140"/>
      <c r="AG12" s="140"/>
      <c r="AH12" s="140"/>
      <c r="AI12" s="140"/>
      <c r="AJ12" s="140"/>
      <c r="AK12" s="140"/>
      <c r="AL12" s="140"/>
      <c r="AM12" s="140">
        <f t="shared" si="10"/>
        <v>0</v>
      </c>
      <c r="AN12" s="140">
        <f t="shared" si="11"/>
        <v>1540000</v>
      </c>
      <c r="AO12" s="140">
        <f t="shared" si="12"/>
        <v>0</v>
      </c>
      <c r="AP12" s="159"/>
      <c r="AQ12" s="159"/>
      <c r="AR12" s="159"/>
      <c r="AS12" s="159"/>
      <c r="AT12" s="159"/>
    </row>
    <row r="13" spans="1:46" s="158" customFormat="1" ht="40.9" customHeight="1">
      <c r="A13" s="159">
        <f t="shared" si="13"/>
        <v>8</v>
      </c>
      <c r="B13" s="160">
        <v>1791</v>
      </c>
      <c r="C13" s="159" t="s">
        <v>2299</v>
      </c>
      <c r="D13" s="140">
        <v>570000</v>
      </c>
      <c r="E13" s="140">
        <v>570000</v>
      </c>
      <c r="F13" s="140">
        <f t="shared" si="0"/>
        <v>0</v>
      </c>
      <c r="G13" s="140">
        <v>500000</v>
      </c>
      <c r="H13" s="140">
        <v>404150</v>
      </c>
      <c r="I13" s="140">
        <v>0</v>
      </c>
      <c r="J13" s="140">
        <v>0</v>
      </c>
      <c r="K13" s="140">
        <f t="shared" si="9"/>
        <v>0</v>
      </c>
      <c r="L13" s="140">
        <f t="shared" si="1"/>
        <v>404150</v>
      </c>
      <c r="M13" s="140">
        <f t="shared" si="2"/>
        <v>95850</v>
      </c>
      <c r="N13" s="140"/>
      <c r="O13" s="140">
        <f t="shared" si="3"/>
        <v>70000</v>
      </c>
      <c r="P13" s="140">
        <f t="shared" si="4"/>
        <v>95850</v>
      </c>
      <c r="Q13" s="140"/>
      <c r="R13" s="140"/>
      <c r="S13" s="140">
        <f t="shared" si="5"/>
        <v>0</v>
      </c>
      <c r="T13" s="140">
        <f t="shared" si="6"/>
        <v>0</v>
      </c>
      <c r="U13" s="140">
        <f t="shared" si="7"/>
        <v>0</v>
      </c>
      <c r="V13" s="140">
        <f t="shared" si="8"/>
        <v>0</v>
      </c>
      <c r="W13" s="140"/>
      <c r="X13" s="140"/>
      <c r="Y13" s="140"/>
      <c r="Z13" s="140"/>
      <c r="AA13" s="159"/>
      <c r="AB13" s="364" t="s">
        <v>571</v>
      </c>
      <c r="AC13" s="159">
        <v>930000</v>
      </c>
      <c r="AD13" s="140"/>
      <c r="AE13" s="140"/>
      <c r="AF13" s="140"/>
      <c r="AG13" s="140"/>
      <c r="AH13" s="140"/>
      <c r="AI13" s="140"/>
      <c r="AJ13" s="140"/>
      <c r="AK13" s="140"/>
      <c r="AL13" s="140"/>
      <c r="AM13" s="140">
        <f t="shared" si="10"/>
        <v>0</v>
      </c>
      <c r="AN13" s="140">
        <f t="shared" si="11"/>
        <v>0</v>
      </c>
      <c r="AO13" s="140">
        <f t="shared" si="12"/>
        <v>0</v>
      </c>
      <c r="AP13" s="159"/>
      <c r="AQ13" s="159"/>
      <c r="AR13" s="159"/>
      <c r="AS13" s="159"/>
      <c r="AT13" s="159"/>
    </row>
    <row r="14" spans="1:46" s="158" customFormat="1" ht="40.9" customHeight="1">
      <c r="A14" s="159">
        <f t="shared" si="13"/>
        <v>9</v>
      </c>
      <c r="B14" s="160">
        <v>1983</v>
      </c>
      <c r="C14" s="159" t="s">
        <v>144</v>
      </c>
      <c r="D14" s="140">
        <v>800000</v>
      </c>
      <c r="E14" s="140">
        <v>800000</v>
      </c>
      <c r="F14" s="140">
        <f t="shared" si="0"/>
        <v>0</v>
      </c>
      <c r="G14" s="140">
        <v>100000</v>
      </c>
      <c r="H14" s="140">
        <v>10249</v>
      </c>
      <c r="I14" s="140">
        <v>0</v>
      </c>
      <c r="J14" s="140">
        <v>0</v>
      </c>
      <c r="K14" s="140">
        <f t="shared" si="9"/>
        <v>0</v>
      </c>
      <c r="L14" s="140">
        <f t="shared" si="1"/>
        <v>10249</v>
      </c>
      <c r="M14" s="140">
        <f t="shared" si="2"/>
        <v>89751</v>
      </c>
      <c r="N14" s="140"/>
      <c r="O14" s="140">
        <f t="shared" si="3"/>
        <v>700000</v>
      </c>
      <c r="P14" s="140">
        <f t="shared" si="4"/>
        <v>89751</v>
      </c>
      <c r="Q14" s="140"/>
      <c r="R14" s="140"/>
      <c r="S14" s="140">
        <f t="shared" si="5"/>
        <v>0</v>
      </c>
      <c r="T14" s="140">
        <f t="shared" si="6"/>
        <v>0</v>
      </c>
      <c r="U14" s="140">
        <f t="shared" si="7"/>
        <v>0</v>
      </c>
      <c r="V14" s="140">
        <f t="shared" si="8"/>
        <v>0</v>
      </c>
      <c r="W14" s="140"/>
      <c r="X14" s="140"/>
      <c r="Y14" s="140"/>
      <c r="Z14" s="140"/>
      <c r="AA14" s="159"/>
      <c r="AB14" s="365" t="s">
        <v>300</v>
      </c>
      <c r="AC14" s="159">
        <v>930000</v>
      </c>
      <c r="AD14" s="140"/>
      <c r="AE14" s="140"/>
      <c r="AF14" s="140"/>
      <c r="AG14" s="140"/>
      <c r="AH14" s="140"/>
      <c r="AI14" s="140"/>
      <c r="AJ14" s="140"/>
      <c r="AK14" s="140"/>
      <c r="AL14" s="140"/>
      <c r="AM14" s="140">
        <f t="shared" si="10"/>
        <v>0</v>
      </c>
      <c r="AN14" s="140">
        <f t="shared" si="11"/>
        <v>0</v>
      </c>
      <c r="AO14" s="140">
        <f t="shared" si="12"/>
        <v>0</v>
      </c>
      <c r="AP14" s="159"/>
      <c r="AQ14" s="159"/>
      <c r="AR14" s="159"/>
      <c r="AS14" s="159"/>
      <c r="AT14" s="159"/>
    </row>
    <row r="15" spans="1:46" s="158" customFormat="1" ht="40.9" customHeight="1">
      <c r="A15" s="159">
        <f t="shared" si="13"/>
        <v>10</v>
      </c>
      <c r="B15" s="160">
        <v>1985</v>
      </c>
      <c r="C15" s="159" t="s">
        <v>2300</v>
      </c>
      <c r="D15" s="140">
        <v>600000</v>
      </c>
      <c r="E15" s="140">
        <v>600000</v>
      </c>
      <c r="F15" s="140">
        <f t="shared" si="0"/>
        <v>0</v>
      </c>
      <c r="G15" s="140">
        <v>100000</v>
      </c>
      <c r="H15" s="140">
        <v>0</v>
      </c>
      <c r="I15" s="140">
        <v>0</v>
      </c>
      <c r="J15" s="140">
        <v>0</v>
      </c>
      <c r="K15" s="140">
        <f t="shared" si="9"/>
        <v>0</v>
      </c>
      <c r="L15" s="140">
        <f t="shared" si="1"/>
        <v>0</v>
      </c>
      <c r="M15" s="140">
        <f t="shared" si="2"/>
        <v>100000</v>
      </c>
      <c r="N15" s="140"/>
      <c r="O15" s="140">
        <f t="shared" si="3"/>
        <v>500000</v>
      </c>
      <c r="P15" s="140">
        <f t="shared" si="4"/>
        <v>100000</v>
      </c>
      <c r="Q15" s="140"/>
      <c r="R15" s="140"/>
      <c r="S15" s="140">
        <f t="shared" si="5"/>
        <v>0</v>
      </c>
      <c r="T15" s="140">
        <f t="shared" si="6"/>
        <v>0</v>
      </c>
      <c r="U15" s="140">
        <f t="shared" si="7"/>
        <v>0</v>
      </c>
      <c r="V15" s="140">
        <f t="shared" si="8"/>
        <v>0</v>
      </c>
      <c r="W15" s="140"/>
      <c r="X15" s="140"/>
      <c r="Y15" s="140"/>
      <c r="Z15" s="140"/>
      <c r="AA15" s="159"/>
      <c r="AB15" s="365" t="s">
        <v>301</v>
      </c>
      <c r="AC15" s="159">
        <v>930000</v>
      </c>
      <c r="AD15" s="140"/>
      <c r="AE15" s="140"/>
      <c r="AF15" s="140"/>
      <c r="AG15" s="140"/>
      <c r="AH15" s="140"/>
      <c r="AI15" s="140"/>
      <c r="AJ15" s="140"/>
      <c r="AK15" s="140"/>
      <c r="AL15" s="140"/>
      <c r="AM15" s="140">
        <f t="shared" si="10"/>
        <v>0</v>
      </c>
      <c r="AN15" s="140">
        <f t="shared" si="11"/>
        <v>0</v>
      </c>
      <c r="AO15" s="140">
        <f t="shared" si="12"/>
        <v>0</v>
      </c>
      <c r="AP15" s="159"/>
      <c r="AQ15" s="159"/>
      <c r="AR15" s="159"/>
      <c r="AS15" s="159"/>
      <c r="AT15" s="159"/>
    </row>
    <row r="16" spans="1:46" s="158" customFormat="1" ht="40.9" customHeight="1">
      <c r="A16" s="159">
        <f t="shared" si="13"/>
        <v>11</v>
      </c>
      <c r="B16" s="160">
        <v>1993</v>
      </c>
      <c r="C16" s="159" t="s">
        <v>159</v>
      </c>
      <c r="D16" s="140">
        <v>6000000</v>
      </c>
      <c r="E16" s="140">
        <v>6000000</v>
      </c>
      <c r="F16" s="140">
        <f t="shared" si="0"/>
        <v>0</v>
      </c>
      <c r="G16" s="140">
        <v>6000000</v>
      </c>
      <c r="H16" s="140">
        <v>1866680</v>
      </c>
      <c r="I16" s="140">
        <v>3336952</v>
      </c>
      <c r="J16" s="140">
        <v>0</v>
      </c>
      <c r="K16" s="140">
        <f t="shared" si="9"/>
        <v>3336952</v>
      </c>
      <c r="L16" s="140">
        <f t="shared" si="1"/>
        <v>5203632</v>
      </c>
      <c r="M16" s="140">
        <f t="shared" si="2"/>
        <v>796368</v>
      </c>
      <c r="N16" s="140"/>
      <c r="O16" s="140">
        <f t="shared" si="3"/>
        <v>0</v>
      </c>
      <c r="P16" s="140">
        <f t="shared" si="4"/>
        <v>796368</v>
      </c>
      <c r="Q16" s="140"/>
      <c r="R16" s="140"/>
      <c r="S16" s="140">
        <f t="shared" si="5"/>
        <v>0</v>
      </c>
      <c r="T16" s="140">
        <f t="shared" si="6"/>
        <v>0</v>
      </c>
      <c r="U16" s="140">
        <f t="shared" si="7"/>
        <v>0</v>
      </c>
      <c r="V16" s="140">
        <f t="shared" si="8"/>
        <v>0</v>
      </c>
      <c r="W16" s="140"/>
      <c r="X16" s="140"/>
      <c r="Y16" s="140"/>
      <c r="Z16" s="140"/>
      <c r="AA16" s="159"/>
      <c r="AB16" s="364" t="s">
        <v>379</v>
      </c>
      <c r="AC16" s="159">
        <v>930000</v>
      </c>
      <c r="AD16" s="140"/>
      <c r="AE16" s="140"/>
      <c r="AF16" s="140"/>
      <c r="AG16" s="140"/>
      <c r="AH16" s="140"/>
      <c r="AI16" s="140"/>
      <c r="AJ16" s="140"/>
      <c r="AK16" s="140"/>
      <c r="AL16" s="140"/>
      <c r="AM16" s="140">
        <f t="shared" si="10"/>
        <v>0</v>
      </c>
      <c r="AN16" s="140">
        <f t="shared" si="11"/>
        <v>0</v>
      </c>
      <c r="AO16" s="140">
        <f t="shared" si="12"/>
        <v>0</v>
      </c>
      <c r="AP16" s="159"/>
      <c r="AQ16" s="159"/>
      <c r="AR16" s="159"/>
      <c r="AS16" s="159"/>
      <c r="AT16" s="159"/>
    </row>
    <row r="17" spans="1:46" s="158" customFormat="1" ht="40.9" customHeight="1">
      <c r="A17" s="159">
        <f t="shared" si="13"/>
        <v>12</v>
      </c>
      <c r="B17" s="160">
        <v>2055</v>
      </c>
      <c r="C17" s="159" t="s">
        <v>373</v>
      </c>
      <c r="D17" s="140">
        <v>220000</v>
      </c>
      <c r="E17" s="140">
        <v>220000</v>
      </c>
      <c r="F17" s="140">
        <f t="shared" si="0"/>
        <v>0</v>
      </c>
      <c r="G17" s="140">
        <v>200000</v>
      </c>
      <c r="H17" s="140">
        <v>122292</v>
      </c>
      <c r="I17" s="140">
        <v>0</v>
      </c>
      <c r="J17" s="140">
        <v>0</v>
      </c>
      <c r="K17" s="140">
        <f t="shared" si="9"/>
        <v>0</v>
      </c>
      <c r="L17" s="140">
        <f t="shared" si="1"/>
        <v>122292</v>
      </c>
      <c r="M17" s="140">
        <f t="shared" si="2"/>
        <v>77708</v>
      </c>
      <c r="N17" s="140"/>
      <c r="O17" s="140">
        <f t="shared" si="3"/>
        <v>20000</v>
      </c>
      <c r="P17" s="140">
        <f t="shared" si="4"/>
        <v>77708</v>
      </c>
      <c r="Q17" s="140"/>
      <c r="R17" s="140"/>
      <c r="S17" s="140">
        <f t="shared" si="5"/>
        <v>0</v>
      </c>
      <c r="T17" s="140">
        <f t="shared" si="6"/>
        <v>0</v>
      </c>
      <c r="U17" s="140">
        <f t="shared" si="7"/>
        <v>0</v>
      </c>
      <c r="V17" s="140">
        <f t="shared" si="8"/>
        <v>0</v>
      </c>
      <c r="W17" s="140"/>
      <c r="X17" s="140"/>
      <c r="Y17" s="140"/>
      <c r="Z17" s="140"/>
      <c r="AA17" s="159"/>
      <c r="AB17" s="364" t="s">
        <v>407</v>
      </c>
      <c r="AC17" s="159">
        <v>930000</v>
      </c>
      <c r="AD17" s="140"/>
      <c r="AE17" s="140"/>
      <c r="AF17" s="140"/>
      <c r="AG17" s="140"/>
      <c r="AH17" s="140"/>
      <c r="AI17" s="140"/>
      <c r="AJ17" s="140"/>
      <c r="AK17" s="140"/>
      <c r="AL17" s="140"/>
      <c r="AM17" s="140">
        <f t="shared" si="10"/>
        <v>0</v>
      </c>
      <c r="AN17" s="140">
        <f t="shared" si="11"/>
        <v>0</v>
      </c>
      <c r="AO17" s="140">
        <f t="shared" si="12"/>
        <v>0</v>
      </c>
      <c r="AP17" s="159"/>
      <c r="AQ17" s="159"/>
      <c r="AR17" s="159"/>
      <c r="AS17" s="159"/>
      <c r="AT17" s="159"/>
    </row>
    <row r="18" spans="1:46" s="158" customFormat="1" ht="40.9" customHeight="1">
      <c r="A18" s="159">
        <f t="shared" si="13"/>
        <v>13</v>
      </c>
      <c r="B18" s="160">
        <v>2056</v>
      </c>
      <c r="C18" s="159" t="s">
        <v>2301</v>
      </c>
      <c r="D18" s="140">
        <v>1400000</v>
      </c>
      <c r="E18" s="140">
        <v>1400000</v>
      </c>
      <c r="F18" s="140">
        <f t="shared" si="0"/>
        <v>0</v>
      </c>
      <c r="G18" s="140">
        <v>580000</v>
      </c>
      <c r="H18" s="140">
        <v>347498</v>
      </c>
      <c r="I18" s="140">
        <v>0</v>
      </c>
      <c r="J18" s="140">
        <v>0</v>
      </c>
      <c r="K18" s="140">
        <f t="shared" si="9"/>
        <v>0</v>
      </c>
      <c r="L18" s="140">
        <f t="shared" si="1"/>
        <v>347498</v>
      </c>
      <c r="M18" s="140">
        <f t="shared" si="2"/>
        <v>232502</v>
      </c>
      <c r="N18" s="140"/>
      <c r="O18" s="140">
        <f t="shared" si="3"/>
        <v>820000</v>
      </c>
      <c r="P18" s="140">
        <f t="shared" si="4"/>
        <v>232502</v>
      </c>
      <c r="Q18" s="140"/>
      <c r="R18" s="140"/>
      <c r="S18" s="140">
        <f t="shared" si="5"/>
        <v>0</v>
      </c>
      <c r="T18" s="140">
        <f t="shared" si="6"/>
        <v>0</v>
      </c>
      <c r="U18" s="140">
        <f t="shared" si="7"/>
        <v>0</v>
      </c>
      <c r="V18" s="140">
        <f t="shared" si="8"/>
        <v>0</v>
      </c>
      <c r="W18" s="140"/>
      <c r="X18" s="140"/>
      <c r="Y18" s="140"/>
      <c r="Z18" s="140"/>
      <c r="AA18" s="159"/>
      <c r="AB18" s="365" t="s">
        <v>302</v>
      </c>
      <c r="AC18" s="159">
        <v>930000</v>
      </c>
      <c r="AD18" s="140"/>
      <c r="AE18" s="140"/>
      <c r="AF18" s="140"/>
      <c r="AG18" s="140"/>
      <c r="AH18" s="140"/>
      <c r="AI18" s="140"/>
      <c r="AJ18" s="140"/>
      <c r="AK18" s="140"/>
      <c r="AL18" s="140"/>
      <c r="AM18" s="140">
        <f t="shared" si="10"/>
        <v>0</v>
      </c>
      <c r="AN18" s="140">
        <f t="shared" si="11"/>
        <v>0</v>
      </c>
      <c r="AO18" s="140">
        <f t="shared" si="12"/>
        <v>0</v>
      </c>
      <c r="AP18" s="159"/>
      <c r="AQ18" s="159"/>
      <c r="AR18" s="159"/>
      <c r="AS18" s="159"/>
      <c r="AT18" s="159"/>
    </row>
    <row r="19" spans="1:46" s="158" customFormat="1" ht="40.9" customHeight="1">
      <c r="A19" s="159">
        <f t="shared" si="13"/>
        <v>14</v>
      </c>
      <c r="B19" s="160">
        <v>2072</v>
      </c>
      <c r="C19" s="159" t="s">
        <v>451</v>
      </c>
      <c r="D19" s="140">
        <v>100000</v>
      </c>
      <c r="E19" s="140">
        <v>100000</v>
      </c>
      <c r="F19" s="140">
        <f>D19-E19</f>
        <v>0</v>
      </c>
      <c r="G19" s="140">
        <v>100000</v>
      </c>
      <c r="H19" s="140">
        <v>21470</v>
      </c>
      <c r="I19" s="140">
        <v>0</v>
      </c>
      <c r="J19" s="140">
        <v>3597</v>
      </c>
      <c r="K19" s="140">
        <f t="shared" si="9"/>
        <v>3597</v>
      </c>
      <c r="L19" s="140">
        <f t="shared" si="1"/>
        <v>25067</v>
      </c>
      <c r="M19" s="140">
        <f t="shared" si="2"/>
        <v>74933</v>
      </c>
      <c r="N19" s="140"/>
      <c r="O19" s="140">
        <f t="shared" si="3"/>
        <v>0</v>
      </c>
      <c r="P19" s="140">
        <f t="shared" si="4"/>
        <v>74933</v>
      </c>
      <c r="Q19" s="140"/>
      <c r="R19" s="140"/>
      <c r="S19" s="140">
        <f t="shared" si="5"/>
        <v>0</v>
      </c>
      <c r="T19" s="140">
        <f t="shared" si="6"/>
        <v>0</v>
      </c>
      <c r="U19" s="140">
        <f t="shared" si="7"/>
        <v>0</v>
      </c>
      <c r="V19" s="140">
        <f t="shared" si="8"/>
        <v>0</v>
      </c>
      <c r="W19" s="140"/>
      <c r="X19" s="140"/>
      <c r="Y19" s="140"/>
      <c r="Z19" s="140"/>
      <c r="AA19" s="159"/>
      <c r="AB19" s="364" t="s">
        <v>408</v>
      </c>
      <c r="AC19" s="159">
        <v>930000</v>
      </c>
      <c r="AD19" s="140"/>
      <c r="AE19" s="140"/>
      <c r="AF19" s="140"/>
      <c r="AG19" s="140"/>
      <c r="AH19" s="140"/>
      <c r="AI19" s="140"/>
      <c r="AJ19" s="140"/>
      <c r="AK19" s="140"/>
      <c r="AL19" s="140"/>
      <c r="AM19" s="140">
        <f t="shared" si="10"/>
        <v>0</v>
      </c>
      <c r="AN19" s="140">
        <f t="shared" si="11"/>
        <v>0</v>
      </c>
      <c r="AO19" s="140">
        <f t="shared" si="12"/>
        <v>0</v>
      </c>
      <c r="AP19" s="159"/>
      <c r="AQ19" s="159"/>
      <c r="AR19" s="159"/>
      <c r="AS19" s="159"/>
      <c r="AT19" s="159"/>
    </row>
    <row r="20" spans="1:46" s="158" customFormat="1" ht="40.9" customHeight="1">
      <c r="A20" s="159">
        <f t="shared" si="13"/>
        <v>15</v>
      </c>
      <c r="B20" s="160">
        <v>2223</v>
      </c>
      <c r="C20" s="159" t="s">
        <v>654</v>
      </c>
      <c r="D20" s="140">
        <v>500000</v>
      </c>
      <c r="E20" s="140"/>
      <c r="F20" s="140">
        <f>D20-E20</f>
        <v>500000</v>
      </c>
      <c r="G20" s="140"/>
      <c r="H20" s="140"/>
      <c r="I20" s="140">
        <v>0</v>
      </c>
      <c r="J20" s="140"/>
      <c r="K20" s="140">
        <f t="shared" si="9"/>
        <v>0</v>
      </c>
      <c r="L20" s="140">
        <f t="shared" si="1"/>
        <v>0</v>
      </c>
      <c r="M20" s="140">
        <f t="shared" si="2"/>
        <v>0</v>
      </c>
      <c r="N20" s="140">
        <v>500000</v>
      </c>
      <c r="O20" s="140">
        <f t="shared" si="3"/>
        <v>0</v>
      </c>
      <c r="P20" s="140">
        <f t="shared" si="4"/>
        <v>0</v>
      </c>
      <c r="Q20" s="140"/>
      <c r="R20" s="140"/>
      <c r="S20" s="140">
        <f t="shared" si="5"/>
        <v>0</v>
      </c>
      <c r="T20" s="140">
        <f t="shared" si="6"/>
        <v>0</v>
      </c>
      <c r="U20" s="140">
        <f t="shared" si="7"/>
        <v>500000</v>
      </c>
      <c r="V20" s="140">
        <f t="shared" si="8"/>
        <v>500000</v>
      </c>
      <c r="W20" s="140"/>
      <c r="X20" s="140"/>
      <c r="Y20" s="140"/>
      <c r="Z20" s="140"/>
      <c r="AA20" s="159"/>
      <c r="AB20" s="364" t="s">
        <v>655</v>
      </c>
      <c r="AC20" s="159">
        <v>930000</v>
      </c>
      <c r="AD20" s="140"/>
      <c r="AE20" s="140"/>
      <c r="AF20" s="140"/>
      <c r="AG20" s="140"/>
      <c r="AH20" s="140"/>
      <c r="AI20" s="140"/>
      <c r="AJ20" s="140"/>
      <c r="AK20" s="140"/>
      <c r="AL20" s="140"/>
      <c r="AM20" s="140">
        <f t="shared" si="10"/>
        <v>0</v>
      </c>
      <c r="AN20" s="140">
        <f t="shared" si="11"/>
        <v>500000</v>
      </c>
      <c r="AO20" s="140">
        <f t="shared" si="12"/>
        <v>0</v>
      </c>
      <c r="AP20" s="159"/>
      <c r="AQ20" s="159"/>
      <c r="AR20" s="159"/>
      <c r="AS20" s="159"/>
      <c r="AT20" s="159"/>
    </row>
    <row r="21" spans="1:46" s="162" customFormat="1" ht="40.9" customHeight="1">
      <c r="A21" s="163">
        <f>A20</f>
        <v>15</v>
      </c>
      <c r="B21" s="163"/>
      <c r="C21" s="166" t="s">
        <v>389</v>
      </c>
      <c r="D21" s="169">
        <f t="shared" ref="D21:AT21" si="14">SUM(D6:D20)</f>
        <v>126129000</v>
      </c>
      <c r="E21" s="169">
        <f t="shared" si="14"/>
        <v>125629000</v>
      </c>
      <c r="F21" s="169">
        <f t="shared" si="14"/>
        <v>500000</v>
      </c>
      <c r="G21" s="169">
        <f t="shared" si="14"/>
        <v>58352525</v>
      </c>
      <c r="H21" s="169">
        <f t="shared" si="14"/>
        <v>40157025</v>
      </c>
      <c r="I21" s="169">
        <f t="shared" si="14"/>
        <v>3336952</v>
      </c>
      <c r="J21" s="169">
        <f t="shared" si="14"/>
        <v>3597</v>
      </c>
      <c r="K21" s="169">
        <f t="shared" si="14"/>
        <v>3340549</v>
      </c>
      <c r="L21" s="169">
        <f t="shared" si="14"/>
        <v>43497574</v>
      </c>
      <c r="M21" s="169">
        <f t="shared" si="14"/>
        <v>14854951</v>
      </c>
      <c r="N21" s="169">
        <f t="shared" si="14"/>
        <v>2040000</v>
      </c>
      <c r="O21" s="169">
        <f t="shared" si="14"/>
        <v>65736475</v>
      </c>
      <c r="P21" s="169">
        <f t="shared" si="14"/>
        <v>14854951</v>
      </c>
      <c r="Q21" s="169">
        <f t="shared" si="14"/>
        <v>0</v>
      </c>
      <c r="R21" s="169">
        <f t="shared" si="14"/>
        <v>0</v>
      </c>
      <c r="S21" s="169">
        <f t="shared" si="14"/>
        <v>0</v>
      </c>
      <c r="T21" s="169">
        <f t="shared" si="14"/>
        <v>0</v>
      </c>
      <c r="U21" s="169">
        <f t="shared" si="14"/>
        <v>2040000</v>
      </c>
      <c r="V21" s="169">
        <f t="shared" si="14"/>
        <v>2040000</v>
      </c>
      <c r="W21" s="169">
        <f t="shared" si="14"/>
        <v>0</v>
      </c>
      <c r="X21" s="169">
        <f t="shared" si="14"/>
        <v>0</v>
      </c>
      <c r="Y21" s="169">
        <f t="shared" si="14"/>
        <v>0</v>
      </c>
      <c r="Z21" s="169">
        <f t="shared" si="14"/>
        <v>0</v>
      </c>
      <c r="AA21" s="169">
        <f t="shared" si="14"/>
        <v>0</v>
      </c>
      <c r="AB21" s="169">
        <f t="shared" si="14"/>
        <v>0</v>
      </c>
      <c r="AC21" s="169">
        <f t="shared" si="14"/>
        <v>13960000</v>
      </c>
      <c r="AD21" s="169">
        <f t="shared" si="14"/>
        <v>0</v>
      </c>
      <c r="AE21" s="169">
        <f>SUM(AE6:AE20)</f>
        <v>0</v>
      </c>
      <c r="AF21" s="169">
        <f>SUM(AF6:AF20)</f>
        <v>0</v>
      </c>
      <c r="AG21" s="169">
        <f t="shared" si="14"/>
        <v>0</v>
      </c>
      <c r="AH21" s="169">
        <f>SUM(AH6:AH20)</f>
        <v>0</v>
      </c>
      <c r="AI21" s="169">
        <f>SUM(AI6:AI20)</f>
        <v>0</v>
      </c>
      <c r="AJ21" s="169">
        <f>SUM(AJ6:AJ20)</f>
        <v>0</v>
      </c>
      <c r="AK21" s="169">
        <f>SUM(AK6:AK20)</f>
        <v>0</v>
      </c>
      <c r="AL21" s="169">
        <f>SUM(AL6:AL20)</f>
        <v>0</v>
      </c>
      <c r="AM21" s="169">
        <f t="shared" si="14"/>
        <v>0</v>
      </c>
      <c r="AN21" s="169">
        <f t="shared" si="14"/>
        <v>2040000</v>
      </c>
      <c r="AO21" s="169">
        <f t="shared" si="14"/>
        <v>0</v>
      </c>
      <c r="AP21" s="169">
        <f t="shared" si="14"/>
        <v>0</v>
      </c>
      <c r="AQ21" s="169">
        <f t="shared" si="14"/>
        <v>0</v>
      </c>
      <c r="AR21" s="169">
        <f t="shared" si="14"/>
        <v>0</v>
      </c>
      <c r="AS21" s="169">
        <f t="shared" si="14"/>
        <v>0</v>
      </c>
      <c r="AT21" s="169">
        <f t="shared" si="14"/>
        <v>0</v>
      </c>
    </row>
    <row r="22" spans="1:46" hidden="1">
      <c r="L22" s="156">
        <f>K21+H21</f>
        <v>43497574</v>
      </c>
      <c r="M22" s="156">
        <f>P22+S21-T21</f>
        <v>14854951</v>
      </c>
      <c r="P22" s="156">
        <f>G21-L22</f>
        <v>14854951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D4:AM4"/>
    <mergeCell ref="AO4:AT4"/>
    <mergeCell ref="T4:U4"/>
    <mergeCell ref="V4:AA4"/>
  </mergeCells>
  <conditionalFormatting sqref="AB5">
    <cfRule type="cellIs" dxfId="1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rowBreaks count="1" manualBreakCount="1">
    <brk id="24" max="16383" man="1"/>
  </rowBreak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AT16"/>
  <sheetViews>
    <sheetView showZeros="0" rightToLeft="1" zoomScaleNormal="100" workbookViewId="0">
      <pane xSplit="3" ySplit="5" topLeftCell="U6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9.140625" defaultRowHeight="18.75"/>
  <cols>
    <col min="1" max="1" width="4.28515625" style="261" customWidth="1"/>
    <col min="2" max="2" width="5.85546875" style="154" customWidth="1"/>
    <col min="3" max="3" width="24.5703125" style="154" customWidth="1"/>
    <col min="4" max="5" width="10.7109375" style="155" hidden="1" customWidth="1"/>
    <col min="6" max="11" width="8.7109375" style="155" hidden="1" customWidth="1"/>
    <col min="12" max="13" width="9.7109375" style="155" hidden="1" customWidth="1"/>
    <col min="14" max="14" width="8.7109375" style="155" hidden="1" customWidth="1"/>
    <col min="15" max="15" width="9.7109375" style="155" hidden="1" customWidth="1"/>
    <col min="16" max="19" width="8.7109375" style="155" hidden="1" customWidth="1"/>
    <col min="20" max="20" width="13.7109375" style="155" hidden="1" customWidth="1"/>
    <col min="21" max="23" width="12.140625" style="154" customWidth="1"/>
    <col min="24" max="26" width="8.7109375" style="154" hidden="1" customWidth="1"/>
    <col min="27" max="27" width="12.140625" style="154" customWidth="1"/>
    <col min="28" max="28" width="31.7109375" style="170" hidden="1" customWidth="1"/>
    <col min="29" max="29" width="7.85546875" style="154" hidden="1" customWidth="1"/>
    <col min="30" max="38" width="11.7109375" style="259" hidden="1" customWidth="1"/>
    <col min="39" max="39" width="12.140625" style="259" customWidth="1"/>
    <col min="40" max="42" width="12.140625" style="154" customWidth="1"/>
    <col min="43" max="45" width="11.7109375" style="154" hidden="1" customWidth="1"/>
    <col min="46" max="46" width="12.140625" style="154" customWidth="1"/>
    <col min="47" max="16384" width="9.140625" style="154"/>
  </cols>
  <sheetData>
    <row r="1" spans="1:46" s="259" customFormat="1">
      <c r="A1" s="875"/>
      <c r="B1" s="875"/>
      <c r="C1" s="875"/>
      <c r="D1" s="875"/>
      <c r="E1" s="875"/>
      <c r="F1" s="875"/>
      <c r="G1" s="875"/>
      <c r="H1" s="875"/>
      <c r="I1" s="875"/>
      <c r="J1" s="875"/>
      <c r="K1" s="875"/>
      <c r="L1" s="875"/>
      <c r="M1" s="875"/>
      <c r="N1" s="875"/>
      <c r="O1" s="875"/>
      <c r="P1" s="875"/>
      <c r="Q1" s="875"/>
      <c r="R1" s="875"/>
      <c r="S1" s="875"/>
      <c r="T1" s="875"/>
      <c r="U1" s="875"/>
      <c r="V1" s="875"/>
      <c r="W1" s="875"/>
      <c r="X1" s="280"/>
      <c r="Y1" s="280"/>
      <c r="Z1" s="280"/>
      <c r="AB1" s="260"/>
    </row>
    <row r="2" spans="1:46">
      <c r="A2" s="257" t="s">
        <v>2302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</row>
    <row r="3" spans="1:46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</row>
    <row r="4" spans="1:46" ht="24.6" customHeight="1">
      <c r="A4" s="688"/>
      <c r="B4" s="171"/>
      <c r="C4" s="171"/>
      <c r="T4" s="876" t="s">
        <v>256</v>
      </c>
      <c r="U4" s="877"/>
      <c r="V4" s="876" t="s">
        <v>88</v>
      </c>
      <c r="W4" s="877"/>
      <c r="X4" s="877"/>
      <c r="Y4" s="877"/>
      <c r="Z4" s="877"/>
      <c r="AA4" s="878"/>
      <c r="AB4" s="18"/>
      <c r="AC4" s="152"/>
      <c r="AD4" s="876" t="s">
        <v>246</v>
      </c>
      <c r="AE4" s="877"/>
      <c r="AF4" s="877"/>
      <c r="AG4" s="877"/>
      <c r="AH4" s="877"/>
      <c r="AI4" s="877"/>
      <c r="AJ4" s="877"/>
      <c r="AK4" s="877"/>
      <c r="AL4" s="877"/>
      <c r="AM4" s="878"/>
      <c r="AN4" s="171"/>
      <c r="AO4" s="876" t="s">
        <v>2269</v>
      </c>
      <c r="AP4" s="877"/>
      <c r="AQ4" s="877"/>
      <c r="AR4" s="877"/>
      <c r="AS4" s="877"/>
      <c r="AT4" s="878"/>
    </row>
    <row r="5" spans="1:46" s="276" customFormat="1" ht="86.25" customHeight="1">
      <c r="A5" s="175" t="s">
        <v>0</v>
      </c>
      <c r="B5" s="175" t="s">
        <v>1</v>
      </c>
      <c r="C5" s="175" t="s">
        <v>2</v>
      </c>
      <c r="D5" s="175" t="s">
        <v>3</v>
      </c>
      <c r="E5" s="175" t="s">
        <v>4</v>
      </c>
      <c r="F5" s="175" t="s">
        <v>5</v>
      </c>
      <c r="G5" s="175" t="s">
        <v>6</v>
      </c>
      <c r="H5" s="175" t="s">
        <v>7</v>
      </c>
      <c r="I5" s="175" t="s">
        <v>9</v>
      </c>
      <c r="J5" s="175" t="s">
        <v>153</v>
      </c>
      <c r="K5" s="175" t="s">
        <v>10</v>
      </c>
      <c r="L5" s="175" t="s">
        <v>11</v>
      </c>
      <c r="M5" s="9" t="s">
        <v>618</v>
      </c>
      <c r="N5" s="9" t="s">
        <v>619</v>
      </c>
      <c r="O5" s="9" t="s">
        <v>620</v>
      </c>
      <c r="P5" s="9" t="s">
        <v>12</v>
      </c>
      <c r="Q5" s="9" t="s">
        <v>621</v>
      </c>
      <c r="R5" s="9" t="s">
        <v>622</v>
      </c>
      <c r="S5" s="9" t="s">
        <v>623</v>
      </c>
      <c r="T5" s="9" t="s">
        <v>624</v>
      </c>
      <c r="U5" s="9" t="s">
        <v>625</v>
      </c>
      <c r="V5" s="590" t="s">
        <v>13</v>
      </c>
      <c r="W5" s="590" t="s">
        <v>14</v>
      </c>
      <c r="X5" s="590" t="s">
        <v>15</v>
      </c>
      <c r="Y5" s="590" t="s">
        <v>265</v>
      </c>
      <c r="Z5" s="590" t="s">
        <v>749</v>
      </c>
      <c r="AA5" s="590" t="s">
        <v>84</v>
      </c>
      <c r="AB5" s="591" t="s">
        <v>304</v>
      </c>
      <c r="AC5" s="175" t="s">
        <v>16</v>
      </c>
      <c r="AD5" s="9" t="s">
        <v>1911</v>
      </c>
      <c r="AE5" s="9" t="s">
        <v>1912</v>
      </c>
      <c r="AF5" s="9" t="s">
        <v>247</v>
      </c>
      <c r="AG5" s="9" t="s">
        <v>248</v>
      </c>
      <c r="AH5" s="9" t="s">
        <v>1913</v>
      </c>
      <c r="AI5" s="9" t="s">
        <v>1914</v>
      </c>
      <c r="AJ5" s="9" t="s">
        <v>1915</v>
      </c>
      <c r="AK5" s="9" t="s">
        <v>1916</v>
      </c>
      <c r="AL5" s="9" t="s">
        <v>1917</v>
      </c>
      <c r="AM5" s="20" t="s">
        <v>2037</v>
      </c>
      <c r="AN5" s="20" t="s">
        <v>852</v>
      </c>
      <c r="AO5" s="9" t="s">
        <v>13</v>
      </c>
      <c r="AP5" s="9" t="s">
        <v>14</v>
      </c>
      <c r="AQ5" s="9" t="s">
        <v>15</v>
      </c>
      <c r="AR5" s="9" t="s">
        <v>265</v>
      </c>
      <c r="AS5" s="9" t="s">
        <v>749</v>
      </c>
      <c r="AT5" s="9" t="s">
        <v>84</v>
      </c>
    </row>
    <row r="6" spans="1:46" s="5" customFormat="1" ht="30" customHeight="1">
      <c r="A6" s="3">
        <v>1</v>
      </c>
      <c r="B6" s="3">
        <v>529</v>
      </c>
      <c r="C6" s="3" t="s">
        <v>63</v>
      </c>
      <c r="D6" s="4">
        <v>700000</v>
      </c>
      <c r="E6" s="4">
        <v>700000</v>
      </c>
      <c r="F6" s="4">
        <f t="shared" ref="F6:F12" si="0">D6-E6</f>
        <v>0</v>
      </c>
      <c r="G6" s="4">
        <v>700000</v>
      </c>
      <c r="H6" s="4">
        <v>511921</v>
      </c>
      <c r="I6" s="4">
        <v>0</v>
      </c>
      <c r="J6" s="4">
        <v>0</v>
      </c>
      <c r="K6" s="4">
        <f>I6+J6</f>
        <v>0</v>
      </c>
      <c r="L6" s="4">
        <f>H6+K6</f>
        <v>511921</v>
      </c>
      <c r="M6" s="4">
        <f>P6+S6</f>
        <v>188079</v>
      </c>
      <c r="N6" s="4"/>
      <c r="O6" s="4">
        <f>D6-L6-M6-N6</f>
        <v>0</v>
      </c>
      <c r="P6" s="4">
        <f>G6-L6</f>
        <v>188079</v>
      </c>
      <c r="Q6" s="4"/>
      <c r="R6" s="4"/>
      <c r="S6" s="4">
        <f>SUM(Q6:R6)</f>
        <v>0</v>
      </c>
      <c r="T6" s="4">
        <f>P6-M6+S6</f>
        <v>0</v>
      </c>
      <c r="U6" s="4">
        <f>N6-T6</f>
        <v>0</v>
      </c>
      <c r="V6" s="4">
        <f>U6-W6-Z6-AA6</f>
        <v>0</v>
      </c>
      <c r="W6" s="4"/>
      <c r="X6" s="4"/>
      <c r="Y6" s="4"/>
      <c r="Z6" s="4"/>
      <c r="AA6" s="4"/>
      <c r="AB6" s="160" t="s">
        <v>375</v>
      </c>
      <c r="AC6" s="3">
        <v>840000</v>
      </c>
      <c r="AD6" s="4"/>
      <c r="AE6" s="4"/>
      <c r="AF6" s="4"/>
      <c r="AG6" s="4"/>
      <c r="AH6" s="4"/>
      <c r="AI6" s="4"/>
      <c r="AJ6" s="4"/>
      <c r="AK6" s="4"/>
      <c r="AL6" s="4"/>
      <c r="AM6" s="4">
        <f>SUM(AD6:AL6)</f>
        <v>0</v>
      </c>
      <c r="AN6" s="4">
        <f>U6-AM6</f>
        <v>0</v>
      </c>
      <c r="AO6" s="4"/>
      <c r="AP6" s="4">
        <f>AM6-AO6-AQ6-AR6-AS6-AT6</f>
        <v>0</v>
      </c>
      <c r="AQ6" s="3"/>
      <c r="AR6" s="3"/>
      <c r="AS6" s="3"/>
      <c r="AT6" s="3"/>
    </row>
    <row r="7" spans="1:46" s="5" customFormat="1" ht="30" customHeight="1">
      <c r="A7" s="160">
        <f>A6+1</f>
        <v>2</v>
      </c>
      <c r="B7" s="3">
        <v>1032</v>
      </c>
      <c r="C7" s="3" t="s">
        <v>138</v>
      </c>
      <c r="D7" s="4">
        <v>40500000</v>
      </c>
      <c r="E7" s="4">
        <v>40500000</v>
      </c>
      <c r="F7" s="4">
        <f t="shared" si="0"/>
        <v>0</v>
      </c>
      <c r="G7" s="4">
        <v>30940000</v>
      </c>
      <c r="H7" s="4">
        <v>28014837</v>
      </c>
      <c r="I7" s="4">
        <v>0</v>
      </c>
      <c r="J7" s="4">
        <v>1758860</v>
      </c>
      <c r="K7" s="4">
        <f t="shared" ref="K7:K13" si="1">I7+J7</f>
        <v>1758860</v>
      </c>
      <c r="L7" s="4">
        <f t="shared" ref="L7:L13" si="2">H7+K7</f>
        <v>29773697</v>
      </c>
      <c r="M7" s="4">
        <f t="shared" ref="M7:M12" si="3">P7+S7</f>
        <v>1166303</v>
      </c>
      <c r="N7" s="4">
        <f>6000000-2000000-1000000</f>
        <v>3000000</v>
      </c>
      <c r="O7" s="4">
        <f t="shared" ref="O7:O13" si="4">D7-L7-M7-N7</f>
        <v>6560000</v>
      </c>
      <c r="P7" s="4">
        <f t="shared" ref="P7:P13" si="5">G7-L7</f>
        <v>1166303</v>
      </c>
      <c r="Q7" s="4"/>
      <c r="R7" s="4"/>
      <c r="S7" s="4">
        <f t="shared" ref="S7:S13" si="6">SUM(Q7:R7)</f>
        <v>0</v>
      </c>
      <c r="T7" s="4">
        <f t="shared" ref="T7:T13" si="7">P7-M7+S7</f>
        <v>0</v>
      </c>
      <c r="U7" s="4">
        <f t="shared" ref="U7:U13" si="8">N7-T7</f>
        <v>3000000</v>
      </c>
      <c r="V7" s="4"/>
      <c r="W7" s="4">
        <f>U7-V7-AA7</f>
        <v>2289705</v>
      </c>
      <c r="X7" s="4"/>
      <c r="Y7" s="4"/>
      <c r="Z7" s="4"/>
      <c r="AA7" s="4">
        <v>710295</v>
      </c>
      <c r="AB7" s="160" t="s">
        <v>2034</v>
      </c>
      <c r="AC7" s="3">
        <v>742000</v>
      </c>
      <c r="AD7" s="4">
        <v>750000</v>
      </c>
      <c r="AE7" s="4"/>
      <c r="AF7" s="4"/>
      <c r="AG7" s="4"/>
      <c r="AH7" s="4"/>
      <c r="AI7" s="4"/>
      <c r="AJ7" s="4">
        <v>710295</v>
      </c>
      <c r="AK7" s="4"/>
      <c r="AL7" s="4"/>
      <c r="AM7" s="4">
        <f t="shared" ref="AM7:AM14" si="9">SUM(AD7:AL7)</f>
        <v>1460295</v>
      </c>
      <c r="AN7" s="4">
        <f t="shared" ref="AN7:AN14" si="10">U7-AM7</f>
        <v>1539705</v>
      </c>
      <c r="AO7" s="4"/>
      <c r="AP7" s="4">
        <f>AM7-AO7-AQ7-AR7-AS7-AT7</f>
        <v>750000</v>
      </c>
      <c r="AQ7" s="3"/>
      <c r="AR7" s="3"/>
      <c r="AS7" s="3"/>
      <c r="AT7" s="4">
        <v>710295</v>
      </c>
    </row>
    <row r="8" spans="1:46" s="164" customFormat="1" ht="30" customHeight="1">
      <c r="A8" s="160">
        <f t="shared" ref="A8:A14" si="11">A7+1</f>
        <v>3</v>
      </c>
      <c r="B8" s="160">
        <v>1130</v>
      </c>
      <c r="C8" s="160" t="s">
        <v>32</v>
      </c>
      <c r="D8" s="161">
        <v>16000000</v>
      </c>
      <c r="E8" s="161">
        <v>16000000</v>
      </c>
      <c r="F8" s="161">
        <f t="shared" si="0"/>
        <v>0</v>
      </c>
      <c r="G8" s="161">
        <v>13981894</v>
      </c>
      <c r="H8" s="161">
        <v>13203937</v>
      </c>
      <c r="I8" s="161">
        <v>0</v>
      </c>
      <c r="J8" s="161">
        <v>486670</v>
      </c>
      <c r="K8" s="4">
        <f t="shared" si="1"/>
        <v>486670</v>
      </c>
      <c r="L8" s="4">
        <f t="shared" si="2"/>
        <v>13690607</v>
      </c>
      <c r="M8" s="4">
        <f t="shared" si="3"/>
        <v>291287</v>
      </c>
      <c r="N8" s="4">
        <f>600000-100000-200000</f>
        <v>300000</v>
      </c>
      <c r="O8" s="4">
        <f t="shared" si="4"/>
        <v>1718106</v>
      </c>
      <c r="P8" s="4">
        <f t="shared" si="5"/>
        <v>291287</v>
      </c>
      <c r="Q8" s="4"/>
      <c r="R8" s="4"/>
      <c r="S8" s="4">
        <f t="shared" si="6"/>
        <v>0</v>
      </c>
      <c r="T8" s="4">
        <f t="shared" si="7"/>
        <v>0</v>
      </c>
      <c r="U8" s="4">
        <f t="shared" si="8"/>
        <v>300000</v>
      </c>
      <c r="V8" s="4">
        <f>U8-W8-Z8-AA8</f>
        <v>0</v>
      </c>
      <c r="W8" s="4">
        <v>300000</v>
      </c>
      <c r="X8" s="4"/>
      <c r="Y8" s="4"/>
      <c r="Z8" s="4"/>
      <c r="AA8" s="4"/>
      <c r="AB8" s="160" t="s">
        <v>676</v>
      </c>
      <c r="AC8" s="160">
        <v>742000</v>
      </c>
      <c r="AD8" s="4"/>
      <c r="AE8" s="4">
        <v>150000</v>
      </c>
      <c r="AF8" s="4"/>
      <c r="AG8" s="4"/>
      <c r="AH8" s="4"/>
      <c r="AI8" s="4"/>
      <c r="AJ8" s="4"/>
      <c r="AK8" s="4"/>
      <c r="AL8" s="4">
        <v>150000</v>
      </c>
      <c r="AM8" s="4">
        <f t="shared" si="9"/>
        <v>300000</v>
      </c>
      <c r="AN8" s="4">
        <f t="shared" si="10"/>
        <v>0</v>
      </c>
      <c r="AO8" s="4"/>
      <c r="AP8" s="4">
        <f t="shared" ref="AP8:AP14" si="12">AM8-AO8-AQ8-AR8-AS8-AT8</f>
        <v>300000</v>
      </c>
      <c r="AQ8" s="160"/>
      <c r="AR8" s="160"/>
      <c r="AS8" s="160"/>
      <c r="AT8" s="4"/>
    </row>
    <row r="9" spans="1:46" s="164" customFormat="1" ht="30" customHeight="1">
      <c r="A9" s="160">
        <f t="shared" si="11"/>
        <v>4</v>
      </c>
      <c r="B9" s="160">
        <v>1259</v>
      </c>
      <c r="C9" s="160" t="s">
        <v>56</v>
      </c>
      <c r="D9" s="161">
        <v>5460000</v>
      </c>
      <c r="E9" s="161">
        <v>5460000</v>
      </c>
      <c r="F9" s="161">
        <f t="shared" si="0"/>
        <v>0</v>
      </c>
      <c r="G9" s="161">
        <v>4110000</v>
      </c>
      <c r="H9" s="161">
        <v>3756135</v>
      </c>
      <c r="I9" s="161">
        <v>0</v>
      </c>
      <c r="J9" s="161">
        <v>42710</v>
      </c>
      <c r="K9" s="4">
        <f t="shared" si="1"/>
        <v>42710</v>
      </c>
      <c r="L9" s="4">
        <f t="shared" si="2"/>
        <v>3798845</v>
      </c>
      <c r="M9" s="4">
        <f t="shared" si="3"/>
        <v>311155</v>
      </c>
      <c r="N9" s="4">
        <v>500000</v>
      </c>
      <c r="O9" s="4">
        <f t="shared" si="4"/>
        <v>850000</v>
      </c>
      <c r="P9" s="4">
        <f t="shared" si="5"/>
        <v>311155</v>
      </c>
      <c r="Q9" s="4"/>
      <c r="R9" s="4"/>
      <c r="S9" s="4">
        <f t="shared" si="6"/>
        <v>0</v>
      </c>
      <c r="T9" s="4">
        <f t="shared" si="7"/>
        <v>0</v>
      </c>
      <c r="U9" s="4">
        <f t="shared" si="8"/>
        <v>500000</v>
      </c>
      <c r="V9" s="4">
        <f>U9-W9-Z9-AA9</f>
        <v>0</v>
      </c>
      <c r="W9" s="4">
        <v>500000</v>
      </c>
      <c r="X9" s="4"/>
      <c r="Y9" s="4"/>
      <c r="Z9" s="4"/>
      <c r="AA9" s="4"/>
      <c r="AB9" s="160" t="s">
        <v>297</v>
      </c>
      <c r="AC9" s="160">
        <v>760000</v>
      </c>
      <c r="AD9" s="4"/>
      <c r="AE9" s="4"/>
      <c r="AF9" s="4"/>
      <c r="AG9" s="4">
        <v>100000</v>
      </c>
      <c r="AH9" s="4"/>
      <c r="AI9" s="4">
        <v>100000</v>
      </c>
      <c r="AJ9" s="4"/>
      <c r="AK9" s="4"/>
      <c r="AL9" s="4">
        <v>300000</v>
      </c>
      <c r="AM9" s="4">
        <f t="shared" si="9"/>
        <v>500000</v>
      </c>
      <c r="AN9" s="4">
        <f t="shared" si="10"/>
        <v>0</v>
      </c>
      <c r="AO9" s="4"/>
      <c r="AP9" s="4">
        <f t="shared" si="12"/>
        <v>500000</v>
      </c>
      <c r="AQ9" s="160"/>
      <c r="AR9" s="160"/>
      <c r="AS9" s="160"/>
      <c r="AT9" s="4"/>
    </row>
    <row r="10" spans="1:46" s="164" customFormat="1" ht="30" customHeight="1">
      <c r="A10" s="160">
        <f t="shared" si="11"/>
        <v>5</v>
      </c>
      <c r="B10" s="160">
        <v>1260</v>
      </c>
      <c r="C10" s="160" t="s">
        <v>57</v>
      </c>
      <c r="D10" s="161">
        <f>8608000+500000</f>
        <v>9108000</v>
      </c>
      <c r="E10" s="161">
        <v>8608000</v>
      </c>
      <c r="F10" s="161">
        <f t="shared" si="0"/>
        <v>500000</v>
      </c>
      <c r="G10" s="161">
        <v>8608000</v>
      </c>
      <c r="H10" s="161">
        <v>8330412</v>
      </c>
      <c r="I10" s="161">
        <v>0</v>
      </c>
      <c r="J10" s="161">
        <v>144787</v>
      </c>
      <c r="K10" s="4">
        <f t="shared" si="1"/>
        <v>144787</v>
      </c>
      <c r="L10" s="4">
        <f t="shared" si="2"/>
        <v>8475199</v>
      </c>
      <c r="M10" s="4">
        <f t="shared" si="3"/>
        <v>132801</v>
      </c>
      <c r="N10" s="4">
        <v>500000</v>
      </c>
      <c r="O10" s="4">
        <f t="shared" si="4"/>
        <v>0</v>
      </c>
      <c r="P10" s="4">
        <f t="shared" si="5"/>
        <v>132801</v>
      </c>
      <c r="Q10" s="4"/>
      <c r="R10" s="4"/>
      <c r="S10" s="4">
        <f t="shared" si="6"/>
        <v>0</v>
      </c>
      <c r="T10" s="4">
        <f t="shared" si="7"/>
        <v>0</v>
      </c>
      <c r="U10" s="4">
        <f t="shared" si="8"/>
        <v>500000</v>
      </c>
      <c r="V10" s="4">
        <f>U10-W10-Z10-AA10</f>
        <v>0</v>
      </c>
      <c r="W10" s="4">
        <v>500000</v>
      </c>
      <c r="X10" s="4"/>
      <c r="Y10" s="4"/>
      <c r="Z10" s="4"/>
      <c r="AA10" s="4"/>
      <c r="AB10" s="160" t="s">
        <v>298</v>
      </c>
      <c r="AC10" s="160">
        <v>760000</v>
      </c>
      <c r="AD10" s="4"/>
      <c r="AE10" s="4"/>
      <c r="AF10" s="4"/>
      <c r="AG10" s="4">
        <v>100000</v>
      </c>
      <c r="AH10" s="4"/>
      <c r="AI10" s="4">
        <v>100000</v>
      </c>
      <c r="AJ10" s="4">
        <v>50000</v>
      </c>
      <c r="AK10" s="4"/>
      <c r="AL10" s="4">
        <v>250000</v>
      </c>
      <c r="AM10" s="4">
        <f t="shared" si="9"/>
        <v>500000</v>
      </c>
      <c r="AN10" s="4">
        <f t="shared" si="10"/>
        <v>0</v>
      </c>
      <c r="AO10" s="4"/>
      <c r="AP10" s="4">
        <f t="shared" si="12"/>
        <v>500000</v>
      </c>
      <c r="AQ10" s="160"/>
      <c r="AR10" s="160"/>
      <c r="AS10" s="160"/>
      <c r="AT10" s="4"/>
    </row>
    <row r="11" spans="1:46" s="164" customFormat="1" ht="30" customHeight="1">
      <c r="A11" s="160">
        <f t="shared" si="11"/>
        <v>6</v>
      </c>
      <c r="B11" s="160">
        <v>1422</v>
      </c>
      <c r="C11" s="160" t="s">
        <v>58</v>
      </c>
      <c r="D11" s="161">
        <v>30257000</v>
      </c>
      <c r="E11" s="161">
        <v>30257000</v>
      </c>
      <c r="F11" s="161">
        <f t="shared" si="0"/>
        <v>0</v>
      </c>
      <c r="G11" s="161">
        <v>14182000</v>
      </c>
      <c r="H11" s="161">
        <v>7257000</v>
      </c>
      <c r="I11" s="161">
        <v>0</v>
      </c>
      <c r="J11" s="161">
        <v>0</v>
      </c>
      <c r="K11" s="4">
        <f t="shared" si="1"/>
        <v>0</v>
      </c>
      <c r="L11" s="4">
        <f t="shared" si="2"/>
        <v>7257000</v>
      </c>
      <c r="M11" s="4">
        <f t="shared" si="3"/>
        <v>6925000</v>
      </c>
      <c r="N11" s="4"/>
      <c r="O11" s="4">
        <f t="shared" si="4"/>
        <v>16075000</v>
      </c>
      <c r="P11" s="4">
        <f t="shared" si="5"/>
        <v>6925000</v>
      </c>
      <c r="Q11" s="4"/>
      <c r="R11" s="4"/>
      <c r="S11" s="4">
        <f t="shared" si="6"/>
        <v>0</v>
      </c>
      <c r="T11" s="4">
        <f t="shared" si="7"/>
        <v>0</v>
      </c>
      <c r="U11" s="4">
        <f t="shared" si="8"/>
        <v>0</v>
      </c>
      <c r="V11" s="4">
        <f>U11-W11-Z11-AA11</f>
        <v>0</v>
      </c>
      <c r="W11" s="4"/>
      <c r="X11" s="4"/>
      <c r="Y11" s="4"/>
      <c r="Z11" s="4"/>
      <c r="AA11" s="4"/>
      <c r="AB11" s="160" t="s">
        <v>402</v>
      </c>
      <c r="AC11" s="160">
        <v>730000</v>
      </c>
      <c r="AD11" s="4"/>
      <c r="AE11" s="4"/>
      <c r="AF11" s="4"/>
      <c r="AG11" s="4"/>
      <c r="AH11" s="4"/>
      <c r="AI11" s="4"/>
      <c r="AJ11" s="4"/>
      <c r="AK11" s="4"/>
      <c r="AL11" s="4"/>
      <c r="AM11" s="4">
        <f t="shared" si="9"/>
        <v>0</v>
      </c>
      <c r="AN11" s="4">
        <f t="shared" si="10"/>
        <v>0</v>
      </c>
      <c r="AO11" s="4"/>
      <c r="AP11" s="4">
        <f t="shared" si="12"/>
        <v>0</v>
      </c>
      <c r="AQ11" s="160"/>
      <c r="AR11" s="160"/>
      <c r="AS11" s="160"/>
      <c r="AT11" s="4"/>
    </row>
    <row r="12" spans="1:46" s="164" customFormat="1" ht="30" customHeight="1">
      <c r="A12" s="160">
        <f t="shared" si="11"/>
        <v>7</v>
      </c>
      <c r="B12" s="160">
        <v>1688</v>
      </c>
      <c r="C12" s="160" t="s">
        <v>59</v>
      </c>
      <c r="D12" s="161">
        <v>15133000</v>
      </c>
      <c r="E12" s="161">
        <v>15133000</v>
      </c>
      <c r="F12" s="161">
        <f t="shared" si="0"/>
        <v>0</v>
      </c>
      <c r="G12" s="161">
        <v>15133000</v>
      </c>
      <c r="H12" s="161">
        <v>15133000</v>
      </c>
      <c r="I12" s="161">
        <v>0</v>
      </c>
      <c r="J12" s="161">
        <v>0</v>
      </c>
      <c r="K12" s="4">
        <f t="shared" si="1"/>
        <v>0</v>
      </c>
      <c r="L12" s="4">
        <f t="shared" si="2"/>
        <v>15133000</v>
      </c>
      <c r="M12" s="4">
        <f t="shared" si="3"/>
        <v>0</v>
      </c>
      <c r="N12" s="4"/>
      <c r="O12" s="4">
        <f t="shared" si="4"/>
        <v>0</v>
      </c>
      <c r="P12" s="4">
        <f t="shared" si="5"/>
        <v>0</v>
      </c>
      <c r="Q12" s="4"/>
      <c r="R12" s="4"/>
      <c r="S12" s="4">
        <f t="shared" si="6"/>
        <v>0</v>
      </c>
      <c r="T12" s="4">
        <f t="shared" si="7"/>
        <v>0</v>
      </c>
      <c r="U12" s="4">
        <f t="shared" si="8"/>
        <v>0</v>
      </c>
      <c r="V12" s="4">
        <f>U12-W12-Z12-AA12</f>
        <v>0</v>
      </c>
      <c r="W12" s="4"/>
      <c r="X12" s="4"/>
      <c r="Y12" s="4"/>
      <c r="Z12" s="4"/>
      <c r="AA12" s="4"/>
      <c r="AB12" s="160" t="s">
        <v>403</v>
      </c>
      <c r="AC12" s="160">
        <v>990000</v>
      </c>
      <c r="AD12" s="4"/>
      <c r="AE12" s="4"/>
      <c r="AF12" s="4"/>
      <c r="AG12" s="4"/>
      <c r="AH12" s="4"/>
      <c r="AI12" s="4"/>
      <c r="AJ12" s="4"/>
      <c r="AK12" s="4"/>
      <c r="AL12" s="4"/>
      <c r="AM12" s="4">
        <f t="shared" si="9"/>
        <v>0</v>
      </c>
      <c r="AN12" s="4">
        <f t="shared" si="10"/>
        <v>0</v>
      </c>
      <c r="AO12" s="4"/>
      <c r="AP12" s="4">
        <f t="shared" si="12"/>
        <v>0</v>
      </c>
      <c r="AQ12" s="160"/>
      <c r="AR12" s="160"/>
      <c r="AS12" s="160"/>
      <c r="AT12" s="4"/>
    </row>
    <row r="13" spans="1:46" s="164" customFormat="1" ht="30" customHeight="1">
      <c r="A13" s="160">
        <f t="shared" si="11"/>
        <v>8</v>
      </c>
      <c r="B13" s="160">
        <v>2100</v>
      </c>
      <c r="C13" s="160" t="s">
        <v>400</v>
      </c>
      <c r="D13" s="161">
        <f>8874955-1000000</f>
        <v>7874955</v>
      </c>
      <c r="E13" s="161">
        <v>8874955</v>
      </c>
      <c r="F13" s="161">
        <f>D13-E13</f>
        <v>-1000000</v>
      </c>
      <c r="G13" s="161">
        <v>8874955</v>
      </c>
      <c r="H13" s="161">
        <v>1275167</v>
      </c>
      <c r="I13" s="161">
        <v>9100</v>
      </c>
      <c r="J13" s="161">
        <v>938892</v>
      </c>
      <c r="K13" s="4">
        <f t="shared" si="1"/>
        <v>947992</v>
      </c>
      <c r="L13" s="4">
        <f t="shared" si="2"/>
        <v>2223159</v>
      </c>
      <c r="M13" s="4">
        <f>P13+S13-1000000-3000000-32543-376000</f>
        <v>2243253</v>
      </c>
      <c r="N13" s="4"/>
      <c r="O13" s="4">
        <f t="shared" si="4"/>
        <v>3408543</v>
      </c>
      <c r="P13" s="4">
        <f t="shared" si="5"/>
        <v>6651796</v>
      </c>
      <c r="Q13" s="4"/>
      <c r="R13" s="4"/>
      <c r="S13" s="4">
        <f t="shared" si="6"/>
        <v>0</v>
      </c>
      <c r="T13" s="4">
        <f t="shared" si="7"/>
        <v>4408543</v>
      </c>
      <c r="U13" s="4">
        <f t="shared" si="8"/>
        <v>-4408543</v>
      </c>
      <c r="V13" s="4">
        <f>-475269-33456</f>
        <v>-508725</v>
      </c>
      <c r="W13" s="4">
        <f>U13-V13</f>
        <v>-3899818</v>
      </c>
      <c r="X13" s="4"/>
      <c r="Y13" s="4"/>
      <c r="Z13" s="4"/>
      <c r="AA13" s="4"/>
      <c r="AB13" s="160" t="s">
        <v>401</v>
      </c>
      <c r="AC13" s="160">
        <v>742000</v>
      </c>
      <c r="AD13" s="4"/>
      <c r="AE13" s="4">
        <v>-4408543</v>
      </c>
      <c r="AF13" s="4"/>
      <c r="AG13" s="4"/>
      <c r="AH13" s="4"/>
      <c r="AI13" s="4"/>
      <c r="AJ13" s="4"/>
      <c r="AK13" s="4"/>
      <c r="AL13" s="4"/>
      <c r="AM13" s="4">
        <f t="shared" si="9"/>
        <v>-4408543</v>
      </c>
      <c r="AN13" s="4">
        <f t="shared" si="10"/>
        <v>0</v>
      </c>
      <c r="AO13" s="4">
        <v>-508725</v>
      </c>
      <c r="AP13" s="4">
        <f t="shared" si="12"/>
        <v>-3899818</v>
      </c>
      <c r="AQ13" s="160"/>
      <c r="AR13" s="160"/>
      <c r="AS13" s="160"/>
      <c r="AT13" s="160"/>
    </row>
    <row r="14" spans="1:46" s="5" customFormat="1" ht="30" customHeight="1">
      <c r="A14" s="160">
        <f t="shared" si="11"/>
        <v>9</v>
      </c>
      <c r="B14" s="30">
        <v>2222</v>
      </c>
      <c r="C14" s="160" t="s">
        <v>890</v>
      </c>
      <c r="D14" s="4">
        <v>10000000</v>
      </c>
      <c r="E14" s="4"/>
      <c r="F14" s="4">
        <f>D14-E14</f>
        <v>10000000</v>
      </c>
      <c r="G14" s="4">
        <v>0</v>
      </c>
      <c r="H14" s="4">
        <v>0</v>
      </c>
      <c r="I14" s="4">
        <v>0</v>
      </c>
      <c r="J14" s="4">
        <v>0</v>
      </c>
      <c r="K14" s="4">
        <f>SUM(I14:J14)</f>
        <v>0</v>
      </c>
      <c r="L14" s="4">
        <f>H14+K14</f>
        <v>0</v>
      </c>
      <c r="M14" s="4">
        <f>P14+S14</f>
        <v>0</v>
      </c>
      <c r="N14" s="4">
        <f>5000000-1000000</f>
        <v>4000000</v>
      </c>
      <c r="O14" s="4">
        <f>D14-L14-M14-N14</f>
        <v>6000000</v>
      </c>
      <c r="P14" s="4">
        <f>G14-L14</f>
        <v>0</v>
      </c>
      <c r="Q14" s="4"/>
      <c r="R14" s="4"/>
      <c r="S14" s="4">
        <f>SUM(Q14:R14)</f>
        <v>0</v>
      </c>
      <c r="T14" s="4">
        <f>P14-M14+S14</f>
        <v>0</v>
      </c>
      <c r="U14" s="4">
        <f>N14-T14</f>
        <v>4000000</v>
      </c>
      <c r="V14" s="4"/>
      <c r="W14" s="4">
        <f>U14-V14</f>
        <v>4000000</v>
      </c>
      <c r="X14" s="4"/>
      <c r="Y14" s="4"/>
      <c r="Z14" s="4"/>
      <c r="AA14" s="4"/>
      <c r="AB14" s="160" t="s">
        <v>783</v>
      </c>
      <c r="AC14" s="3">
        <v>742000</v>
      </c>
      <c r="AD14" s="4"/>
      <c r="AE14" s="4">
        <v>4000000</v>
      </c>
      <c r="AF14" s="4"/>
      <c r="AG14" s="4"/>
      <c r="AH14" s="4"/>
      <c r="AI14" s="4"/>
      <c r="AJ14" s="4"/>
      <c r="AK14" s="4"/>
      <c r="AL14" s="4"/>
      <c r="AM14" s="4">
        <f t="shared" si="9"/>
        <v>4000000</v>
      </c>
      <c r="AN14" s="4">
        <f t="shared" si="10"/>
        <v>0</v>
      </c>
      <c r="AO14" s="4"/>
      <c r="AP14" s="4">
        <f t="shared" si="12"/>
        <v>4000000</v>
      </c>
      <c r="AQ14" s="3"/>
      <c r="AR14" s="3"/>
      <c r="AS14" s="3"/>
      <c r="AT14" s="3"/>
    </row>
    <row r="15" spans="1:46" s="370" customFormat="1" ht="30" customHeight="1">
      <c r="A15" s="302">
        <f>A14</f>
        <v>9</v>
      </c>
      <c r="B15" s="302"/>
      <c r="C15" s="32" t="s">
        <v>392</v>
      </c>
      <c r="D15" s="369">
        <f>SUM(D6:D14)</f>
        <v>135032955</v>
      </c>
      <c r="E15" s="369">
        <f t="shared" ref="E15:AT15" si="13">SUM(E6:E14)</f>
        <v>125532955</v>
      </c>
      <c r="F15" s="369">
        <f t="shared" si="13"/>
        <v>9500000</v>
      </c>
      <c r="G15" s="369">
        <f t="shared" si="13"/>
        <v>96529849</v>
      </c>
      <c r="H15" s="369">
        <f t="shared" si="13"/>
        <v>77482409</v>
      </c>
      <c r="I15" s="369">
        <f t="shared" si="13"/>
        <v>9100</v>
      </c>
      <c r="J15" s="369">
        <f t="shared" si="13"/>
        <v>3371919</v>
      </c>
      <c r="K15" s="369">
        <f t="shared" si="13"/>
        <v>3381019</v>
      </c>
      <c r="L15" s="369">
        <f t="shared" si="13"/>
        <v>80863428</v>
      </c>
      <c r="M15" s="369">
        <f t="shared" si="13"/>
        <v>11257878</v>
      </c>
      <c r="N15" s="369">
        <f t="shared" si="13"/>
        <v>8300000</v>
      </c>
      <c r="O15" s="369">
        <f t="shared" si="13"/>
        <v>34611649</v>
      </c>
      <c r="P15" s="369">
        <f t="shared" si="13"/>
        <v>15666421</v>
      </c>
      <c r="Q15" s="369">
        <f t="shared" si="13"/>
        <v>0</v>
      </c>
      <c r="R15" s="369">
        <f t="shared" si="13"/>
        <v>0</v>
      </c>
      <c r="S15" s="369">
        <f t="shared" si="13"/>
        <v>0</v>
      </c>
      <c r="T15" s="369">
        <f t="shared" si="13"/>
        <v>4408543</v>
      </c>
      <c r="U15" s="369">
        <f t="shared" si="13"/>
        <v>3891457</v>
      </c>
      <c r="V15" s="369">
        <f t="shared" si="13"/>
        <v>-508725</v>
      </c>
      <c r="W15" s="369">
        <f t="shared" si="13"/>
        <v>3689887</v>
      </c>
      <c r="X15" s="369">
        <f t="shared" si="13"/>
        <v>0</v>
      </c>
      <c r="Y15" s="369">
        <f t="shared" si="13"/>
        <v>0</v>
      </c>
      <c r="Z15" s="369">
        <f t="shared" si="13"/>
        <v>0</v>
      </c>
      <c r="AA15" s="369">
        <f t="shared" si="13"/>
        <v>710295</v>
      </c>
      <c r="AB15" s="369">
        <f t="shared" si="13"/>
        <v>0</v>
      </c>
      <c r="AC15" s="369">
        <f t="shared" si="13"/>
        <v>7048000</v>
      </c>
      <c r="AD15" s="369">
        <f t="shared" si="13"/>
        <v>750000</v>
      </c>
      <c r="AE15" s="369">
        <f>SUM(AE6:AE14)</f>
        <v>-258543</v>
      </c>
      <c r="AF15" s="369">
        <f>SUM(AF6:AF14)</f>
        <v>0</v>
      </c>
      <c r="AG15" s="369">
        <f t="shared" si="13"/>
        <v>200000</v>
      </c>
      <c r="AH15" s="369">
        <f>SUM(AH6:AH14)</f>
        <v>0</v>
      </c>
      <c r="AI15" s="369">
        <f>SUM(AI6:AI14)</f>
        <v>200000</v>
      </c>
      <c r="AJ15" s="369">
        <f>SUM(AJ6:AJ14)</f>
        <v>760295</v>
      </c>
      <c r="AK15" s="369">
        <f>SUM(AK6:AK14)</f>
        <v>0</v>
      </c>
      <c r="AL15" s="369">
        <f>SUM(AL6:AL14)</f>
        <v>700000</v>
      </c>
      <c r="AM15" s="369">
        <f t="shared" si="13"/>
        <v>2351752</v>
      </c>
      <c r="AN15" s="369">
        <f t="shared" si="13"/>
        <v>1539705</v>
      </c>
      <c r="AO15" s="369">
        <f t="shared" si="13"/>
        <v>-508725</v>
      </c>
      <c r="AP15" s="369">
        <f t="shared" si="13"/>
        <v>2150182</v>
      </c>
      <c r="AQ15" s="369">
        <f t="shared" si="13"/>
        <v>0</v>
      </c>
      <c r="AR15" s="369">
        <f t="shared" si="13"/>
        <v>0</v>
      </c>
      <c r="AS15" s="369">
        <f t="shared" si="13"/>
        <v>0</v>
      </c>
      <c r="AT15" s="369">
        <f t="shared" si="13"/>
        <v>710295</v>
      </c>
    </row>
    <row r="16" spans="1:46" hidden="1">
      <c r="L16" s="155">
        <f>K15+H15</f>
        <v>80863428</v>
      </c>
      <c r="M16" s="155">
        <f>P16+S15-T15</f>
        <v>11257878</v>
      </c>
      <c r="P16" s="155">
        <f>G15-L16</f>
        <v>15666421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W1"/>
    <mergeCell ref="V4:AA4"/>
    <mergeCell ref="AD4:AM4"/>
    <mergeCell ref="AO4:AT4"/>
    <mergeCell ref="T4:U4"/>
  </mergeCells>
  <conditionalFormatting sqref="AB5">
    <cfRule type="cellIs" dxfId="0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  <rowBreaks count="1" manualBreakCount="1">
    <brk id="19" max="16383" man="1"/>
  </rowBreaks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BN120"/>
  <sheetViews>
    <sheetView showZeros="0" rightToLeft="1" zoomScaleNormal="100" zoomScaleSheetLayoutView="75" workbookViewId="0">
      <pane xSplit="4" ySplit="5" topLeftCell="E67" activePane="bottomRight" state="frozen"/>
      <selection activeCell="C55" sqref="C55"/>
      <selection pane="topRight" activeCell="C55" sqref="C55"/>
      <selection pane="bottomLeft" activeCell="C55" sqref="C55"/>
      <selection pane="bottomRight" activeCell="C55" sqref="C55"/>
    </sheetView>
  </sheetViews>
  <sheetFormatPr defaultColWidth="14" defaultRowHeight="14.25"/>
  <cols>
    <col min="1" max="1" width="10.28515625" style="718" hidden="1" customWidth="1"/>
    <col min="2" max="2" width="10.7109375" style="718" hidden="1" customWidth="1"/>
    <col min="3" max="3" width="5.5703125" style="718" customWidth="1"/>
    <col min="4" max="4" width="6" style="718" customWidth="1"/>
    <col min="5" max="5" width="28.5703125" style="718" customWidth="1"/>
    <col min="6" max="8" width="11.28515625" style="718" hidden="1" customWidth="1"/>
    <col min="9" max="9" width="12.140625" style="718" hidden="1" customWidth="1"/>
    <col min="10" max="14" width="11.28515625" style="718" hidden="1" customWidth="1"/>
    <col min="15" max="19" width="11.28515625" style="718" customWidth="1"/>
    <col min="20" max="20" width="30.7109375" style="718" hidden="1" customWidth="1"/>
    <col min="21" max="21" width="9.7109375" style="718" hidden="1" customWidth="1"/>
    <col min="22" max="26" width="10.7109375" style="718" hidden="1" customWidth="1"/>
    <col min="27" max="27" width="11.7109375" style="718" hidden="1" customWidth="1"/>
    <col min="28" max="28" width="12.140625" style="718" customWidth="1"/>
    <col min="29" max="33" width="11.28515625" style="718" customWidth="1"/>
    <col min="34" max="34" width="10.42578125" style="461" customWidth="1"/>
    <col min="35" max="38" width="12.140625" style="718" customWidth="1"/>
    <col min="39" max="39" width="10.140625" style="718" customWidth="1"/>
    <col min="40" max="42" width="10.140625" style="718" bestFit="1" customWidth="1"/>
    <col min="43" max="43" width="9.7109375" style="718" customWidth="1"/>
    <col min="44" max="44" width="10.140625" style="718" customWidth="1"/>
    <col min="45" max="45" width="14" style="718"/>
    <col min="46" max="47" width="13.28515625" style="718" customWidth="1"/>
    <col min="48" max="50" width="9.7109375" style="718" customWidth="1"/>
    <col min="51" max="51" width="13.28515625" style="718" customWidth="1"/>
    <col min="52" max="53" width="14" style="718"/>
    <col min="54" max="56" width="13.28515625" style="718" customWidth="1"/>
    <col min="57" max="65" width="10.28515625" style="718" customWidth="1"/>
    <col min="66" max="16384" width="14" style="718"/>
  </cols>
  <sheetData>
    <row r="1" spans="1:65" ht="18" customHeight="1">
      <c r="A1" s="180"/>
      <c r="B1" s="180"/>
      <c r="C1" s="180"/>
      <c r="D1" s="716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717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I1" s="461"/>
      <c r="AJ1" s="461"/>
      <c r="AK1" s="461"/>
      <c r="AL1" s="461"/>
      <c r="AM1" s="461"/>
      <c r="AN1" s="461"/>
      <c r="AO1" s="461"/>
      <c r="AP1" s="461"/>
      <c r="AQ1" s="281"/>
      <c r="AR1" s="281"/>
      <c r="AS1" s="281"/>
      <c r="AT1" s="281"/>
      <c r="AU1" s="281"/>
      <c r="AV1" s="281"/>
      <c r="AW1" s="281"/>
      <c r="AX1" s="281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</row>
    <row r="2" spans="1:65" ht="23.25">
      <c r="B2" s="281"/>
      <c r="C2" s="281" t="s">
        <v>2303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180"/>
      <c r="T2" s="719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720"/>
      <c r="AF2" s="281"/>
      <c r="AG2" s="281"/>
      <c r="AI2" s="461"/>
      <c r="AJ2" s="461"/>
      <c r="AK2" s="461"/>
      <c r="AL2" s="461"/>
      <c r="AM2" s="461"/>
      <c r="AN2" s="461"/>
      <c r="AO2" s="461"/>
      <c r="AP2" s="461"/>
      <c r="AQ2" s="281"/>
      <c r="AR2" s="281"/>
      <c r="AS2" s="281"/>
      <c r="AT2" s="281"/>
      <c r="AU2" s="281"/>
      <c r="AV2" s="281"/>
      <c r="AW2" s="281"/>
      <c r="AX2" s="281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</row>
    <row r="3" spans="1:65" ht="17.25" customHeight="1" thickBot="1">
      <c r="A3" s="181"/>
      <c r="B3" s="181"/>
      <c r="C3" s="181"/>
      <c r="D3" s="2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721"/>
      <c r="U3" s="181"/>
      <c r="V3" s="181"/>
      <c r="W3" s="181"/>
      <c r="X3" s="181"/>
      <c r="Y3" s="181"/>
      <c r="Z3" s="181"/>
      <c r="AA3" s="181"/>
      <c r="AB3" s="181"/>
      <c r="AC3" s="722"/>
      <c r="AD3" s="181"/>
      <c r="AE3" s="181"/>
      <c r="AF3" s="181"/>
      <c r="AG3" s="181"/>
      <c r="AI3" s="461"/>
      <c r="AJ3" s="461"/>
      <c r="AK3" s="461"/>
      <c r="AL3" s="461"/>
      <c r="AM3" s="461"/>
      <c r="AN3" s="461"/>
      <c r="AO3" s="461"/>
      <c r="AP3" s="461"/>
      <c r="AQ3" s="281"/>
      <c r="AR3" s="281"/>
      <c r="AS3" s="281"/>
      <c r="AT3" s="281"/>
      <c r="AU3" s="281"/>
      <c r="AV3" s="281"/>
      <c r="AW3" s="281"/>
      <c r="AX3" s="281"/>
      <c r="AY3" s="180"/>
      <c r="AZ3" s="180"/>
      <c r="BA3" s="180"/>
      <c r="BB3" s="180"/>
      <c r="BC3" s="180"/>
      <c r="BD3" s="180"/>
      <c r="BE3" s="180"/>
      <c r="BF3" s="180"/>
      <c r="BG3" s="180"/>
      <c r="BH3" s="180"/>
      <c r="BI3" s="180"/>
      <c r="BJ3" s="180"/>
      <c r="BK3" s="180"/>
      <c r="BL3" s="180"/>
      <c r="BM3" s="180"/>
    </row>
    <row r="4" spans="1:65" ht="23.25">
      <c r="A4" s="604"/>
      <c r="B4" s="723"/>
      <c r="C4" s="607"/>
      <c r="D4" s="608"/>
      <c r="E4" s="607"/>
      <c r="F4" s="881" t="s">
        <v>255</v>
      </c>
      <c r="G4" s="881"/>
      <c r="H4" s="881"/>
      <c r="I4" s="881"/>
      <c r="J4" s="881"/>
      <c r="K4" s="881"/>
      <c r="L4" s="881" t="s">
        <v>256</v>
      </c>
      <c r="M4" s="881"/>
      <c r="N4" s="881"/>
      <c r="O4" s="881"/>
      <c r="P4" s="881"/>
      <c r="Q4" s="881"/>
      <c r="R4" s="881"/>
      <c r="S4" s="881"/>
      <c r="T4" s="842"/>
      <c r="U4" s="843"/>
      <c r="V4" s="843"/>
      <c r="W4" s="843"/>
      <c r="X4" s="843"/>
      <c r="Y4" s="843"/>
      <c r="Z4" s="843"/>
      <c r="AA4" s="843"/>
      <c r="AB4" s="843" t="s">
        <v>246</v>
      </c>
      <c r="AC4" s="852"/>
      <c r="AD4" s="882" t="s">
        <v>2147</v>
      </c>
      <c r="AE4" s="883"/>
      <c r="AF4" s="883"/>
      <c r="AG4" s="884"/>
      <c r="AI4" s="461"/>
      <c r="AJ4" s="461"/>
      <c r="AK4" s="461"/>
      <c r="AL4" s="461"/>
      <c r="AM4" s="461"/>
      <c r="AN4" s="461"/>
      <c r="AO4" s="461"/>
      <c r="AP4" s="461"/>
      <c r="AQ4" s="281"/>
      <c r="AR4" s="281"/>
      <c r="AS4" s="281"/>
      <c r="AT4" s="281"/>
      <c r="AU4" s="281"/>
      <c r="AV4" s="281"/>
      <c r="AW4" s="281"/>
      <c r="AX4" s="281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</row>
    <row r="5" spans="1:65" s="617" customFormat="1" ht="110.25">
      <c r="A5" s="605" t="s">
        <v>257</v>
      </c>
      <c r="B5" s="724" t="s">
        <v>258</v>
      </c>
      <c r="C5" s="725" t="s">
        <v>1496</v>
      </c>
      <c r="D5" s="733" t="s">
        <v>1</v>
      </c>
      <c r="E5" s="725" t="s">
        <v>2</v>
      </c>
      <c r="F5" s="616" t="s">
        <v>259</v>
      </c>
      <c r="G5" s="616" t="s">
        <v>260</v>
      </c>
      <c r="H5" s="616" t="s">
        <v>261</v>
      </c>
      <c r="I5" s="616" t="s">
        <v>2047</v>
      </c>
      <c r="J5" s="616" t="s">
        <v>2048</v>
      </c>
      <c r="K5" s="616" t="s">
        <v>620</v>
      </c>
      <c r="L5" s="616" t="s">
        <v>2049</v>
      </c>
      <c r="M5" s="616" t="s">
        <v>2050</v>
      </c>
      <c r="N5" s="616" t="s">
        <v>2051</v>
      </c>
      <c r="O5" s="616" t="s">
        <v>2052</v>
      </c>
      <c r="P5" s="616" t="s">
        <v>13</v>
      </c>
      <c r="Q5" s="616" t="s">
        <v>14</v>
      </c>
      <c r="R5" s="616" t="s">
        <v>265</v>
      </c>
      <c r="S5" s="616" t="s">
        <v>84</v>
      </c>
      <c r="T5" s="726" t="s">
        <v>494</v>
      </c>
      <c r="U5" s="616" t="s">
        <v>2053</v>
      </c>
      <c r="V5" s="616" t="s">
        <v>2054</v>
      </c>
      <c r="W5" s="616" t="s">
        <v>2055</v>
      </c>
      <c r="X5" s="616" t="s">
        <v>2056</v>
      </c>
      <c r="Y5" s="616" t="s">
        <v>2057</v>
      </c>
      <c r="Z5" s="616" t="s">
        <v>2058</v>
      </c>
      <c r="AA5" s="616" t="s">
        <v>2059</v>
      </c>
      <c r="AB5" s="616" t="s">
        <v>2037</v>
      </c>
      <c r="AC5" s="616" t="s">
        <v>852</v>
      </c>
      <c r="AD5" s="616" t="s">
        <v>13</v>
      </c>
      <c r="AE5" s="616" t="s">
        <v>14</v>
      </c>
      <c r="AF5" s="616" t="s">
        <v>265</v>
      </c>
      <c r="AG5" s="616" t="s">
        <v>84</v>
      </c>
      <c r="AH5" s="461"/>
      <c r="AI5" s="461"/>
      <c r="AJ5" s="461"/>
      <c r="AK5" s="461"/>
      <c r="AL5" s="461"/>
      <c r="AM5" s="461"/>
      <c r="AN5" s="461"/>
      <c r="AO5" s="461"/>
      <c r="AP5" s="461"/>
      <c r="AQ5" s="281"/>
      <c r="AR5" s="281"/>
      <c r="AS5" s="281"/>
      <c r="AT5" s="281"/>
      <c r="AU5" s="281"/>
      <c r="AV5" s="281"/>
      <c r="AW5" s="281"/>
      <c r="AX5" s="281"/>
      <c r="AY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80"/>
    </row>
    <row r="6" spans="1:65" s="617" customFormat="1" ht="23.25">
      <c r="A6" s="605"/>
      <c r="B6" s="724"/>
      <c r="C6" s="724"/>
      <c r="D6" s="614"/>
      <c r="E6" s="724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616"/>
      <c r="X6" s="616"/>
      <c r="Y6" s="616"/>
      <c r="Z6" s="616"/>
      <c r="AA6" s="616"/>
      <c r="AB6" s="616"/>
      <c r="AC6" s="616"/>
      <c r="AD6" s="616"/>
      <c r="AE6" s="616"/>
      <c r="AF6" s="616"/>
      <c r="AG6" s="616"/>
      <c r="AH6" s="461"/>
      <c r="AI6" s="461"/>
      <c r="AJ6" s="461"/>
      <c r="AK6" s="461"/>
      <c r="AL6" s="461"/>
      <c r="AM6" s="461"/>
      <c r="AN6" s="461"/>
      <c r="AO6" s="461"/>
      <c r="AP6" s="461"/>
      <c r="AQ6" s="281"/>
      <c r="AR6" s="281"/>
      <c r="AS6" s="281"/>
      <c r="AT6" s="281"/>
      <c r="AU6" s="281"/>
      <c r="AV6" s="281"/>
      <c r="AW6" s="281"/>
      <c r="AX6" s="281"/>
      <c r="AY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</row>
    <row r="7" spans="1:65" s="609" customFormat="1" ht="23.25">
      <c r="A7" s="606"/>
      <c r="B7" s="607"/>
      <c r="C7" s="607"/>
      <c r="D7" s="608"/>
      <c r="E7" s="739" t="s">
        <v>495</v>
      </c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607"/>
      <c r="T7" s="629"/>
      <c r="U7" s="607"/>
      <c r="V7" s="607"/>
      <c r="W7" s="607"/>
      <c r="X7" s="607"/>
      <c r="Y7" s="607"/>
      <c r="Z7" s="607"/>
      <c r="AA7" s="607"/>
      <c r="AB7" s="607"/>
      <c r="AC7" s="607"/>
      <c r="AD7" s="607"/>
      <c r="AE7" s="607"/>
      <c r="AF7" s="607"/>
      <c r="AG7" s="607"/>
      <c r="AH7" s="461"/>
      <c r="AI7" s="461"/>
      <c r="AJ7" s="461"/>
      <c r="AK7" s="461"/>
      <c r="AL7" s="461"/>
      <c r="AM7" s="461"/>
      <c r="AN7" s="461"/>
      <c r="AO7" s="461"/>
      <c r="AP7" s="461"/>
      <c r="AQ7" s="281"/>
      <c r="AR7" s="281"/>
      <c r="AS7" s="281"/>
      <c r="AT7" s="281"/>
      <c r="AU7" s="281"/>
      <c r="AV7" s="281"/>
      <c r="AW7" s="281"/>
      <c r="AX7" s="281"/>
      <c r="AY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</row>
    <row r="8" spans="1:65" s="628" customFormat="1" ht="31.5">
      <c r="A8" s="610" t="s">
        <v>2060</v>
      </c>
      <c r="B8" s="724" t="s">
        <v>2061</v>
      </c>
      <c r="C8" s="727">
        <v>1</v>
      </c>
      <c r="D8" s="728">
        <v>626</v>
      </c>
      <c r="E8" s="615" t="s">
        <v>601</v>
      </c>
      <c r="F8" s="174">
        <v>34775000</v>
      </c>
      <c r="G8" s="174">
        <v>34775000</v>
      </c>
      <c r="H8" s="174">
        <f>F8-G8</f>
        <v>0</v>
      </c>
      <c r="I8" s="174">
        <f>13959527+315473</f>
        <v>14275000</v>
      </c>
      <c r="J8" s="174">
        <v>6300000</v>
      </c>
      <c r="K8" s="174">
        <f>F8-I8-J8</f>
        <v>14200000</v>
      </c>
      <c r="L8" s="174"/>
      <c r="M8" s="174">
        <f>J8-L8</f>
        <v>6300000</v>
      </c>
      <c r="N8" s="174">
        <v>8000000</v>
      </c>
      <c r="O8" s="174">
        <f>M8-N8</f>
        <v>-1700000</v>
      </c>
      <c r="P8" s="174">
        <f>O8-Q8-S8</f>
        <v>-1700000</v>
      </c>
      <c r="Q8" s="174"/>
      <c r="R8" s="174"/>
      <c r="S8" s="174"/>
      <c r="T8" s="729" t="s">
        <v>2062</v>
      </c>
      <c r="U8" s="174"/>
      <c r="V8" s="174">
        <v>-1700000</v>
      </c>
      <c r="W8" s="174"/>
      <c r="X8" s="174"/>
      <c r="Y8" s="174"/>
      <c r="Z8" s="174"/>
      <c r="AA8" s="174"/>
      <c r="AB8" s="174">
        <f>SUM(U8:AA8)</f>
        <v>-1700000</v>
      </c>
      <c r="AC8" s="174">
        <f>O8-AB8</f>
        <v>0</v>
      </c>
      <c r="AD8" s="174">
        <f>AB8-AE8-AF8-AG8</f>
        <v>-1700000</v>
      </c>
      <c r="AE8" s="174"/>
      <c r="AF8" s="174"/>
      <c r="AG8" s="174"/>
      <c r="AH8" s="730"/>
      <c r="AI8" s="730"/>
      <c r="AJ8" s="730"/>
      <c r="AK8" s="730"/>
      <c r="AL8" s="730"/>
      <c r="AM8" s="730"/>
      <c r="AN8" s="730"/>
      <c r="AO8" s="730"/>
      <c r="AP8" s="730"/>
      <c r="AQ8" s="731"/>
      <c r="AR8" s="731"/>
      <c r="AS8" s="731"/>
      <c r="AT8" s="731"/>
      <c r="AU8" s="731"/>
      <c r="AV8" s="731"/>
      <c r="AW8" s="731"/>
      <c r="AX8" s="731"/>
      <c r="AY8" s="611"/>
      <c r="BB8" s="611"/>
      <c r="BC8" s="611"/>
      <c r="BD8" s="611"/>
      <c r="BE8" s="611"/>
      <c r="BF8" s="611"/>
      <c r="BG8" s="611"/>
      <c r="BH8" s="611"/>
      <c r="BI8" s="611"/>
      <c r="BJ8" s="611"/>
      <c r="BK8" s="611"/>
      <c r="BL8" s="611"/>
      <c r="BM8" s="611"/>
    </row>
    <row r="9" spans="1:65" s="609" customFormat="1" ht="30" customHeight="1">
      <c r="A9" s="610" t="s">
        <v>2060</v>
      </c>
      <c r="B9" s="724" t="s">
        <v>2061</v>
      </c>
      <c r="C9" s="727">
        <v>2</v>
      </c>
      <c r="D9" s="728">
        <v>1805</v>
      </c>
      <c r="E9" s="615" t="s">
        <v>107</v>
      </c>
      <c r="F9" s="174">
        <f>1000000+1250000</f>
        <v>2250000</v>
      </c>
      <c r="G9" s="174">
        <v>1000000</v>
      </c>
      <c r="H9" s="174">
        <f>F9-G9</f>
        <v>1250000</v>
      </c>
      <c r="I9" s="174">
        <f>24692+25308</f>
        <v>50000</v>
      </c>
      <c r="J9" s="174">
        <v>2200000</v>
      </c>
      <c r="K9" s="174">
        <f>F9-I9-J9</f>
        <v>0</v>
      </c>
      <c r="L9" s="174">
        <v>950000</v>
      </c>
      <c r="M9" s="174">
        <f>J9-L9</f>
        <v>1250000</v>
      </c>
      <c r="N9" s="174">
        <v>-450000</v>
      </c>
      <c r="O9" s="174">
        <f>M9-N9</f>
        <v>1700000</v>
      </c>
      <c r="P9" s="174">
        <f>O9-Q9-S9</f>
        <v>1700000</v>
      </c>
      <c r="Q9" s="174"/>
      <c r="R9" s="174"/>
      <c r="S9" s="174"/>
      <c r="T9" s="729" t="s">
        <v>2063</v>
      </c>
      <c r="U9" s="174"/>
      <c r="V9" s="174">
        <v>1700000</v>
      </c>
      <c r="W9" s="174"/>
      <c r="X9" s="174"/>
      <c r="Y9" s="174"/>
      <c r="Z9" s="174"/>
      <c r="AA9" s="174"/>
      <c r="AB9" s="174">
        <f>SUM(U9:AA9)</f>
        <v>1700000</v>
      </c>
      <c r="AC9" s="174">
        <f>O9-AB9</f>
        <v>0</v>
      </c>
      <c r="AD9" s="174">
        <f>AB9-AE9-AF9-AG9</f>
        <v>1700000</v>
      </c>
      <c r="AE9" s="174"/>
      <c r="AF9" s="174"/>
      <c r="AG9" s="174"/>
      <c r="AH9" s="461"/>
      <c r="AI9" s="461"/>
      <c r="AJ9" s="461"/>
      <c r="AK9" s="461"/>
      <c r="AL9" s="461"/>
      <c r="AM9" s="461"/>
      <c r="AN9" s="461"/>
      <c r="AO9" s="461"/>
      <c r="AP9" s="461"/>
      <c r="AQ9" s="281"/>
      <c r="AR9" s="281"/>
      <c r="AS9" s="281"/>
      <c r="AT9" s="281"/>
      <c r="AU9" s="281"/>
      <c r="AV9" s="281"/>
      <c r="AW9" s="281"/>
      <c r="AX9" s="281"/>
      <c r="AY9" s="180"/>
      <c r="BB9" s="180"/>
      <c r="BC9" s="180"/>
      <c r="BD9" s="180"/>
      <c r="BE9" s="180"/>
      <c r="BF9" s="180"/>
      <c r="BG9" s="180"/>
      <c r="BH9" s="180"/>
      <c r="BI9" s="180"/>
      <c r="BJ9" s="180"/>
      <c r="BK9" s="180"/>
      <c r="BL9" s="180"/>
      <c r="BM9" s="180"/>
    </row>
    <row r="10" spans="1:65" s="609" customFormat="1" ht="30" customHeight="1">
      <c r="A10" s="610" t="s">
        <v>2064</v>
      </c>
      <c r="B10" s="724" t="s">
        <v>2065</v>
      </c>
      <c r="C10" s="727">
        <v>3</v>
      </c>
      <c r="D10" s="728">
        <v>2232</v>
      </c>
      <c r="E10" s="615" t="s">
        <v>2066</v>
      </c>
      <c r="F10" s="174">
        <v>17200000</v>
      </c>
      <c r="G10" s="174"/>
      <c r="H10" s="174">
        <f>F10-G10</f>
        <v>17200000</v>
      </c>
      <c r="I10" s="174"/>
      <c r="J10" s="174">
        <v>500000</v>
      </c>
      <c r="K10" s="174">
        <f>F10-I10-J10</f>
        <v>16700000</v>
      </c>
      <c r="L10" s="174"/>
      <c r="M10" s="174">
        <f>J10-L10</f>
        <v>500000</v>
      </c>
      <c r="N10" s="174"/>
      <c r="O10" s="174">
        <f>M10-N10</f>
        <v>500000</v>
      </c>
      <c r="P10" s="174">
        <f>O10-Q10-S10</f>
        <v>500000</v>
      </c>
      <c r="Q10" s="174"/>
      <c r="R10" s="174"/>
      <c r="S10" s="174"/>
      <c r="T10" s="729" t="s">
        <v>2067</v>
      </c>
      <c r="U10" s="174"/>
      <c r="V10" s="174"/>
      <c r="W10" s="174"/>
      <c r="X10" s="174">
        <v>500000</v>
      </c>
      <c r="Y10" s="174"/>
      <c r="Z10" s="174"/>
      <c r="AA10" s="174"/>
      <c r="AB10" s="174">
        <f>SUM(U10:AA10)</f>
        <v>500000</v>
      </c>
      <c r="AC10" s="174">
        <f>O10-AB10</f>
        <v>0</v>
      </c>
      <c r="AD10" s="174">
        <v>500000</v>
      </c>
      <c r="AE10" s="174">
        <f>AB10-AF10-AG10-AD10</f>
        <v>0</v>
      </c>
      <c r="AF10" s="174"/>
      <c r="AG10" s="174"/>
      <c r="AH10" s="461"/>
      <c r="AI10" s="461"/>
      <c r="AJ10" s="461"/>
      <c r="AK10" s="461"/>
      <c r="AL10" s="461"/>
      <c r="AM10" s="461"/>
      <c r="AN10" s="461"/>
      <c r="AO10" s="461"/>
      <c r="AP10" s="281"/>
      <c r="AQ10" s="281"/>
      <c r="AR10" s="281"/>
      <c r="AS10" s="281"/>
      <c r="AT10" s="281"/>
      <c r="AU10" s="281"/>
      <c r="AV10" s="281"/>
      <c r="AW10" s="281"/>
      <c r="AX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</row>
    <row r="11" spans="1:65" s="609" customFormat="1" ht="30" customHeight="1">
      <c r="A11" s="610" t="s">
        <v>2064</v>
      </c>
      <c r="B11" s="724" t="s">
        <v>2065</v>
      </c>
      <c r="C11" s="727">
        <v>4</v>
      </c>
      <c r="D11" s="728">
        <v>2233</v>
      </c>
      <c r="E11" s="615" t="s">
        <v>2068</v>
      </c>
      <c r="F11" s="174">
        <v>20250000</v>
      </c>
      <c r="G11" s="174"/>
      <c r="H11" s="174">
        <f>F11-G11</f>
        <v>20250000</v>
      </c>
      <c r="I11" s="174"/>
      <c r="J11" s="174">
        <v>500000</v>
      </c>
      <c r="K11" s="174">
        <f>F11-I11-J11</f>
        <v>19750000</v>
      </c>
      <c r="L11" s="174"/>
      <c r="M11" s="174">
        <f>J11-L11</f>
        <v>500000</v>
      </c>
      <c r="N11" s="174"/>
      <c r="O11" s="174">
        <f>M11-N11</f>
        <v>500000</v>
      </c>
      <c r="P11" s="174">
        <f>O11-Q11-S11</f>
        <v>500000</v>
      </c>
      <c r="Q11" s="174"/>
      <c r="R11" s="174"/>
      <c r="S11" s="174"/>
      <c r="T11" s="729" t="s">
        <v>2069</v>
      </c>
      <c r="U11" s="174"/>
      <c r="V11" s="174"/>
      <c r="W11" s="174"/>
      <c r="X11" s="174">
        <v>500000</v>
      </c>
      <c r="Y11" s="174"/>
      <c r="Z11" s="174"/>
      <c r="AA11" s="174"/>
      <c r="AB11" s="174">
        <f>SUM(U11:AA11)</f>
        <v>500000</v>
      </c>
      <c r="AC11" s="174">
        <f>O11-AB11</f>
        <v>0</v>
      </c>
      <c r="AD11" s="174">
        <v>500000</v>
      </c>
      <c r="AE11" s="174">
        <f>AB11-AF11-AG11-AD11</f>
        <v>0</v>
      </c>
      <c r="AF11" s="174"/>
      <c r="AG11" s="174"/>
      <c r="AH11" s="461"/>
      <c r="AI11" s="461"/>
      <c r="AJ11" s="461"/>
      <c r="AK11" s="461"/>
      <c r="AL11" s="461"/>
      <c r="AM11" s="461"/>
      <c r="AN11" s="461"/>
      <c r="AO11" s="461"/>
      <c r="AP11" s="281"/>
      <c r="AQ11" s="281"/>
      <c r="AR11" s="281"/>
      <c r="AS11" s="281"/>
      <c r="AT11" s="281"/>
      <c r="AU11" s="281"/>
      <c r="AV11" s="281"/>
      <c r="AW11" s="281"/>
      <c r="AX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</row>
    <row r="12" spans="1:65" s="628" customFormat="1" ht="30" customHeight="1">
      <c r="A12" s="612"/>
      <c r="B12" s="616"/>
      <c r="C12" s="732">
        <f>COUNT(C8:C11)</f>
        <v>4</v>
      </c>
      <c r="D12" s="733"/>
      <c r="E12" s="734" t="s">
        <v>497</v>
      </c>
      <c r="F12" s="622">
        <f>SUM(F8:F11)</f>
        <v>74475000</v>
      </c>
      <c r="G12" s="622">
        <f t="shared" ref="G12:S12" si="0">SUM(G8:G11)</f>
        <v>35775000</v>
      </c>
      <c r="H12" s="622">
        <f t="shared" si="0"/>
        <v>38700000</v>
      </c>
      <c r="I12" s="622">
        <f t="shared" si="0"/>
        <v>14325000</v>
      </c>
      <c r="J12" s="622">
        <f t="shared" si="0"/>
        <v>9500000</v>
      </c>
      <c r="K12" s="622">
        <f t="shared" si="0"/>
        <v>50650000</v>
      </c>
      <c r="L12" s="622">
        <f t="shared" si="0"/>
        <v>950000</v>
      </c>
      <c r="M12" s="622">
        <f t="shared" si="0"/>
        <v>8550000</v>
      </c>
      <c r="N12" s="622">
        <f t="shared" si="0"/>
        <v>7550000</v>
      </c>
      <c r="O12" s="622">
        <f t="shared" si="0"/>
        <v>1000000</v>
      </c>
      <c r="P12" s="622">
        <f t="shared" si="0"/>
        <v>1000000</v>
      </c>
      <c r="Q12" s="622">
        <f t="shared" si="0"/>
        <v>0</v>
      </c>
      <c r="R12" s="622">
        <f t="shared" si="0"/>
        <v>0</v>
      </c>
      <c r="S12" s="622">
        <f t="shared" si="0"/>
        <v>0</v>
      </c>
      <c r="T12" s="735"/>
      <c r="U12" s="622">
        <f t="shared" ref="U12:AF12" si="1">SUM(U8:U11)</f>
        <v>0</v>
      </c>
      <c r="V12" s="622">
        <f t="shared" si="1"/>
        <v>0</v>
      </c>
      <c r="W12" s="622">
        <f t="shared" si="1"/>
        <v>0</v>
      </c>
      <c r="X12" s="622">
        <f t="shared" si="1"/>
        <v>1000000</v>
      </c>
      <c r="Y12" s="622"/>
      <c r="Z12" s="622"/>
      <c r="AA12" s="622"/>
      <c r="AB12" s="622">
        <f>SUM(U12:Y12)</f>
        <v>1000000</v>
      </c>
      <c r="AC12" s="622">
        <f t="shared" si="1"/>
        <v>0</v>
      </c>
      <c r="AD12" s="622">
        <f t="shared" si="1"/>
        <v>1000000</v>
      </c>
      <c r="AE12" s="622">
        <f t="shared" si="1"/>
        <v>0</v>
      </c>
      <c r="AF12" s="622">
        <f t="shared" si="1"/>
        <v>0</v>
      </c>
      <c r="AG12" s="622">
        <f>SUM(AG8:AG11)</f>
        <v>0</v>
      </c>
      <c r="AH12" s="736"/>
      <c r="AI12" s="736"/>
      <c r="AJ12" s="736"/>
      <c r="AK12" s="736"/>
      <c r="AL12" s="736"/>
      <c r="AM12" s="736"/>
      <c r="AN12" s="736"/>
      <c r="AO12" s="736"/>
      <c r="AP12" s="736"/>
      <c r="AQ12" s="731"/>
      <c r="AR12" s="731"/>
      <c r="AS12" s="731"/>
      <c r="AT12" s="731"/>
      <c r="AU12" s="731"/>
      <c r="AV12" s="731"/>
      <c r="AW12" s="731"/>
      <c r="AX12" s="731"/>
    </row>
    <row r="13" spans="1:65" s="617" customFormat="1" ht="30" customHeight="1">
      <c r="A13" s="612"/>
      <c r="B13" s="613"/>
      <c r="C13" s="613"/>
      <c r="D13" s="614"/>
      <c r="E13" s="615"/>
      <c r="F13" s="616"/>
      <c r="G13" s="616"/>
      <c r="H13" s="616"/>
      <c r="I13" s="616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  <c r="W13" s="616"/>
      <c r="X13" s="616"/>
      <c r="Y13" s="616"/>
      <c r="Z13" s="616"/>
      <c r="AA13" s="616"/>
      <c r="AB13" s="174">
        <f>SUM(U13:Y13)</f>
        <v>0</v>
      </c>
      <c r="AC13" s="616"/>
      <c r="AD13" s="616"/>
      <c r="AE13" s="616"/>
      <c r="AF13" s="616"/>
      <c r="AG13" s="616"/>
      <c r="AH13" s="461"/>
      <c r="AI13" s="461"/>
      <c r="AJ13" s="461"/>
      <c r="AK13" s="461"/>
      <c r="AL13" s="461"/>
      <c r="AM13" s="461"/>
      <c r="AN13" s="461"/>
      <c r="AO13" s="461"/>
      <c r="AP13" s="461"/>
      <c r="AQ13" s="281"/>
      <c r="AR13" s="281"/>
      <c r="AS13" s="281"/>
      <c r="AT13" s="281"/>
      <c r="AU13" s="281"/>
      <c r="AV13" s="281"/>
      <c r="AW13" s="281"/>
      <c r="AX13" s="281"/>
      <c r="AY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180"/>
    </row>
    <row r="14" spans="1:65" s="609" customFormat="1" ht="30" customHeight="1">
      <c r="A14" s="606"/>
      <c r="B14" s="607"/>
      <c r="C14" s="607"/>
      <c r="D14" s="608"/>
      <c r="E14" s="739" t="s">
        <v>208</v>
      </c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607"/>
      <c r="T14" s="629"/>
      <c r="U14" s="607"/>
      <c r="V14" s="607"/>
      <c r="W14" s="607"/>
      <c r="X14" s="607"/>
      <c r="Y14" s="607"/>
      <c r="Z14" s="607"/>
      <c r="AA14" s="607"/>
      <c r="AB14" s="174">
        <f>SUM(U14:Y14)</f>
        <v>0</v>
      </c>
      <c r="AC14" s="607"/>
      <c r="AD14" s="607"/>
      <c r="AE14" s="607"/>
      <c r="AF14" s="607"/>
      <c r="AG14" s="607"/>
      <c r="AH14" s="461"/>
      <c r="AI14" s="461"/>
      <c r="AJ14" s="461"/>
      <c r="AK14" s="461"/>
      <c r="AL14" s="461"/>
      <c r="AM14" s="461"/>
      <c r="AN14" s="461"/>
      <c r="AO14" s="461"/>
      <c r="AP14" s="461"/>
      <c r="AQ14" s="281"/>
      <c r="AR14" s="281"/>
      <c r="AS14" s="281"/>
      <c r="AT14" s="281"/>
      <c r="AU14" s="281"/>
      <c r="AV14" s="281"/>
      <c r="AW14" s="281"/>
      <c r="AX14" s="281"/>
      <c r="AY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</row>
    <row r="15" spans="1:65" s="628" customFormat="1" ht="30" customHeight="1">
      <c r="A15" s="610" t="s">
        <v>2070</v>
      </c>
      <c r="B15" s="724" t="s">
        <v>2071</v>
      </c>
      <c r="C15" s="727">
        <v>5</v>
      </c>
      <c r="D15" s="727">
        <v>1872</v>
      </c>
      <c r="E15" s="615" t="s">
        <v>2072</v>
      </c>
      <c r="F15" s="174">
        <v>711356</v>
      </c>
      <c r="G15" s="174">
        <v>1160000</v>
      </c>
      <c r="H15" s="174">
        <f>F15-G15</f>
        <v>-448644</v>
      </c>
      <c r="I15" s="174">
        <v>711356</v>
      </c>
      <c r="J15" s="174"/>
      <c r="K15" s="174">
        <f t="shared" ref="K15:K24" si="2">F15-I15-J15</f>
        <v>0</v>
      </c>
      <c r="L15" s="174">
        <v>448644</v>
      </c>
      <c r="M15" s="174">
        <f t="shared" ref="M15:M21" si="3">J15-L15</f>
        <v>-448644</v>
      </c>
      <c r="N15" s="174"/>
      <c r="O15" s="174">
        <f t="shared" ref="O15:O20" si="4">M15-N15</f>
        <v>-448644</v>
      </c>
      <c r="P15" s="174">
        <f>O15-S15-R15-Q15</f>
        <v>-166524</v>
      </c>
      <c r="Q15" s="174"/>
      <c r="R15" s="174"/>
      <c r="S15" s="174">
        <v>-282120</v>
      </c>
      <c r="T15" s="729" t="s">
        <v>2073</v>
      </c>
      <c r="U15" s="174"/>
      <c r="V15" s="174"/>
      <c r="W15" s="174">
        <v>-448644</v>
      </c>
      <c r="X15" s="174"/>
      <c r="Y15" s="174"/>
      <c r="Z15" s="174"/>
      <c r="AA15" s="174"/>
      <c r="AB15" s="174">
        <f t="shared" ref="AB15:AB24" si="5">SUM(U15:AA15)</f>
        <v>-448644</v>
      </c>
      <c r="AC15" s="174">
        <f>O15-AB15</f>
        <v>0</v>
      </c>
      <c r="AD15" s="174">
        <f>AB15-AE15-AF15-AG15</f>
        <v>-166524</v>
      </c>
      <c r="AE15" s="174"/>
      <c r="AF15" s="174"/>
      <c r="AG15" s="174">
        <v>-282120</v>
      </c>
      <c r="AH15" s="461"/>
      <c r="AI15" s="461"/>
      <c r="AJ15" s="461"/>
      <c r="AK15" s="461"/>
      <c r="AL15" s="461"/>
      <c r="AM15" s="461"/>
      <c r="AN15" s="461"/>
      <c r="AO15" s="461"/>
      <c r="AP15" s="461"/>
      <c r="AQ15" s="731"/>
      <c r="AR15" s="731"/>
      <c r="AS15" s="731"/>
      <c r="AT15" s="731"/>
      <c r="AU15" s="731"/>
      <c r="AV15" s="731"/>
      <c r="AW15" s="731"/>
      <c r="AX15" s="731"/>
      <c r="AY15" s="611"/>
      <c r="BB15" s="611"/>
      <c r="BC15" s="611"/>
      <c r="BD15" s="611"/>
      <c r="BE15" s="611"/>
      <c r="BF15" s="611"/>
      <c r="BG15" s="611"/>
      <c r="BH15" s="611"/>
      <c r="BI15" s="611"/>
      <c r="BJ15" s="611"/>
      <c r="BK15" s="611"/>
      <c r="BL15" s="611"/>
      <c r="BM15" s="611"/>
    </row>
    <row r="16" spans="1:65" s="628" customFormat="1" ht="30" customHeight="1">
      <c r="A16" s="610" t="s">
        <v>2064</v>
      </c>
      <c r="B16" s="724" t="s">
        <v>2065</v>
      </c>
      <c r="C16" s="727">
        <v>6</v>
      </c>
      <c r="D16" s="727">
        <v>2008</v>
      </c>
      <c r="E16" s="615" t="s">
        <v>309</v>
      </c>
      <c r="F16" s="174">
        <v>2500000</v>
      </c>
      <c r="G16" s="174">
        <v>2500000</v>
      </c>
      <c r="H16" s="174">
        <f t="shared" ref="H16:H21" si="6">F16-G16</f>
        <v>0</v>
      </c>
      <c r="I16" s="174"/>
      <c r="J16" s="174">
        <v>250000</v>
      </c>
      <c r="K16" s="174">
        <f t="shared" si="2"/>
        <v>2250000</v>
      </c>
      <c r="L16" s="174"/>
      <c r="M16" s="174">
        <f t="shared" si="3"/>
        <v>250000</v>
      </c>
      <c r="N16" s="174"/>
      <c r="O16" s="174">
        <f t="shared" si="4"/>
        <v>250000</v>
      </c>
      <c r="P16" s="174">
        <f>O16-S16-R16-Q16</f>
        <v>250000</v>
      </c>
      <c r="Q16" s="174"/>
      <c r="R16" s="174"/>
      <c r="S16" s="174"/>
      <c r="T16" s="729" t="s">
        <v>2074</v>
      </c>
      <c r="U16" s="174"/>
      <c r="V16" s="174"/>
      <c r="W16" s="174"/>
      <c r="X16" s="174">
        <v>250000</v>
      </c>
      <c r="Y16" s="174"/>
      <c r="Z16" s="174"/>
      <c r="AA16" s="174"/>
      <c r="AB16" s="174">
        <f t="shared" si="5"/>
        <v>250000</v>
      </c>
      <c r="AC16" s="174">
        <f>O16-AB16</f>
        <v>0</v>
      </c>
      <c r="AD16" s="174">
        <f>AB16-AE16-AF16-AG16</f>
        <v>250000</v>
      </c>
      <c r="AE16" s="174"/>
      <c r="AF16" s="174"/>
      <c r="AG16" s="174"/>
      <c r="AH16" s="461"/>
      <c r="AI16" s="461"/>
      <c r="AJ16" s="461"/>
      <c r="AK16" s="461"/>
      <c r="AL16" s="461"/>
      <c r="AM16" s="461"/>
      <c r="AN16" s="461"/>
      <c r="AO16" s="461"/>
      <c r="AP16" s="731"/>
      <c r="AQ16" s="731"/>
      <c r="AR16" s="731"/>
      <c r="AS16" s="731"/>
      <c r="AT16" s="731"/>
      <c r="AU16" s="731"/>
      <c r="AV16" s="731"/>
      <c r="AW16" s="731"/>
      <c r="AX16" s="611"/>
      <c r="BA16" s="611"/>
      <c r="BB16" s="611"/>
      <c r="BC16" s="611"/>
      <c r="BD16" s="611"/>
      <c r="BE16" s="611"/>
      <c r="BF16" s="611"/>
      <c r="BG16" s="611"/>
      <c r="BH16" s="611"/>
      <c r="BI16" s="611"/>
      <c r="BJ16" s="611"/>
      <c r="BK16" s="611"/>
      <c r="BL16" s="611"/>
    </row>
    <row r="17" spans="1:66" s="628" customFormat="1" ht="30" customHeight="1">
      <c r="A17" s="610" t="s">
        <v>2064</v>
      </c>
      <c r="B17" s="724" t="s">
        <v>2065</v>
      </c>
      <c r="C17" s="727">
        <v>7</v>
      </c>
      <c r="D17" s="727">
        <v>2002</v>
      </c>
      <c r="E17" s="615" t="s">
        <v>167</v>
      </c>
      <c r="F17" s="174">
        <v>1500000</v>
      </c>
      <c r="G17" s="174">
        <v>1500000</v>
      </c>
      <c r="H17" s="174">
        <f t="shared" si="6"/>
        <v>0</v>
      </c>
      <c r="I17" s="174">
        <f>691066+8934</f>
        <v>700000</v>
      </c>
      <c r="J17" s="174">
        <v>-300000</v>
      </c>
      <c r="K17" s="174">
        <f t="shared" si="2"/>
        <v>1100000</v>
      </c>
      <c r="L17" s="174"/>
      <c r="M17" s="174">
        <f t="shared" si="3"/>
        <v>-300000</v>
      </c>
      <c r="N17" s="174"/>
      <c r="O17" s="174">
        <f t="shared" si="4"/>
        <v>-300000</v>
      </c>
      <c r="P17" s="174">
        <f>O17-S17-R17-Q17</f>
        <v>-300000</v>
      </c>
      <c r="Q17" s="174"/>
      <c r="R17" s="174"/>
      <c r="S17" s="174"/>
      <c r="T17" s="729" t="s">
        <v>2075</v>
      </c>
      <c r="U17" s="174"/>
      <c r="V17" s="174"/>
      <c r="W17" s="174"/>
      <c r="X17" s="174">
        <v>-300000</v>
      </c>
      <c r="Y17" s="174"/>
      <c r="Z17" s="174"/>
      <c r="AA17" s="174"/>
      <c r="AB17" s="174">
        <f t="shared" si="5"/>
        <v>-300000</v>
      </c>
      <c r="AC17" s="174">
        <f>O17-AB17</f>
        <v>0</v>
      </c>
      <c r="AD17" s="174">
        <f>AB17-AE17-AF17-AG17</f>
        <v>-300000</v>
      </c>
      <c r="AE17" s="174"/>
      <c r="AF17" s="174"/>
      <c r="AG17" s="174"/>
      <c r="AH17" s="461"/>
      <c r="AI17" s="461"/>
      <c r="AJ17" s="461"/>
      <c r="AK17" s="461"/>
      <c r="AL17" s="461"/>
      <c r="AM17" s="461"/>
      <c r="AN17" s="461"/>
      <c r="AO17" s="461"/>
      <c r="AP17" s="731"/>
      <c r="AQ17" s="731"/>
      <c r="AR17" s="731"/>
      <c r="AS17" s="731"/>
      <c r="AT17" s="731"/>
      <c r="AU17" s="731"/>
      <c r="AV17" s="731"/>
      <c r="AW17" s="731"/>
      <c r="AX17" s="611"/>
      <c r="BA17" s="611"/>
      <c r="BB17" s="611"/>
      <c r="BC17" s="611"/>
      <c r="BD17" s="611"/>
      <c r="BE17" s="611"/>
      <c r="BF17" s="611"/>
      <c r="BG17" s="611"/>
      <c r="BH17" s="611"/>
      <c r="BI17" s="611"/>
      <c r="BJ17" s="611"/>
      <c r="BK17" s="611"/>
      <c r="BL17" s="611"/>
    </row>
    <row r="18" spans="1:66" s="628" customFormat="1" ht="30" customHeight="1">
      <c r="A18" s="610" t="s">
        <v>2076</v>
      </c>
      <c r="B18" s="724" t="s">
        <v>2077</v>
      </c>
      <c r="C18" s="727">
        <v>8</v>
      </c>
      <c r="D18" s="727">
        <v>1827</v>
      </c>
      <c r="E18" s="615" t="s">
        <v>855</v>
      </c>
      <c r="F18" s="174">
        <v>100000000</v>
      </c>
      <c r="G18" s="174">
        <v>100000000</v>
      </c>
      <c r="H18" s="174">
        <f t="shared" si="6"/>
        <v>0</v>
      </c>
      <c r="I18" s="174">
        <f>74642913+9128716</f>
        <v>83771629</v>
      </c>
      <c r="J18" s="174">
        <f>16228371-9000000</f>
        <v>7228371</v>
      </c>
      <c r="K18" s="174">
        <f t="shared" si="2"/>
        <v>9000000</v>
      </c>
      <c r="L18" s="174"/>
      <c r="M18" s="174">
        <f t="shared" si="3"/>
        <v>7228371</v>
      </c>
      <c r="N18" s="174">
        <v>16228371</v>
      </c>
      <c r="O18" s="174">
        <f t="shared" si="4"/>
        <v>-9000000</v>
      </c>
      <c r="P18" s="174">
        <f>O18-S18-R18-Q18</f>
        <v>0</v>
      </c>
      <c r="Q18" s="174"/>
      <c r="R18" s="174">
        <v>-9000000</v>
      </c>
      <c r="S18" s="174"/>
      <c r="T18" s="729" t="s">
        <v>2078</v>
      </c>
      <c r="U18" s="174"/>
      <c r="V18" s="174"/>
      <c r="W18" s="174"/>
      <c r="X18" s="174"/>
      <c r="Y18" s="174"/>
      <c r="Z18" s="174">
        <v>-9000000</v>
      </c>
      <c r="AA18" s="174"/>
      <c r="AB18" s="174">
        <f t="shared" si="5"/>
        <v>-9000000</v>
      </c>
      <c r="AC18" s="174">
        <f>O18-AB18</f>
        <v>0</v>
      </c>
      <c r="AD18" s="174">
        <f>AB18-AE18-AF18-AG18</f>
        <v>0</v>
      </c>
      <c r="AE18" s="174"/>
      <c r="AF18" s="174">
        <v>-9000000</v>
      </c>
      <c r="AG18" s="174"/>
      <c r="AH18" s="461"/>
      <c r="AI18" s="461"/>
      <c r="AJ18" s="461"/>
      <c r="AK18" s="461"/>
      <c r="AL18" s="461"/>
      <c r="AM18" s="461"/>
      <c r="AN18" s="461"/>
      <c r="AO18" s="461"/>
      <c r="AP18" s="731"/>
      <c r="AQ18" s="731"/>
      <c r="AR18" s="731"/>
      <c r="AS18" s="731"/>
      <c r="AT18" s="731"/>
      <c r="AU18" s="731"/>
      <c r="AV18" s="731"/>
      <c r="AW18" s="731"/>
      <c r="AX18" s="611"/>
      <c r="BA18" s="611"/>
      <c r="BB18" s="611"/>
      <c r="BC18" s="611"/>
      <c r="BD18" s="611"/>
      <c r="BE18" s="611"/>
      <c r="BF18" s="611"/>
      <c r="BG18" s="611"/>
      <c r="BH18" s="611"/>
      <c r="BI18" s="611"/>
      <c r="BJ18" s="611"/>
      <c r="BK18" s="611"/>
      <c r="BL18" s="611"/>
    </row>
    <row r="19" spans="1:66" s="628" customFormat="1" ht="30" customHeight="1">
      <c r="A19" s="610" t="s">
        <v>2076</v>
      </c>
      <c r="B19" s="724" t="s">
        <v>2077</v>
      </c>
      <c r="C19" s="727">
        <v>9</v>
      </c>
      <c r="D19" s="727">
        <v>1919</v>
      </c>
      <c r="E19" s="615" t="s">
        <v>120</v>
      </c>
      <c r="F19" s="174">
        <v>135100000</v>
      </c>
      <c r="G19" s="174">
        <v>135100000</v>
      </c>
      <c r="H19" s="174">
        <f t="shared" si="6"/>
        <v>0</v>
      </c>
      <c r="I19" s="174">
        <f>16540191+53819550</f>
        <v>70359741</v>
      </c>
      <c r="J19" s="174">
        <v>1665093</v>
      </c>
      <c r="K19" s="174">
        <f t="shared" si="2"/>
        <v>63075166</v>
      </c>
      <c r="L19" s="174"/>
      <c r="M19" s="174">
        <f t="shared" si="3"/>
        <v>1665093</v>
      </c>
      <c r="N19" s="174"/>
      <c r="O19" s="174">
        <f t="shared" si="4"/>
        <v>1665093</v>
      </c>
      <c r="P19" s="174">
        <f>O19-S19-R19-Q19</f>
        <v>0</v>
      </c>
      <c r="Q19" s="174"/>
      <c r="R19" s="174"/>
      <c r="S19" s="174">
        <v>1665093</v>
      </c>
      <c r="T19" s="729" t="s">
        <v>2079</v>
      </c>
      <c r="U19" s="174"/>
      <c r="V19" s="174"/>
      <c r="W19" s="174"/>
      <c r="X19" s="174"/>
      <c r="Y19" s="174"/>
      <c r="Z19" s="174">
        <v>1665093</v>
      </c>
      <c r="AA19" s="174"/>
      <c r="AB19" s="174">
        <f t="shared" si="5"/>
        <v>1665093</v>
      </c>
      <c r="AC19" s="174">
        <f>O19-AB19</f>
        <v>0</v>
      </c>
      <c r="AD19" s="174">
        <f>AB19-AE19-AF19-AG19</f>
        <v>0</v>
      </c>
      <c r="AE19" s="174"/>
      <c r="AF19" s="174"/>
      <c r="AG19" s="174">
        <v>1665093</v>
      </c>
      <c r="AH19" s="461"/>
      <c r="AI19" s="461"/>
      <c r="AJ19" s="461"/>
      <c r="AK19" s="461"/>
      <c r="AL19" s="461"/>
      <c r="AM19" s="461"/>
      <c r="AN19" s="461"/>
      <c r="AO19" s="461"/>
      <c r="AP19" s="731"/>
      <c r="AQ19" s="731"/>
      <c r="AR19" s="731"/>
      <c r="AS19" s="731"/>
      <c r="AT19" s="731"/>
      <c r="AU19" s="731"/>
      <c r="AV19" s="731"/>
      <c r="AW19" s="731"/>
      <c r="AX19" s="611"/>
      <c r="BA19" s="611"/>
      <c r="BB19" s="611"/>
      <c r="BC19" s="611"/>
      <c r="BD19" s="611"/>
      <c r="BE19" s="611"/>
      <c r="BF19" s="611"/>
      <c r="BG19" s="611"/>
      <c r="BH19" s="611"/>
      <c r="BI19" s="611"/>
      <c r="BJ19" s="611"/>
      <c r="BK19" s="611"/>
      <c r="BL19" s="611"/>
    </row>
    <row r="20" spans="1:66" s="628" customFormat="1" ht="30" customHeight="1">
      <c r="A20" s="610" t="s">
        <v>2080</v>
      </c>
      <c r="B20" s="724"/>
      <c r="C20" s="727">
        <v>10</v>
      </c>
      <c r="D20" s="727">
        <v>1443</v>
      </c>
      <c r="E20" s="615" t="s">
        <v>2081</v>
      </c>
      <c r="F20" s="174">
        <f>78500000</f>
        <v>78500000</v>
      </c>
      <c r="G20" s="174">
        <f>F20</f>
        <v>78500000</v>
      </c>
      <c r="H20" s="174">
        <f t="shared" si="6"/>
        <v>0</v>
      </c>
      <c r="I20" s="174">
        <v>53840000</v>
      </c>
      <c r="J20" s="174">
        <f>12861802</f>
        <v>12861802</v>
      </c>
      <c r="K20" s="174">
        <f t="shared" si="2"/>
        <v>11798198</v>
      </c>
      <c r="L20" s="174"/>
      <c r="M20" s="174">
        <f t="shared" si="3"/>
        <v>12861802</v>
      </c>
      <c r="N20" s="174"/>
      <c r="O20" s="174">
        <f t="shared" si="4"/>
        <v>12861802</v>
      </c>
      <c r="P20" s="174">
        <f>O20-Q20-S20</f>
        <v>12861802</v>
      </c>
      <c r="Q20" s="174"/>
      <c r="R20" s="174"/>
      <c r="S20" s="174"/>
      <c r="T20" s="729" t="s">
        <v>2082</v>
      </c>
      <c r="U20" s="174"/>
      <c r="V20" s="174"/>
      <c r="W20" s="174"/>
      <c r="X20" s="174"/>
      <c r="Y20" s="174">
        <f>SUM(U20:X20)</f>
        <v>0</v>
      </c>
      <c r="Z20" s="174"/>
      <c r="AA20" s="174">
        <v>12861802</v>
      </c>
      <c r="AB20" s="174">
        <f t="shared" si="5"/>
        <v>12861802</v>
      </c>
      <c r="AC20" s="174"/>
      <c r="AD20" s="174">
        <f>AA20</f>
        <v>12861802</v>
      </c>
      <c r="AE20" s="174"/>
      <c r="AF20" s="174"/>
      <c r="AG20" s="174"/>
      <c r="AH20" s="461"/>
      <c r="AI20" s="461"/>
      <c r="AJ20" s="461"/>
      <c r="AK20" s="461"/>
      <c r="AL20" s="461"/>
      <c r="AM20" s="461"/>
      <c r="AN20" s="461"/>
      <c r="AO20" s="461"/>
      <c r="AP20" s="731"/>
      <c r="AQ20" s="731"/>
      <c r="AR20" s="731"/>
      <c r="AS20" s="731"/>
      <c r="AT20" s="731"/>
      <c r="AU20" s="731"/>
      <c r="AV20" s="731"/>
      <c r="AW20" s="731"/>
      <c r="AX20" s="611"/>
      <c r="BA20" s="611"/>
      <c r="BB20" s="611"/>
      <c r="BC20" s="611"/>
      <c r="BD20" s="611"/>
      <c r="BE20" s="611"/>
      <c r="BF20" s="611"/>
      <c r="BG20" s="611"/>
      <c r="BH20" s="611"/>
      <c r="BI20" s="611"/>
      <c r="BJ20" s="611"/>
      <c r="BK20" s="611"/>
      <c r="BL20" s="611"/>
    </row>
    <row r="21" spans="1:66" s="628" customFormat="1" ht="30" customHeight="1">
      <c r="A21" s="610" t="s">
        <v>2080</v>
      </c>
      <c r="B21" s="724"/>
      <c r="C21" s="727">
        <v>11</v>
      </c>
      <c r="D21" s="727">
        <v>1936</v>
      </c>
      <c r="E21" s="615" t="s">
        <v>2083</v>
      </c>
      <c r="F21" s="174">
        <v>6082795</v>
      </c>
      <c r="G21" s="174">
        <f>F21</f>
        <v>6082795</v>
      </c>
      <c r="H21" s="174">
        <f t="shared" si="6"/>
        <v>0</v>
      </c>
      <c r="I21" s="174">
        <v>313933</v>
      </c>
      <c r="J21" s="174"/>
      <c r="K21" s="174">
        <f t="shared" si="2"/>
        <v>5768862</v>
      </c>
      <c r="L21" s="174">
        <f>H21</f>
        <v>0</v>
      </c>
      <c r="M21" s="174">
        <f t="shared" si="3"/>
        <v>0</v>
      </c>
      <c r="N21" s="174"/>
      <c r="O21" s="174">
        <f>AE21-N21</f>
        <v>0</v>
      </c>
      <c r="P21" s="174">
        <v>12715</v>
      </c>
      <c r="Q21" s="174"/>
      <c r="R21" s="174"/>
      <c r="S21" s="174">
        <v>-12715</v>
      </c>
      <c r="T21" s="729" t="s">
        <v>2084</v>
      </c>
      <c r="U21" s="174"/>
      <c r="V21" s="174"/>
      <c r="W21" s="174"/>
      <c r="X21" s="174"/>
      <c r="Y21" s="174"/>
      <c r="Z21" s="174"/>
      <c r="AA21" s="174"/>
      <c r="AB21" s="174">
        <f t="shared" si="5"/>
        <v>0</v>
      </c>
      <c r="AC21" s="174"/>
      <c r="AD21" s="174">
        <f>AB21-AG21</f>
        <v>12715</v>
      </c>
      <c r="AE21" s="174"/>
      <c r="AF21" s="174"/>
      <c r="AG21" s="174">
        <v>-12715</v>
      </c>
      <c r="AH21" s="461"/>
      <c r="AI21" s="461"/>
      <c r="AJ21" s="461"/>
      <c r="AK21" s="461"/>
      <c r="AL21" s="461"/>
      <c r="AM21" s="461"/>
      <c r="AN21" s="461"/>
      <c r="AO21" s="461"/>
      <c r="AP21" s="731"/>
      <c r="AQ21" s="731"/>
      <c r="AR21" s="731"/>
      <c r="AS21" s="731"/>
      <c r="AT21" s="731"/>
      <c r="AU21" s="731"/>
      <c r="AV21" s="731"/>
      <c r="AW21" s="731"/>
      <c r="AX21" s="611"/>
      <c r="BA21" s="611"/>
      <c r="BB21" s="611"/>
      <c r="BC21" s="611"/>
      <c r="BD21" s="611"/>
      <c r="BE21" s="611"/>
      <c r="BF21" s="611"/>
      <c r="BG21" s="611"/>
      <c r="BH21" s="611"/>
      <c r="BI21" s="611"/>
      <c r="BJ21" s="611"/>
      <c r="BK21" s="611"/>
      <c r="BL21" s="611"/>
    </row>
    <row r="22" spans="1:66" s="628" customFormat="1" ht="30" customHeight="1">
      <c r="A22" s="610" t="s">
        <v>2080</v>
      </c>
      <c r="B22" s="724"/>
      <c r="C22" s="727">
        <v>12</v>
      </c>
      <c r="D22" s="727">
        <v>1908</v>
      </c>
      <c r="E22" s="615" t="s">
        <v>136</v>
      </c>
      <c r="F22" s="174">
        <v>19080000</v>
      </c>
      <c r="G22" s="174">
        <f>F22</f>
        <v>19080000</v>
      </c>
      <c r="H22" s="174">
        <f>F22-G22</f>
        <v>0</v>
      </c>
      <c r="I22" s="174">
        <f>1330300+9613029</f>
        <v>10943329</v>
      </c>
      <c r="J22" s="174">
        <v>8136671</v>
      </c>
      <c r="K22" s="174">
        <f t="shared" si="2"/>
        <v>0</v>
      </c>
      <c r="L22" s="174"/>
      <c r="M22" s="174">
        <f>J22</f>
        <v>8136671</v>
      </c>
      <c r="N22" s="174">
        <v>8136671</v>
      </c>
      <c r="O22" s="174">
        <f>M22-N22</f>
        <v>0</v>
      </c>
      <c r="P22" s="174">
        <f>O22-Q22-S22</f>
        <v>1500000</v>
      </c>
      <c r="Q22" s="174"/>
      <c r="R22" s="174"/>
      <c r="S22" s="174">
        <v>-1500000</v>
      </c>
      <c r="T22" s="729" t="s">
        <v>2236</v>
      </c>
      <c r="U22" s="174"/>
      <c r="V22" s="174"/>
      <c r="W22" s="174"/>
      <c r="X22" s="174"/>
      <c r="Y22" s="174">
        <f>SUM(U22:X22)</f>
        <v>0</v>
      </c>
      <c r="Z22" s="174">
        <f>O22-Y22</f>
        <v>0</v>
      </c>
      <c r="AA22" s="174">
        <v>1500000</v>
      </c>
      <c r="AB22" s="174">
        <f t="shared" si="5"/>
        <v>1500000</v>
      </c>
      <c r="AC22" s="174">
        <f>O22-AB22</f>
        <v>-1500000</v>
      </c>
      <c r="AD22" s="174">
        <f>AA22</f>
        <v>1500000</v>
      </c>
      <c r="AE22" s="174"/>
      <c r="AF22" s="174"/>
      <c r="AG22" s="174"/>
      <c r="AH22" s="461"/>
      <c r="AI22" s="461"/>
      <c r="AJ22" s="461"/>
      <c r="AK22" s="461"/>
      <c r="AL22" s="461"/>
      <c r="AM22" s="461"/>
      <c r="AN22" s="461"/>
      <c r="AO22" s="461"/>
      <c r="AP22" s="731"/>
      <c r="AQ22" s="731"/>
      <c r="AR22" s="731"/>
      <c r="AS22" s="731"/>
      <c r="AT22" s="731"/>
      <c r="AU22" s="731"/>
      <c r="AV22" s="731"/>
      <c r="AW22" s="731"/>
      <c r="AX22" s="611"/>
      <c r="BA22" s="611"/>
      <c r="BB22" s="611"/>
      <c r="BC22" s="611"/>
      <c r="BD22" s="611"/>
      <c r="BE22" s="611"/>
      <c r="BF22" s="611"/>
      <c r="BG22" s="611"/>
      <c r="BH22" s="611"/>
      <c r="BI22" s="611"/>
      <c r="BJ22" s="611"/>
      <c r="BK22" s="611"/>
      <c r="BL22" s="611"/>
    </row>
    <row r="23" spans="1:66" s="628" customFormat="1" ht="30" customHeight="1">
      <c r="A23" s="610" t="s">
        <v>2080</v>
      </c>
      <c r="B23" s="724"/>
      <c r="C23" s="727">
        <v>13</v>
      </c>
      <c r="D23" s="727">
        <v>1911</v>
      </c>
      <c r="E23" s="615" t="s">
        <v>335</v>
      </c>
      <c r="F23" s="174">
        <v>29050000</v>
      </c>
      <c r="G23" s="174">
        <f>F23</f>
        <v>29050000</v>
      </c>
      <c r="H23" s="174">
        <f>F23-G23</f>
        <v>0</v>
      </c>
      <c r="I23" s="174">
        <f>1139264+8042803</f>
        <v>9182067</v>
      </c>
      <c r="J23" s="174">
        <v>19867933</v>
      </c>
      <c r="K23" s="174">
        <f t="shared" si="2"/>
        <v>0</v>
      </c>
      <c r="L23" s="174">
        <f>H23</f>
        <v>0</v>
      </c>
      <c r="M23" s="174">
        <f>J23</f>
        <v>19867933</v>
      </c>
      <c r="N23" s="174">
        <v>19867933</v>
      </c>
      <c r="O23" s="174">
        <f>M23-N23</f>
        <v>0</v>
      </c>
      <c r="P23" s="174">
        <f>O23-Q23-S23</f>
        <v>2000000</v>
      </c>
      <c r="Q23" s="174"/>
      <c r="R23" s="174"/>
      <c r="S23" s="174">
        <v>-2000000</v>
      </c>
      <c r="T23" s="729" t="s">
        <v>2236</v>
      </c>
      <c r="U23" s="174"/>
      <c r="V23" s="174"/>
      <c r="W23" s="174"/>
      <c r="X23" s="174"/>
      <c r="Y23" s="174"/>
      <c r="Z23" s="174"/>
      <c r="AA23" s="174">
        <v>2000000</v>
      </c>
      <c r="AB23" s="174">
        <f t="shared" si="5"/>
        <v>2000000</v>
      </c>
      <c r="AC23" s="174">
        <f>O23-AB23</f>
        <v>-2000000</v>
      </c>
      <c r="AD23" s="174">
        <f>AA23</f>
        <v>2000000</v>
      </c>
      <c r="AE23" s="174"/>
      <c r="AF23" s="174"/>
      <c r="AG23" s="174"/>
      <c r="AH23" s="461"/>
      <c r="AI23" s="461"/>
      <c r="AJ23" s="461"/>
      <c r="AK23" s="461"/>
      <c r="AL23" s="461"/>
      <c r="AM23" s="461"/>
      <c r="AN23" s="461"/>
      <c r="AO23" s="461"/>
      <c r="AP23" s="731"/>
      <c r="AQ23" s="731"/>
      <c r="AR23" s="731"/>
      <c r="AS23" s="731"/>
      <c r="AT23" s="731"/>
      <c r="AU23" s="731"/>
      <c r="AV23" s="731"/>
      <c r="AW23" s="731"/>
      <c r="AX23" s="611"/>
      <c r="BA23" s="611"/>
      <c r="BB23" s="611"/>
      <c r="BC23" s="611"/>
      <c r="BD23" s="611"/>
      <c r="BE23" s="611"/>
      <c r="BF23" s="611"/>
      <c r="BG23" s="611"/>
      <c r="BH23" s="611"/>
      <c r="BI23" s="611"/>
      <c r="BJ23" s="611"/>
      <c r="BK23" s="611"/>
      <c r="BL23" s="611"/>
    </row>
    <row r="24" spans="1:66" s="628" customFormat="1" ht="30" customHeight="1">
      <c r="A24" s="610" t="s">
        <v>2080</v>
      </c>
      <c r="B24" s="724"/>
      <c r="C24" s="727">
        <v>14</v>
      </c>
      <c r="D24" s="727">
        <v>2186</v>
      </c>
      <c r="E24" s="615" t="s">
        <v>631</v>
      </c>
      <c r="F24" s="174">
        <v>8100000</v>
      </c>
      <c r="G24" s="174">
        <f>F24</f>
        <v>8100000</v>
      </c>
      <c r="H24" s="174">
        <f>F24-G24</f>
        <v>0</v>
      </c>
      <c r="I24" s="174">
        <f>3200000</f>
        <v>3200000</v>
      </c>
      <c r="J24" s="174">
        <v>4900000</v>
      </c>
      <c r="K24" s="174">
        <f t="shared" si="2"/>
        <v>0</v>
      </c>
      <c r="L24" s="174">
        <f>H24</f>
        <v>0</v>
      </c>
      <c r="M24" s="174">
        <f>J24</f>
        <v>4900000</v>
      </c>
      <c r="N24" s="174">
        <v>4900000</v>
      </c>
      <c r="O24" s="174">
        <f>M24-N24</f>
        <v>0</v>
      </c>
      <c r="P24" s="174">
        <f>O24-Q24-S24</f>
        <v>1200000</v>
      </c>
      <c r="Q24" s="174"/>
      <c r="R24" s="174"/>
      <c r="S24" s="174">
        <v>-1200000</v>
      </c>
      <c r="T24" s="729" t="s">
        <v>2237</v>
      </c>
      <c r="U24" s="174"/>
      <c r="V24" s="174"/>
      <c r="W24" s="174"/>
      <c r="X24" s="174"/>
      <c r="Y24" s="174"/>
      <c r="Z24" s="174"/>
      <c r="AA24" s="174">
        <v>1200000</v>
      </c>
      <c r="AB24" s="174">
        <f t="shared" si="5"/>
        <v>1200000</v>
      </c>
      <c r="AC24" s="174">
        <f>O24-AB24</f>
        <v>-1200000</v>
      </c>
      <c r="AD24" s="174">
        <f>AA24</f>
        <v>1200000</v>
      </c>
      <c r="AE24" s="174"/>
      <c r="AF24" s="174"/>
      <c r="AG24" s="174"/>
      <c r="AH24" s="461"/>
      <c r="AI24" s="461"/>
      <c r="AJ24" s="461"/>
      <c r="AK24" s="461"/>
      <c r="AL24" s="461"/>
      <c r="AM24" s="461"/>
      <c r="AN24" s="461"/>
      <c r="AO24" s="461"/>
      <c r="AP24" s="731"/>
      <c r="AQ24" s="731"/>
      <c r="AR24" s="731"/>
      <c r="AS24" s="731"/>
      <c r="AT24" s="731"/>
      <c r="AU24" s="731"/>
      <c r="AV24" s="731"/>
      <c r="AW24" s="731"/>
      <c r="AX24" s="611"/>
      <c r="BA24" s="611"/>
      <c r="BB24" s="611"/>
      <c r="BC24" s="611"/>
      <c r="BD24" s="611"/>
      <c r="BE24" s="611"/>
      <c r="BF24" s="611"/>
      <c r="BG24" s="611"/>
      <c r="BH24" s="611"/>
      <c r="BI24" s="611"/>
      <c r="BJ24" s="611"/>
      <c r="BK24" s="611"/>
      <c r="BL24" s="611"/>
    </row>
    <row r="25" spans="1:66" s="628" customFormat="1" ht="30" customHeight="1">
      <c r="A25" s="612"/>
      <c r="B25" s="616"/>
      <c r="C25" s="732">
        <f>COUNT(C15:C24)</f>
        <v>10</v>
      </c>
      <c r="D25" s="733"/>
      <c r="E25" s="734" t="s">
        <v>81</v>
      </c>
      <c r="F25" s="622">
        <f>SUM(F15:F24)</f>
        <v>380624151</v>
      </c>
      <c r="G25" s="622">
        <f t="shared" ref="G25:S25" si="7">SUM(G15:G24)</f>
        <v>381072795</v>
      </c>
      <c r="H25" s="622">
        <f t="shared" si="7"/>
        <v>-448644</v>
      </c>
      <c r="I25" s="622">
        <f t="shared" si="7"/>
        <v>233022055</v>
      </c>
      <c r="J25" s="622">
        <f t="shared" si="7"/>
        <v>54609870</v>
      </c>
      <c r="K25" s="622">
        <f t="shared" si="7"/>
        <v>92992226</v>
      </c>
      <c r="L25" s="622">
        <f t="shared" si="7"/>
        <v>448644</v>
      </c>
      <c r="M25" s="622">
        <f t="shared" si="7"/>
        <v>54161226</v>
      </c>
      <c r="N25" s="622">
        <f t="shared" si="7"/>
        <v>49132975</v>
      </c>
      <c r="O25" s="622">
        <f t="shared" si="7"/>
        <v>5028251</v>
      </c>
      <c r="P25" s="622">
        <f t="shared" si="7"/>
        <v>17357993</v>
      </c>
      <c r="Q25" s="622">
        <f t="shared" si="7"/>
        <v>0</v>
      </c>
      <c r="R25" s="622">
        <f t="shared" si="7"/>
        <v>-9000000</v>
      </c>
      <c r="S25" s="622">
        <f t="shared" si="7"/>
        <v>-3329742</v>
      </c>
      <c r="T25" s="735"/>
      <c r="U25" s="622">
        <f>SUM(U15:U21)</f>
        <v>0</v>
      </c>
      <c r="V25" s="622">
        <f>SUM(V15:V21)</f>
        <v>0</v>
      </c>
      <c r="W25" s="622">
        <f t="shared" ref="W25:AG25" si="8">SUM(W15:W24)</f>
        <v>-448644</v>
      </c>
      <c r="X25" s="622">
        <f t="shared" si="8"/>
        <v>-50000</v>
      </c>
      <c r="Y25" s="622">
        <f t="shared" si="8"/>
        <v>0</v>
      </c>
      <c r="Z25" s="622">
        <f t="shared" si="8"/>
        <v>-7334907</v>
      </c>
      <c r="AA25" s="622">
        <f t="shared" si="8"/>
        <v>17561802</v>
      </c>
      <c r="AB25" s="622">
        <f t="shared" si="8"/>
        <v>9728251</v>
      </c>
      <c r="AC25" s="622">
        <f t="shared" si="8"/>
        <v>-4700000</v>
      </c>
      <c r="AD25" s="622">
        <f t="shared" si="8"/>
        <v>17357993</v>
      </c>
      <c r="AE25" s="622">
        <f t="shared" si="8"/>
        <v>0</v>
      </c>
      <c r="AF25" s="622">
        <f t="shared" si="8"/>
        <v>-9000000</v>
      </c>
      <c r="AG25" s="622">
        <f t="shared" si="8"/>
        <v>1370258</v>
      </c>
      <c r="AH25" s="736"/>
      <c r="AI25" s="736"/>
      <c r="AJ25" s="736"/>
      <c r="AK25" s="736"/>
      <c r="AL25" s="736"/>
      <c r="AM25" s="736"/>
      <c r="AN25" s="736"/>
      <c r="AO25" s="736"/>
      <c r="AP25" s="736"/>
      <c r="AQ25" s="731"/>
      <c r="AR25" s="731"/>
      <c r="AS25" s="731"/>
      <c r="AT25" s="731"/>
      <c r="AU25" s="731"/>
      <c r="AV25" s="731"/>
      <c r="AW25" s="731"/>
      <c r="AX25" s="731"/>
    </row>
    <row r="26" spans="1:66" s="609" customFormat="1" ht="30" customHeight="1">
      <c r="A26" s="618"/>
      <c r="B26" s="737"/>
      <c r="C26" s="737"/>
      <c r="D26" s="738"/>
      <c r="E26" s="739"/>
      <c r="F26" s="622"/>
      <c r="G26" s="622"/>
      <c r="H26" s="622"/>
      <c r="I26" s="622"/>
      <c r="J26" s="622"/>
      <c r="K26" s="622"/>
      <c r="L26" s="622"/>
      <c r="M26" s="622"/>
      <c r="N26" s="622"/>
      <c r="O26" s="622"/>
      <c r="P26" s="622"/>
      <c r="Q26" s="622"/>
      <c r="R26" s="622"/>
      <c r="S26" s="622"/>
      <c r="T26" s="740"/>
      <c r="U26" s="622"/>
      <c r="V26" s="622"/>
      <c r="W26" s="622"/>
      <c r="X26" s="622"/>
      <c r="Y26" s="622"/>
      <c r="Z26" s="622"/>
      <c r="AA26" s="622"/>
      <c r="AB26" s="174">
        <f>SUM(U26:Y26)</f>
        <v>0</v>
      </c>
      <c r="AC26" s="622"/>
      <c r="AD26" s="622"/>
      <c r="AE26" s="622"/>
      <c r="AF26" s="622"/>
      <c r="AG26" s="622"/>
      <c r="AH26" s="461"/>
      <c r="AI26" s="461"/>
      <c r="AJ26" s="461"/>
      <c r="AK26" s="461"/>
      <c r="AL26" s="461"/>
      <c r="AM26" s="461"/>
      <c r="AN26" s="461"/>
      <c r="AO26" s="461"/>
      <c r="AP26" s="461"/>
      <c r="AQ26" s="281"/>
      <c r="AR26" s="281"/>
      <c r="AS26" s="281"/>
      <c r="AT26" s="281"/>
      <c r="AU26" s="281"/>
      <c r="AV26" s="281"/>
      <c r="AW26" s="281"/>
      <c r="AX26" s="281"/>
      <c r="AY26" s="180"/>
      <c r="BB26" s="180"/>
      <c r="BC26" s="180"/>
      <c r="BD26" s="180"/>
      <c r="BE26" s="180"/>
      <c r="BF26" s="180"/>
      <c r="BG26" s="180"/>
      <c r="BH26" s="180"/>
      <c r="BI26" s="180"/>
      <c r="BJ26" s="180"/>
      <c r="BK26" s="180"/>
      <c r="BL26" s="180"/>
      <c r="BM26" s="180"/>
    </row>
    <row r="27" spans="1:66" s="609" customFormat="1" ht="30" customHeight="1">
      <c r="A27" s="606"/>
      <c r="B27" s="607"/>
      <c r="C27" s="607"/>
      <c r="D27" s="608"/>
      <c r="E27" s="739" t="s">
        <v>499</v>
      </c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607"/>
      <c r="T27" s="629"/>
      <c r="U27" s="607"/>
      <c r="V27" s="607"/>
      <c r="W27" s="607"/>
      <c r="X27" s="607"/>
      <c r="Y27" s="607"/>
      <c r="Z27" s="607"/>
      <c r="AA27" s="607"/>
      <c r="AB27" s="174">
        <f>SUM(U27:Y27)</f>
        <v>0</v>
      </c>
      <c r="AC27" s="607"/>
      <c r="AD27" s="607"/>
      <c r="AE27" s="607"/>
      <c r="AF27" s="607"/>
      <c r="AG27" s="607"/>
      <c r="AH27" s="461"/>
      <c r="AI27" s="461"/>
      <c r="AJ27" s="461"/>
      <c r="AK27" s="461"/>
      <c r="AL27" s="461"/>
      <c r="AM27" s="461"/>
      <c r="AN27" s="461"/>
      <c r="AO27" s="461"/>
      <c r="AP27" s="461"/>
      <c r="AQ27" s="281"/>
      <c r="AR27" s="281"/>
      <c r="AS27" s="281"/>
      <c r="AT27" s="281"/>
      <c r="AU27" s="281"/>
      <c r="AV27" s="281"/>
      <c r="AW27" s="281"/>
      <c r="AX27" s="281"/>
      <c r="AY27" s="180"/>
      <c r="BB27" s="180"/>
      <c r="BC27" s="180"/>
      <c r="BD27" s="180"/>
      <c r="BE27" s="180"/>
      <c r="BF27" s="180"/>
      <c r="BG27" s="180"/>
      <c r="BH27" s="180"/>
      <c r="BI27" s="180"/>
      <c r="BJ27" s="180"/>
      <c r="BK27" s="180"/>
      <c r="BL27" s="180"/>
      <c r="BM27" s="180"/>
    </row>
    <row r="28" spans="1:66" s="628" customFormat="1" ht="30" customHeight="1">
      <c r="A28" s="610" t="s">
        <v>2085</v>
      </c>
      <c r="B28" s="724" t="s">
        <v>2086</v>
      </c>
      <c r="C28" s="727">
        <v>15</v>
      </c>
      <c r="D28" s="727">
        <v>2225</v>
      </c>
      <c r="E28" s="615" t="s">
        <v>2087</v>
      </c>
      <c r="F28" s="174">
        <v>150000</v>
      </c>
      <c r="G28" s="174"/>
      <c r="H28" s="174">
        <f>F28-G28</f>
        <v>150000</v>
      </c>
      <c r="I28" s="174"/>
      <c r="J28" s="174">
        <v>150000</v>
      </c>
      <c r="K28" s="174">
        <f>F28-I28-J28</f>
        <v>0</v>
      </c>
      <c r="L28" s="174"/>
      <c r="M28" s="174">
        <f>J28</f>
        <v>150000</v>
      </c>
      <c r="N28" s="174"/>
      <c r="O28" s="174">
        <f>M28-N28</f>
        <v>150000</v>
      </c>
      <c r="P28" s="174">
        <f>O28-Q28-S28</f>
        <v>0</v>
      </c>
      <c r="Q28" s="174"/>
      <c r="R28" s="174"/>
      <c r="S28" s="174">
        <v>150000</v>
      </c>
      <c r="T28" s="729" t="s">
        <v>2088</v>
      </c>
      <c r="U28" s="174">
        <v>150000</v>
      </c>
      <c r="V28" s="174"/>
      <c r="W28" s="174"/>
      <c r="X28" s="174"/>
      <c r="Y28" s="174"/>
      <c r="Z28" s="174"/>
      <c r="AA28" s="174"/>
      <c r="AB28" s="174">
        <f t="shared" ref="AB28:AB55" si="9">SUM(U28:AA28)</f>
        <v>150000</v>
      </c>
      <c r="AC28" s="174">
        <f t="shared" ref="AC28:AC45" si="10">O28-AB28</f>
        <v>0</v>
      </c>
      <c r="AD28" s="174"/>
      <c r="AE28" s="174">
        <f>AB28-AF28-AG28-AD28</f>
        <v>0</v>
      </c>
      <c r="AF28" s="174"/>
      <c r="AG28" s="174">
        <v>150000</v>
      </c>
      <c r="AH28" s="730"/>
      <c r="AI28" s="730"/>
      <c r="AJ28" s="730"/>
      <c r="AK28" s="730"/>
      <c r="AL28" s="730"/>
      <c r="AM28" s="730"/>
      <c r="AN28" s="730"/>
      <c r="AO28" s="731"/>
      <c r="AP28" s="731"/>
      <c r="AQ28" s="731"/>
      <c r="AR28" s="731"/>
      <c r="AS28" s="731"/>
      <c r="AT28" s="731"/>
      <c r="AU28" s="731"/>
      <c r="AV28" s="731"/>
      <c r="AW28" s="611"/>
      <c r="AZ28" s="611"/>
      <c r="BA28" s="611"/>
      <c r="BB28" s="611"/>
      <c r="BC28" s="611"/>
      <c r="BD28" s="611"/>
      <c r="BE28" s="611"/>
      <c r="BF28" s="611"/>
      <c r="BG28" s="611"/>
      <c r="BH28" s="611"/>
      <c r="BI28" s="611"/>
      <c r="BJ28" s="611"/>
      <c r="BK28" s="611"/>
    </row>
    <row r="29" spans="1:66" s="609" customFormat="1" ht="47.25">
      <c r="A29" s="610" t="s">
        <v>2060</v>
      </c>
      <c r="B29" s="724" t="s">
        <v>2061</v>
      </c>
      <c r="C29" s="727">
        <f t="shared" ref="C29:C55" si="11">1+C28</f>
        <v>16</v>
      </c>
      <c r="D29" s="727">
        <v>2228</v>
      </c>
      <c r="E29" s="615" t="s">
        <v>2089</v>
      </c>
      <c r="F29" s="174">
        <v>1700000</v>
      </c>
      <c r="G29" s="174"/>
      <c r="H29" s="174">
        <f>F29-G29</f>
        <v>1700000</v>
      </c>
      <c r="I29" s="174"/>
      <c r="J29" s="174">
        <v>1700000</v>
      </c>
      <c r="K29" s="174">
        <f>F29-I29-J29</f>
        <v>0</v>
      </c>
      <c r="L29" s="174"/>
      <c r="M29" s="174">
        <f>J29</f>
        <v>1700000</v>
      </c>
      <c r="N29" s="174"/>
      <c r="O29" s="174">
        <f>M29-N29</f>
        <v>1700000</v>
      </c>
      <c r="P29" s="174">
        <f>O29-Q29-S29</f>
        <v>700000</v>
      </c>
      <c r="Q29" s="174">
        <v>1000000</v>
      </c>
      <c r="R29" s="174"/>
      <c r="S29" s="174"/>
      <c r="T29" s="729" t="s">
        <v>2090</v>
      </c>
      <c r="U29" s="174"/>
      <c r="V29" s="174">
        <v>1700000</v>
      </c>
      <c r="W29" s="174"/>
      <c r="X29" s="174"/>
      <c r="Y29" s="174"/>
      <c r="Z29" s="174"/>
      <c r="AA29" s="174"/>
      <c r="AB29" s="174">
        <f t="shared" si="9"/>
        <v>1700000</v>
      </c>
      <c r="AC29" s="174">
        <f t="shared" si="10"/>
        <v>0</v>
      </c>
      <c r="AD29" s="174">
        <v>700000</v>
      </c>
      <c r="AE29" s="174">
        <f>AB29-AF29-AG29-AD29</f>
        <v>1000000</v>
      </c>
      <c r="AF29" s="174"/>
      <c r="AG29" s="174"/>
      <c r="AH29" s="461"/>
      <c r="AI29" s="461"/>
      <c r="AJ29" s="461"/>
      <c r="AK29" s="461"/>
      <c r="AL29" s="461"/>
      <c r="AM29" s="461"/>
      <c r="AN29" s="461"/>
      <c r="AO29" s="461"/>
      <c r="AP29" s="461"/>
      <c r="AQ29" s="281"/>
      <c r="AR29" s="281"/>
      <c r="AS29" s="281"/>
      <c r="AT29" s="281"/>
      <c r="AU29" s="281"/>
      <c r="AV29" s="281"/>
      <c r="AW29" s="281"/>
      <c r="AX29" s="281"/>
      <c r="AY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180"/>
    </row>
    <row r="30" spans="1:66" s="609" customFormat="1" ht="30" customHeight="1">
      <c r="A30" s="610" t="s">
        <v>2070</v>
      </c>
      <c r="B30" s="724" t="s">
        <v>2071</v>
      </c>
      <c r="C30" s="727">
        <f t="shared" si="11"/>
        <v>17</v>
      </c>
      <c r="D30" s="727">
        <v>1489</v>
      </c>
      <c r="E30" s="615" t="s">
        <v>341</v>
      </c>
      <c r="F30" s="174">
        <f>54000000+5500000-4500000</f>
        <v>55000000</v>
      </c>
      <c r="G30" s="174">
        <v>54000000</v>
      </c>
      <c r="H30" s="174">
        <f t="shared" ref="H30:H48" si="12">F30-G30</f>
        <v>1000000</v>
      </c>
      <c r="I30" s="174">
        <f>47176576+823424</f>
        <v>48000000</v>
      </c>
      <c r="J30" s="174">
        <f>3500000+8000000-4500000</f>
        <v>7000000</v>
      </c>
      <c r="K30" s="174">
        <f t="shared" ref="K30:K48" si="13">F30-I30-J30</f>
        <v>0</v>
      </c>
      <c r="L30" s="174"/>
      <c r="M30" s="174">
        <f>J30</f>
        <v>7000000</v>
      </c>
      <c r="N30" s="174">
        <v>3500000</v>
      </c>
      <c r="O30" s="174">
        <f>M30-N30</f>
        <v>3500000</v>
      </c>
      <c r="P30" s="174"/>
      <c r="Q30" s="174">
        <f t="shared" ref="Q30:Q35" si="14">O30</f>
        <v>3500000</v>
      </c>
      <c r="R30" s="174"/>
      <c r="S30" s="174"/>
      <c r="T30" s="629" t="s">
        <v>2091</v>
      </c>
      <c r="U30" s="174"/>
      <c r="V30" s="174"/>
      <c r="W30" s="174">
        <v>3500000</v>
      </c>
      <c r="X30" s="174"/>
      <c r="Y30" s="174"/>
      <c r="Z30" s="174"/>
      <c r="AA30" s="174"/>
      <c r="AB30" s="174">
        <f t="shared" si="9"/>
        <v>3500000</v>
      </c>
      <c r="AC30" s="174">
        <f t="shared" si="10"/>
        <v>0</v>
      </c>
      <c r="AD30" s="174"/>
      <c r="AE30" s="174">
        <f>AB30-AF30-AG30-AD30</f>
        <v>3500000</v>
      </c>
      <c r="AF30" s="174"/>
      <c r="AG30" s="174"/>
      <c r="AH30" s="181"/>
      <c r="AI30" s="181"/>
      <c r="AJ30" s="181"/>
      <c r="AK30" s="461"/>
      <c r="AL30" s="461"/>
      <c r="AM30" s="461"/>
      <c r="AN30" s="461"/>
      <c r="AO30" s="461"/>
      <c r="AP30" s="461"/>
      <c r="AQ30" s="461"/>
      <c r="AR30" s="281"/>
      <c r="AS30" s="281"/>
      <c r="AT30" s="281"/>
      <c r="AU30" s="281"/>
      <c r="AV30" s="281"/>
      <c r="AW30" s="281"/>
      <c r="AX30" s="281"/>
      <c r="AY30" s="281"/>
      <c r="AZ30" s="180"/>
      <c r="BC30" s="180"/>
      <c r="BD30" s="180"/>
      <c r="BE30" s="180"/>
      <c r="BF30" s="180"/>
      <c r="BG30" s="180"/>
      <c r="BH30" s="180"/>
      <c r="BI30" s="180"/>
      <c r="BJ30" s="180"/>
      <c r="BK30" s="180"/>
      <c r="BL30" s="180"/>
      <c r="BM30" s="180"/>
      <c r="BN30" s="180"/>
    </row>
    <row r="31" spans="1:66" s="609" customFormat="1" ht="30" customHeight="1">
      <c r="A31" s="610" t="s">
        <v>2070</v>
      </c>
      <c r="B31" s="724" t="s">
        <v>2071</v>
      </c>
      <c r="C31" s="727">
        <f t="shared" si="11"/>
        <v>18</v>
      </c>
      <c r="D31" s="727">
        <v>2156</v>
      </c>
      <c r="E31" s="615" t="s">
        <v>542</v>
      </c>
      <c r="F31" s="174">
        <v>1600000</v>
      </c>
      <c r="G31" s="174">
        <v>1600000</v>
      </c>
      <c r="H31" s="174">
        <f t="shared" si="12"/>
        <v>0</v>
      </c>
      <c r="I31" s="174"/>
      <c r="J31" s="174">
        <f>100000+700000-400000</f>
        <v>400000</v>
      </c>
      <c r="K31" s="174">
        <f t="shared" si="13"/>
        <v>1200000</v>
      </c>
      <c r="L31" s="174"/>
      <c r="M31" s="174">
        <f t="shared" ref="M31:M48" si="15">J31</f>
        <v>400000</v>
      </c>
      <c r="N31" s="174">
        <v>100000</v>
      </c>
      <c r="O31" s="174">
        <f t="shared" ref="O31:O48" si="16">M31-N31</f>
        <v>300000</v>
      </c>
      <c r="P31" s="174"/>
      <c r="Q31" s="174">
        <f t="shared" si="14"/>
        <v>300000</v>
      </c>
      <c r="R31" s="174"/>
      <c r="S31" s="174"/>
      <c r="T31" s="629" t="s">
        <v>2091</v>
      </c>
      <c r="U31" s="174"/>
      <c r="V31" s="174"/>
      <c r="W31" s="174">
        <v>300000</v>
      </c>
      <c r="X31" s="174"/>
      <c r="Y31" s="174"/>
      <c r="Z31" s="174"/>
      <c r="AA31" s="174"/>
      <c r="AB31" s="174">
        <f t="shared" si="9"/>
        <v>300000</v>
      </c>
      <c r="AC31" s="174">
        <f t="shared" si="10"/>
        <v>0</v>
      </c>
      <c r="AD31" s="174"/>
      <c r="AE31" s="174">
        <f>AB31-AF31-AG31-AD31</f>
        <v>300000</v>
      </c>
      <c r="AF31" s="174"/>
      <c r="AG31" s="174"/>
      <c r="AH31" s="181"/>
      <c r="AI31" s="181"/>
      <c r="AJ31" s="181"/>
      <c r="AK31" s="461"/>
      <c r="AL31" s="461"/>
      <c r="AM31" s="461"/>
      <c r="AN31" s="461"/>
      <c r="AO31" s="461"/>
      <c r="AP31" s="461"/>
      <c r="AQ31" s="461"/>
      <c r="AR31" s="281"/>
      <c r="AS31" s="281"/>
      <c r="AT31" s="281"/>
      <c r="AU31" s="281"/>
      <c r="AV31" s="281"/>
      <c r="AW31" s="281"/>
      <c r="AX31" s="281"/>
      <c r="AY31" s="281"/>
      <c r="AZ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0"/>
    </row>
    <row r="32" spans="1:66" s="609" customFormat="1" ht="30" customHeight="1">
      <c r="A32" s="610" t="s">
        <v>2070</v>
      </c>
      <c r="B32" s="724" t="s">
        <v>2071</v>
      </c>
      <c r="C32" s="727">
        <f t="shared" si="11"/>
        <v>19</v>
      </c>
      <c r="D32" s="727">
        <v>1968</v>
      </c>
      <c r="E32" s="615" t="s">
        <v>140</v>
      </c>
      <c r="F32" s="174">
        <f>2070000+100000</f>
        <v>2170000</v>
      </c>
      <c r="G32" s="174">
        <v>2070000</v>
      </c>
      <c r="H32" s="174">
        <f t="shared" si="12"/>
        <v>100000</v>
      </c>
      <c r="I32" s="174">
        <f>1755447+14553</f>
        <v>1770000</v>
      </c>
      <c r="J32" s="174">
        <f>100000+300000</f>
        <v>400000</v>
      </c>
      <c r="K32" s="174">
        <f t="shared" si="13"/>
        <v>0</v>
      </c>
      <c r="L32" s="174"/>
      <c r="M32" s="174">
        <f t="shared" si="15"/>
        <v>400000</v>
      </c>
      <c r="N32" s="174">
        <v>100000</v>
      </c>
      <c r="O32" s="174">
        <f t="shared" si="16"/>
        <v>300000</v>
      </c>
      <c r="P32" s="174"/>
      <c r="Q32" s="174">
        <f t="shared" si="14"/>
        <v>300000</v>
      </c>
      <c r="R32" s="174"/>
      <c r="S32" s="174"/>
      <c r="T32" s="729" t="s">
        <v>2092</v>
      </c>
      <c r="U32" s="174"/>
      <c r="V32" s="174"/>
      <c r="W32" s="174">
        <v>300000</v>
      </c>
      <c r="X32" s="174"/>
      <c r="Y32" s="174"/>
      <c r="Z32" s="174"/>
      <c r="AA32" s="174"/>
      <c r="AB32" s="174">
        <f t="shared" si="9"/>
        <v>300000</v>
      </c>
      <c r="AC32" s="174">
        <f t="shared" si="10"/>
        <v>0</v>
      </c>
      <c r="AD32" s="174"/>
      <c r="AE32" s="174">
        <f t="shared" ref="AE32:AE55" si="17">AB32-AF32-AG32-AD32</f>
        <v>300000</v>
      </c>
      <c r="AF32" s="174"/>
      <c r="AG32" s="174"/>
      <c r="AH32" s="181"/>
      <c r="AI32" s="181"/>
      <c r="AJ32" s="181"/>
      <c r="AK32" s="461"/>
      <c r="AL32" s="461"/>
      <c r="AM32" s="461"/>
      <c r="AN32" s="461"/>
      <c r="AO32" s="461"/>
      <c r="AP32" s="461"/>
      <c r="AQ32" s="461"/>
      <c r="AR32" s="281"/>
      <c r="AS32" s="281"/>
      <c r="AT32" s="281"/>
      <c r="AU32" s="281"/>
      <c r="AV32" s="281"/>
      <c r="AW32" s="281"/>
      <c r="AX32" s="281"/>
      <c r="AY32" s="281"/>
      <c r="AZ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180"/>
      <c r="BN32" s="180"/>
    </row>
    <row r="33" spans="1:66" s="609" customFormat="1" ht="30" customHeight="1">
      <c r="A33" s="610" t="s">
        <v>2070</v>
      </c>
      <c r="B33" s="724" t="s">
        <v>2071</v>
      </c>
      <c r="C33" s="727">
        <f t="shared" si="11"/>
        <v>20</v>
      </c>
      <c r="D33" s="727">
        <v>1850</v>
      </c>
      <c r="E33" s="615" t="s">
        <v>2093</v>
      </c>
      <c r="F33" s="174">
        <v>14600000</v>
      </c>
      <c r="G33" s="174">
        <v>14600000</v>
      </c>
      <c r="H33" s="174">
        <f t="shared" si="12"/>
        <v>0</v>
      </c>
      <c r="I33" s="174">
        <f>4277141+352859</f>
        <v>4630000</v>
      </c>
      <c r="J33" s="174">
        <f>500000+120000</f>
        <v>620000</v>
      </c>
      <c r="K33" s="174">
        <f t="shared" si="13"/>
        <v>9350000</v>
      </c>
      <c r="L33" s="174"/>
      <c r="M33" s="174">
        <f t="shared" si="15"/>
        <v>620000</v>
      </c>
      <c r="N33" s="174">
        <v>500000</v>
      </c>
      <c r="O33" s="174">
        <f t="shared" si="16"/>
        <v>120000</v>
      </c>
      <c r="P33" s="174"/>
      <c r="Q33" s="174">
        <f t="shared" si="14"/>
        <v>120000</v>
      </c>
      <c r="R33" s="174"/>
      <c r="S33" s="174"/>
      <c r="T33" s="729" t="s">
        <v>2094</v>
      </c>
      <c r="U33" s="174"/>
      <c r="V33" s="174"/>
      <c r="W33" s="174">
        <v>120000</v>
      </c>
      <c r="X33" s="174"/>
      <c r="Y33" s="174"/>
      <c r="Z33" s="174"/>
      <c r="AA33" s="174"/>
      <c r="AB33" s="174">
        <f t="shared" si="9"/>
        <v>120000</v>
      </c>
      <c r="AC33" s="174">
        <f t="shared" si="10"/>
        <v>0</v>
      </c>
      <c r="AD33" s="174"/>
      <c r="AE33" s="174">
        <f t="shared" si="17"/>
        <v>120000</v>
      </c>
      <c r="AF33" s="174"/>
      <c r="AG33" s="174"/>
      <c r="AH33" s="181"/>
      <c r="AI33" s="181"/>
      <c r="AJ33" s="181"/>
      <c r="AK33" s="461"/>
      <c r="AL33" s="461"/>
      <c r="AM33" s="461"/>
      <c r="AN33" s="461"/>
      <c r="AO33" s="461"/>
      <c r="AP33" s="461"/>
      <c r="AQ33" s="461"/>
      <c r="AR33" s="281"/>
      <c r="AS33" s="281"/>
      <c r="AT33" s="281"/>
      <c r="AU33" s="281"/>
      <c r="AV33" s="281"/>
      <c r="AW33" s="281"/>
      <c r="AX33" s="281"/>
      <c r="AY33" s="281"/>
      <c r="AZ33" s="180"/>
      <c r="BC33" s="180"/>
      <c r="BD33" s="180"/>
      <c r="BE33" s="180"/>
      <c r="BF33" s="180"/>
      <c r="BG33" s="180"/>
      <c r="BH33" s="180"/>
      <c r="BI33" s="180"/>
      <c r="BJ33" s="180"/>
      <c r="BK33" s="180"/>
      <c r="BL33" s="180"/>
      <c r="BM33" s="180"/>
      <c r="BN33" s="180"/>
    </row>
    <row r="34" spans="1:66" s="609" customFormat="1" ht="30" customHeight="1">
      <c r="A34" s="610" t="s">
        <v>2070</v>
      </c>
      <c r="B34" s="724" t="s">
        <v>2071</v>
      </c>
      <c r="C34" s="727">
        <f t="shared" si="11"/>
        <v>21</v>
      </c>
      <c r="D34" s="727">
        <v>1416</v>
      </c>
      <c r="E34" s="615" t="s">
        <v>105</v>
      </c>
      <c r="F34" s="174">
        <f>2100000+600000-300000</f>
        <v>2400000</v>
      </c>
      <c r="G34" s="174">
        <v>2100000</v>
      </c>
      <c r="H34" s="174">
        <f t="shared" si="12"/>
        <v>300000</v>
      </c>
      <c r="I34" s="174">
        <f>1786437+13563</f>
        <v>1800000</v>
      </c>
      <c r="J34" s="174">
        <f>300000+600000-300000</f>
        <v>600000</v>
      </c>
      <c r="K34" s="174">
        <f t="shared" si="13"/>
        <v>0</v>
      </c>
      <c r="L34" s="174"/>
      <c r="M34" s="174">
        <f t="shared" si="15"/>
        <v>600000</v>
      </c>
      <c r="N34" s="174">
        <v>300000</v>
      </c>
      <c r="O34" s="174">
        <f t="shared" si="16"/>
        <v>300000</v>
      </c>
      <c r="P34" s="174"/>
      <c r="Q34" s="174">
        <f t="shared" si="14"/>
        <v>300000</v>
      </c>
      <c r="R34" s="174"/>
      <c r="S34" s="174"/>
      <c r="T34" s="729" t="s">
        <v>2095</v>
      </c>
      <c r="U34" s="174"/>
      <c r="V34" s="174"/>
      <c r="W34" s="174">
        <v>300000</v>
      </c>
      <c r="X34" s="174"/>
      <c r="Y34" s="174"/>
      <c r="Z34" s="174"/>
      <c r="AA34" s="174"/>
      <c r="AB34" s="174">
        <f t="shared" si="9"/>
        <v>300000</v>
      </c>
      <c r="AC34" s="174">
        <f t="shared" si="10"/>
        <v>0</v>
      </c>
      <c r="AD34" s="174"/>
      <c r="AE34" s="174">
        <f t="shared" si="17"/>
        <v>300000</v>
      </c>
      <c r="AF34" s="174"/>
      <c r="AG34" s="174"/>
      <c r="AH34" s="181"/>
      <c r="AI34" s="181"/>
      <c r="AJ34" s="181"/>
      <c r="AK34" s="461"/>
      <c r="AL34" s="461"/>
      <c r="AM34" s="461"/>
      <c r="AN34" s="461"/>
      <c r="AO34" s="461"/>
      <c r="AP34" s="461"/>
      <c r="AQ34" s="461"/>
      <c r="AR34" s="281"/>
      <c r="AS34" s="281"/>
      <c r="AT34" s="281"/>
      <c r="AU34" s="281"/>
      <c r="AV34" s="281"/>
      <c r="AW34" s="281"/>
      <c r="AX34" s="281"/>
      <c r="AY34" s="281"/>
      <c r="AZ34" s="180"/>
      <c r="BC34" s="180"/>
      <c r="BD34" s="180"/>
      <c r="BE34" s="180"/>
      <c r="BF34" s="180"/>
      <c r="BG34" s="180"/>
      <c r="BH34" s="180"/>
      <c r="BI34" s="180"/>
      <c r="BJ34" s="180"/>
      <c r="BK34" s="180"/>
      <c r="BL34" s="180"/>
      <c r="BM34" s="180"/>
      <c r="BN34" s="180"/>
    </row>
    <row r="35" spans="1:66" s="609" customFormat="1" ht="30" customHeight="1">
      <c r="A35" s="610" t="s">
        <v>2070</v>
      </c>
      <c r="B35" s="724" t="s">
        <v>2071</v>
      </c>
      <c r="C35" s="727">
        <f t="shared" si="11"/>
        <v>22</v>
      </c>
      <c r="D35" s="727">
        <v>2177</v>
      </c>
      <c r="E35" s="615" t="s">
        <v>2096</v>
      </c>
      <c r="F35" s="174">
        <f>5500000+6000000-500000-1500000</f>
        <v>9500000</v>
      </c>
      <c r="G35" s="174">
        <v>5500000</v>
      </c>
      <c r="H35" s="174">
        <f t="shared" si="12"/>
        <v>4000000</v>
      </c>
      <c r="I35" s="174"/>
      <c r="J35" s="174">
        <f>5500000+6000000-500000-1500000</f>
        <v>9500000</v>
      </c>
      <c r="K35" s="174">
        <f t="shared" si="13"/>
        <v>0</v>
      </c>
      <c r="L35" s="174"/>
      <c r="M35" s="174">
        <f t="shared" si="15"/>
        <v>9500000</v>
      </c>
      <c r="N35" s="174">
        <v>5500000</v>
      </c>
      <c r="O35" s="174">
        <f t="shared" si="16"/>
        <v>4000000</v>
      </c>
      <c r="P35" s="174"/>
      <c r="Q35" s="174">
        <f t="shared" si="14"/>
        <v>4000000</v>
      </c>
      <c r="R35" s="174"/>
      <c r="S35" s="174"/>
      <c r="T35" s="729" t="s">
        <v>2097</v>
      </c>
      <c r="U35" s="174"/>
      <c r="V35" s="174"/>
      <c r="W35" s="174">
        <v>4000000</v>
      </c>
      <c r="X35" s="174"/>
      <c r="Y35" s="174"/>
      <c r="Z35" s="174"/>
      <c r="AA35" s="174"/>
      <c r="AB35" s="174">
        <f t="shared" si="9"/>
        <v>4000000</v>
      </c>
      <c r="AC35" s="174">
        <f t="shared" si="10"/>
        <v>0</v>
      </c>
      <c r="AD35" s="174"/>
      <c r="AE35" s="174">
        <f t="shared" si="17"/>
        <v>4000000</v>
      </c>
      <c r="AF35" s="174"/>
      <c r="AG35" s="174"/>
      <c r="AH35" s="181"/>
      <c r="AI35" s="181"/>
      <c r="AJ35" s="181"/>
      <c r="AK35" s="461"/>
      <c r="AL35" s="461"/>
      <c r="AM35" s="461"/>
      <c r="AN35" s="461"/>
      <c r="AO35" s="461"/>
      <c r="AP35" s="461"/>
      <c r="AQ35" s="461"/>
      <c r="AR35" s="281"/>
      <c r="AS35" s="281"/>
      <c r="AT35" s="281"/>
      <c r="AU35" s="281"/>
      <c r="AV35" s="281"/>
      <c r="AW35" s="281"/>
      <c r="AX35" s="281"/>
      <c r="AY35" s="281"/>
      <c r="AZ35" s="180"/>
      <c r="BC35" s="180"/>
      <c r="BD35" s="180"/>
      <c r="BE35" s="180"/>
      <c r="BF35" s="180"/>
      <c r="BG35" s="180"/>
      <c r="BH35" s="180"/>
      <c r="BI35" s="180"/>
      <c r="BJ35" s="180"/>
      <c r="BK35" s="180"/>
      <c r="BL35" s="180"/>
      <c r="BM35" s="180"/>
      <c r="BN35" s="180"/>
    </row>
    <row r="36" spans="1:66" s="609" customFormat="1" ht="30" customHeight="1">
      <c r="A36" s="610" t="s">
        <v>2070</v>
      </c>
      <c r="B36" s="724" t="s">
        <v>2071</v>
      </c>
      <c r="C36" s="727">
        <f t="shared" si="11"/>
        <v>23</v>
      </c>
      <c r="D36" s="727">
        <v>2187</v>
      </c>
      <c r="E36" s="615" t="s">
        <v>660</v>
      </c>
      <c r="F36" s="174">
        <f>8600000+500000</f>
        <v>9100000</v>
      </c>
      <c r="G36" s="174">
        <v>8600000</v>
      </c>
      <c r="H36" s="174">
        <f t="shared" si="12"/>
        <v>500000</v>
      </c>
      <c r="I36" s="174">
        <v>800000</v>
      </c>
      <c r="J36" s="174">
        <f>7800000+500000</f>
        <v>8300000</v>
      </c>
      <c r="K36" s="174">
        <f t="shared" si="13"/>
        <v>0</v>
      </c>
      <c r="L36" s="174"/>
      <c r="M36" s="174">
        <f t="shared" si="15"/>
        <v>8300000</v>
      </c>
      <c r="N36" s="174">
        <v>7800000</v>
      </c>
      <c r="O36" s="174">
        <f t="shared" si="16"/>
        <v>500000</v>
      </c>
      <c r="P36" s="174"/>
      <c r="Q36" s="174">
        <f>O36-S36</f>
        <v>-410000</v>
      </c>
      <c r="R36" s="174"/>
      <c r="S36" s="174">
        <v>910000</v>
      </c>
      <c r="T36" s="729" t="s">
        <v>2098</v>
      </c>
      <c r="U36" s="174"/>
      <c r="V36" s="174"/>
      <c r="W36" s="174">
        <v>500000</v>
      </c>
      <c r="X36" s="737"/>
      <c r="Y36" s="737"/>
      <c r="Z36" s="737"/>
      <c r="AA36" s="737"/>
      <c r="AB36" s="174">
        <f t="shared" si="9"/>
        <v>500000</v>
      </c>
      <c r="AC36" s="174">
        <f t="shared" si="10"/>
        <v>0</v>
      </c>
      <c r="AD36" s="174"/>
      <c r="AE36" s="174">
        <f>AB36-AF36-AG36-AD36</f>
        <v>-410000</v>
      </c>
      <c r="AF36" s="174"/>
      <c r="AG36" s="174">
        <v>910000</v>
      </c>
      <c r="AH36" s="181"/>
      <c r="AI36" s="181"/>
      <c r="AJ36" s="181"/>
      <c r="AK36" s="461"/>
      <c r="AL36" s="461"/>
      <c r="AM36" s="461"/>
      <c r="AN36" s="461"/>
      <c r="AO36" s="461"/>
      <c r="AP36" s="461"/>
      <c r="AQ36" s="461"/>
      <c r="AR36" s="281"/>
      <c r="AS36" s="281"/>
      <c r="AT36" s="281"/>
      <c r="AU36" s="281"/>
      <c r="AV36" s="281"/>
      <c r="AW36" s="281"/>
      <c r="AX36" s="281"/>
      <c r="AY36" s="281"/>
      <c r="AZ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</row>
    <row r="37" spans="1:66" s="609" customFormat="1" ht="30" customHeight="1">
      <c r="A37" s="610" t="s">
        <v>2070</v>
      </c>
      <c r="B37" s="724" t="s">
        <v>2071</v>
      </c>
      <c r="C37" s="727">
        <f t="shared" si="11"/>
        <v>24</v>
      </c>
      <c r="D37" s="727">
        <v>1970</v>
      </c>
      <c r="E37" s="615" t="s">
        <v>472</v>
      </c>
      <c r="F37" s="174">
        <v>32500000</v>
      </c>
      <c r="G37" s="174">
        <v>32500000</v>
      </c>
      <c r="H37" s="174">
        <f t="shared" si="12"/>
        <v>0</v>
      </c>
      <c r="I37" s="174">
        <f>30365012+2134988</f>
        <v>32500000</v>
      </c>
      <c r="J37" s="174"/>
      <c r="K37" s="174">
        <f t="shared" si="13"/>
        <v>0</v>
      </c>
      <c r="L37" s="174"/>
      <c r="M37" s="174">
        <f t="shared" si="15"/>
        <v>0</v>
      </c>
      <c r="N37" s="174"/>
      <c r="O37" s="174">
        <f t="shared" si="16"/>
        <v>0</v>
      </c>
      <c r="P37" s="174"/>
      <c r="Q37" s="174">
        <f>O37-S37</f>
        <v>-70000</v>
      </c>
      <c r="R37" s="174"/>
      <c r="S37" s="174">
        <v>70000</v>
      </c>
      <c r="T37" s="729" t="s">
        <v>2099</v>
      </c>
      <c r="U37" s="174"/>
      <c r="V37" s="174"/>
      <c r="W37" s="174"/>
      <c r="X37" s="174"/>
      <c r="Y37" s="174"/>
      <c r="Z37" s="174"/>
      <c r="AA37" s="174"/>
      <c r="AB37" s="174">
        <f t="shared" si="9"/>
        <v>0</v>
      </c>
      <c r="AC37" s="174">
        <f t="shared" si="10"/>
        <v>0</v>
      </c>
      <c r="AD37" s="174"/>
      <c r="AE37" s="174">
        <f t="shared" si="17"/>
        <v>-70000</v>
      </c>
      <c r="AF37" s="174"/>
      <c r="AG37" s="174">
        <v>70000</v>
      </c>
      <c r="AH37" s="181"/>
      <c r="AI37" s="181"/>
      <c r="AJ37" s="181"/>
      <c r="AK37" s="461"/>
      <c r="AL37" s="461"/>
      <c r="AM37" s="461"/>
      <c r="AN37" s="461"/>
      <c r="AO37" s="461"/>
      <c r="AP37" s="461"/>
      <c r="AQ37" s="461"/>
      <c r="AR37" s="281"/>
      <c r="AS37" s="281"/>
      <c r="AT37" s="281"/>
      <c r="AU37" s="281"/>
      <c r="AV37" s="281"/>
      <c r="AW37" s="281"/>
      <c r="AX37" s="281"/>
      <c r="AY37" s="281"/>
      <c r="AZ37" s="180"/>
      <c r="BC37" s="180"/>
      <c r="BD37" s="180"/>
      <c r="BE37" s="180"/>
      <c r="BF37" s="180"/>
      <c r="BG37" s="180"/>
      <c r="BH37" s="180"/>
      <c r="BI37" s="180"/>
      <c r="BJ37" s="180"/>
      <c r="BK37" s="180"/>
      <c r="BL37" s="180"/>
      <c r="BM37" s="180"/>
      <c r="BN37" s="180"/>
    </row>
    <row r="38" spans="1:66" s="609" customFormat="1" ht="30" customHeight="1">
      <c r="A38" s="610" t="s">
        <v>2070</v>
      </c>
      <c r="B38" s="724" t="s">
        <v>2071</v>
      </c>
      <c r="C38" s="727">
        <f t="shared" si="11"/>
        <v>25</v>
      </c>
      <c r="D38" s="727">
        <v>2229</v>
      </c>
      <c r="E38" s="615" t="s">
        <v>2100</v>
      </c>
      <c r="F38" s="174">
        <v>350000</v>
      </c>
      <c r="G38" s="174"/>
      <c r="H38" s="174">
        <f t="shared" si="12"/>
        <v>350000</v>
      </c>
      <c r="I38" s="174"/>
      <c r="J38" s="174">
        <v>350000</v>
      </c>
      <c r="K38" s="174">
        <f t="shared" si="13"/>
        <v>0</v>
      </c>
      <c r="L38" s="174"/>
      <c r="M38" s="174">
        <f t="shared" si="15"/>
        <v>350000</v>
      </c>
      <c r="N38" s="174"/>
      <c r="O38" s="174">
        <f t="shared" si="16"/>
        <v>350000</v>
      </c>
      <c r="P38" s="174"/>
      <c r="Q38" s="174">
        <f>O38</f>
        <v>350000</v>
      </c>
      <c r="R38" s="174"/>
      <c r="S38" s="174"/>
      <c r="T38" s="729" t="s">
        <v>2101</v>
      </c>
      <c r="U38" s="174"/>
      <c r="V38" s="174"/>
      <c r="W38" s="174">
        <v>350000</v>
      </c>
      <c r="X38" s="174"/>
      <c r="Y38" s="174"/>
      <c r="Z38" s="174"/>
      <c r="AA38" s="174"/>
      <c r="AB38" s="174">
        <f t="shared" si="9"/>
        <v>350000</v>
      </c>
      <c r="AC38" s="174">
        <f t="shared" si="10"/>
        <v>0</v>
      </c>
      <c r="AD38" s="174"/>
      <c r="AE38" s="174">
        <f t="shared" si="17"/>
        <v>350000</v>
      </c>
      <c r="AF38" s="174"/>
      <c r="AG38" s="174"/>
      <c r="AH38" s="181"/>
      <c r="AI38" s="181"/>
      <c r="AJ38" s="181"/>
      <c r="AK38" s="461"/>
      <c r="AL38" s="461"/>
      <c r="AM38" s="461"/>
      <c r="AN38" s="461"/>
      <c r="AO38" s="461"/>
      <c r="AP38" s="461"/>
      <c r="AQ38" s="461"/>
      <c r="AR38" s="281"/>
      <c r="AS38" s="281"/>
      <c r="AT38" s="281"/>
      <c r="AU38" s="281"/>
      <c r="AV38" s="281"/>
      <c r="AW38" s="281"/>
      <c r="AX38" s="281"/>
      <c r="AY38" s="281"/>
      <c r="AZ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</row>
    <row r="39" spans="1:66" s="609" customFormat="1" ht="30" customHeight="1">
      <c r="A39" s="610" t="s">
        <v>2070</v>
      </c>
      <c r="B39" s="724" t="s">
        <v>2071</v>
      </c>
      <c r="C39" s="727">
        <f t="shared" si="11"/>
        <v>26</v>
      </c>
      <c r="D39" s="727">
        <v>2230</v>
      </c>
      <c r="E39" s="615" t="s">
        <v>912</v>
      </c>
      <c r="F39" s="174">
        <v>370000</v>
      </c>
      <c r="G39" s="174"/>
      <c r="H39" s="174">
        <f t="shared" si="12"/>
        <v>370000</v>
      </c>
      <c r="I39" s="174"/>
      <c r="J39" s="174">
        <v>370000</v>
      </c>
      <c r="K39" s="174">
        <f t="shared" si="13"/>
        <v>0</v>
      </c>
      <c r="L39" s="174"/>
      <c r="M39" s="174">
        <f t="shared" si="15"/>
        <v>370000</v>
      </c>
      <c r="N39" s="174"/>
      <c r="O39" s="174">
        <f t="shared" si="16"/>
        <v>370000</v>
      </c>
      <c r="P39" s="174"/>
      <c r="Q39" s="174">
        <f>O39</f>
        <v>370000</v>
      </c>
      <c r="R39" s="174"/>
      <c r="S39" s="174"/>
      <c r="T39" s="729" t="s">
        <v>2102</v>
      </c>
      <c r="U39" s="174"/>
      <c r="V39" s="174"/>
      <c r="W39" s="174">
        <v>370000</v>
      </c>
      <c r="X39" s="174"/>
      <c r="Y39" s="174"/>
      <c r="Z39" s="174"/>
      <c r="AA39" s="174"/>
      <c r="AB39" s="174">
        <f t="shared" si="9"/>
        <v>370000</v>
      </c>
      <c r="AC39" s="174">
        <f t="shared" si="10"/>
        <v>0</v>
      </c>
      <c r="AD39" s="174"/>
      <c r="AE39" s="174">
        <f t="shared" si="17"/>
        <v>370000</v>
      </c>
      <c r="AF39" s="174"/>
      <c r="AG39" s="174"/>
      <c r="AH39" s="181"/>
      <c r="AI39" s="181"/>
      <c r="AJ39" s="181"/>
      <c r="AK39" s="461"/>
      <c r="AL39" s="461"/>
      <c r="AM39" s="461"/>
      <c r="AN39" s="461"/>
      <c r="AO39" s="461"/>
      <c r="AP39" s="461"/>
      <c r="AQ39" s="461"/>
      <c r="AR39" s="281"/>
      <c r="AS39" s="281"/>
      <c r="AT39" s="281"/>
      <c r="AU39" s="281"/>
      <c r="AV39" s="281"/>
      <c r="AW39" s="281"/>
      <c r="AX39" s="281"/>
      <c r="AY39" s="281"/>
      <c r="AZ39" s="180"/>
      <c r="BC39" s="180"/>
      <c r="BD39" s="180"/>
      <c r="BE39" s="180"/>
      <c r="BF39" s="180"/>
      <c r="BG39" s="180"/>
      <c r="BH39" s="180"/>
      <c r="BI39" s="180"/>
      <c r="BJ39" s="180"/>
      <c r="BK39" s="180"/>
      <c r="BL39" s="180"/>
      <c r="BM39" s="180"/>
      <c r="BN39" s="180"/>
    </row>
    <row r="40" spans="1:66" s="609" customFormat="1" ht="30" customHeight="1">
      <c r="A40" s="610" t="s">
        <v>2064</v>
      </c>
      <c r="B40" s="724" t="s">
        <v>2065</v>
      </c>
      <c r="C40" s="727">
        <f t="shared" si="11"/>
        <v>27</v>
      </c>
      <c r="D40" s="727">
        <v>2177</v>
      </c>
      <c r="E40" s="615" t="s">
        <v>2096</v>
      </c>
      <c r="F40" s="174">
        <f>5500000+6000000-500000-1500000</f>
        <v>9500000</v>
      </c>
      <c r="G40" s="174">
        <v>9500000</v>
      </c>
      <c r="H40" s="174">
        <f t="shared" si="12"/>
        <v>0</v>
      </c>
      <c r="I40" s="174"/>
      <c r="J40" s="174">
        <v>9500000</v>
      </c>
      <c r="K40" s="174">
        <f t="shared" si="13"/>
        <v>0</v>
      </c>
      <c r="L40" s="174"/>
      <c r="M40" s="174">
        <f t="shared" si="15"/>
        <v>9500000</v>
      </c>
      <c r="N40" s="174">
        <v>9500000</v>
      </c>
      <c r="O40" s="174">
        <f t="shared" si="16"/>
        <v>0</v>
      </c>
      <c r="P40" s="174">
        <f t="shared" ref="P40:P48" si="18">O40-Q40-S40</f>
        <v>0</v>
      </c>
      <c r="Q40" s="174">
        <v>-70000</v>
      </c>
      <c r="R40" s="174"/>
      <c r="S40" s="174">
        <v>70000</v>
      </c>
      <c r="T40" s="729" t="s">
        <v>2103</v>
      </c>
      <c r="U40" s="174"/>
      <c r="V40" s="174"/>
      <c r="W40" s="174"/>
      <c r="X40" s="174"/>
      <c r="Y40" s="174"/>
      <c r="Z40" s="174"/>
      <c r="AA40" s="174"/>
      <c r="AB40" s="174">
        <f t="shared" si="9"/>
        <v>0</v>
      </c>
      <c r="AC40" s="174">
        <f t="shared" si="10"/>
        <v>0</v>
      </c>
      <c r="AD40" s="741"/>
      <c r="AE40" s="174">
        <f t="shared" si="17"/>
        <v>-70000</v>
      </c>
      <c r="AF40" s="174"/>
      <c r="AG40" s="174">
        <v>70000</v>
      </c>
      <c r="AH40" s="181"/>
      <c r="AI40" s="181"/>
      <c r="AJ40" s="461"/>
      <c r="AK40" s="461"/>
      <c r="AL40" s="461"/>
      <c r="AM40" s="461"/>
      <c r="AN40" s="461"/>
      <c r="AO40" s="461"/>
      <c r="AP40" s="461"/>
      <c r="AQ40" s="281"/>
      <c r="AR40" s="281"/>
      <c r="AS40" s="281"/>
      <c r="AT40" s="281"/>
      <c r="AU40" s="281"/>
      <c r="AV40" s="281"/>
      <c r="AW40" s="281"/>
      <c r="AX40" s="281"/>
      <c r="AY40" s="180"/>
      <c r="BB40" s="180"/>
      <c r="BC40" s="180"/>
      <c r="BD40" s="180"/>
      <c r="BE40" s="180"/>
      <c r="BF40" s="180"/>
      <c r="BG40" s="180"/>
      <c r="BH40" s="180"/>
      <c r="BI40" s="180"/>
      <c r="BJ40" s="180"/>
      <c r="BK40" s="180"/>
      <c r="BL40" s="180"/>
      <c r="BM40" s="180"/>
    </row>
    <row r="41" spans="1:66" s="609" customFormat="1" ht="30" customHeight="1">
      <c r="A41" s="610" t="s">
        <v>2064</v>
      </c>
      <c r="B41" s="724" t="s">
        <v>2065</v>
      </c>
      <c r="C41" s="727">
        <f t="shared" si="11"/>
        <v>28</v>
      </c>
      <c r="D41" s="727">
        <v>2177</v>
      </c>
      <c r="E41" s="615" t="s">
        <v>2096</v>
      </c>
      <c r="F41" s="174">
        <f>9500000+1000000+1000000</f>
        <v>11500000</v>
      </c>
      <c r="G41" s="174">
        <v>9500000</v>
      </c>
      <c r="H41" s="174">
        <f t="shared" si="12"/>
        <v>2000000</v>
      </c>
      <c r="I41" s="174"/>
      <c r="J41" s="174">
        <f>9500000+1000000+1000000</f>
        <v>11500000</v>
      </c>
      <c r="K41" s="174">
        <f t="shared" si="13"/>
        <v>0</v>
      </c>
      <c r="L41" s="174"/>
      <c r="M41" s="174">
        <f t="shared" si="15"/>
        <v>11500000</v>
      </c>
      <c r="N41" s="174">
        <v>9500000</v>
      </c>
      <c r="O41" s="174">
        <f t="shared" si="16"/>
        <v>2000000</v>
      </c>
      <c r="P41" s="174">
        <f t="shared" si="18"/>
        <v>2000000</v>
      </c>
      <c r="Q41" s="174"/>
      <c r="R41" s="174"/>
      <c r="S41" s="174"/>
      <c r="T41" s="729" t="s">
        <v>2097</v>
      </c>
      <c r="U41" s="174"/>
      <c r="V41" s="174"/>
      <c r="W41" s="174"/>
      <c r="X41" s="174">
        <v>2000000</v>
      </c>
      <c r="Y41" s="174"/>
      <c r="Z41" s="174"/>
      <c r="AA41" s="174"/>
      <c r="AB41" s="174">
        <f t="shared" si="9"/>
        <v>2000000</v>
      </c>
      <c r="AC41" s="174">
        <f t="shared" si="10"/>
        <v>0</v>
      </c>
      <c r="AD41" s="174">
        <v>2000000</v>
      </c>
      <c r="AE41" s="174">
        <f t="shared" si="17"/>
        <v>0</v>
      </c>
      <c r="AF41" s="741"/>
      <c r="AG41" s="741"/>
      <c r="AH41" s="181"/>
      <c r="AI41" s="181"/>
      <c r="AJ41" s="461"/>
      <c r="AK41" s="461"/>
      <c r="AL41" s="461"/>
      <c r="AM41" s="461"/>
      <c r="AN41" s="461"/>
      <c r="AO41" s="461"/>
      <c r="AP41" s="461"/>
      <c r="AQ41" s="281"/>
      <c r="AR41" s="281"/>
      <c r="AS41" s="281"/>
      <c r="AT41" s="281"/>
      <c r="AU41" s="281"/>
      <c r="AV41" s="281"/>
      <c r="AW41" s="281"/>
      <c r="AX41" s="281"/>
      <c r="AY41" s="180"/>
      <c r="BB41" s="180"/>
      <c r="BC41" s="180"/>
      <c r="BD41" s="180"/>
      <c r="BE41" s="180"/>
      <c r="BF41" s="180"/>
      <c r="BG41" s="180"/>
      <c r="BH41" s="180"/>
      <c r="BI41" s="180"/>
      <c r="BJ41" s="180"/>
      <c r="BK41" s="180"/>
      <c r="BL41" s="180"/>
      <c r="BM41" s="180"/>
    </row>
    <row r="42" spans="1:66" s="609" customFormat="1" ht="30" customHeight="1">
      <c r="A42" s="610" t="s">
        <v>2064</v>
      </c>
      <c r="B42" s="724" t="s">
        <v>2065</v>
      </c>
      <c r="C42" s="727">
        <f t="shared" si="11"/>
        <v>29</v>
      </c>
      <c r="D42" s="727">
        <v>2030</v>
      </c>
      <c r="E42" s="615" t="s">
        <v>289</v>
      </c>
      <c r="F42" s="174">
        <v>31500000</v>
      </c>
      <c r="G42" s="174">
        <v>31500000</v>
      </c>
      <c r="H42" s="174">
        <f t="shared" si="12"/>
        <v>0</v>
      </c>
      <c r="I42" s="174">
        <f>9457321+442679</f>
        <v>9900000</v>
      </c>
      <c r="J42" s="174">
        <f>10000000-1000000-1400000</f>
        <v>7600000</v>
      </c>
      <c r="K42" s="174">
        <f t="shared" si="13"/>
        <v>14000000</v>
      </c>
      <c r="L42" s="174"/>
      <c r="M42" s="174">
        <f t="shared" si="15"/>
        <v>7600000</v>
      </c>
      <c r="N42" s="174">
        <v>10000000</v>
      </c>
      <c r="O42" s="174">
        <f t="shared" si="16"/>
        <v>-2400000</v>
      </c>
      <c r="P42" s="174">
        <f t="shared" si="18"/>
        <v>-2400000</v>
      </c>
      <c r="Q42" s="174"/>
      <c r="R42" s="174"/>
      <c r="S42" s="174"/>
      <c r="T42" s="729" t="s">
        <v>2075</v>
      </c>
      <c r="U42" s="174"/>
      <c r="V42" s="174"/>
      <c r="W42" s="174"/>
      <c r="X42" s="174">
        <v>-2400000</v>
      </c>
      <c r="Y42" s="174"/>
      <c r="Z42" s="174"/>
      <c r="AA42" s="174"/>
      <c r="AB42" s="174">
        <f t="shared" si="9"/>
        <v>-2400000</v>
      </c>
      <c r="AC42" s="174">
        <f t="shared" si="10"/>
        <v>0</v>
      </c>
      <c r="AD42" s="174">
        <v>-2400000</v>
      </c>
      <c r="AE42" s="174">
        <f t="shared" si="17"/>
        <v>0</v>
      </c>
      <c r="AF42" s="741"/>
      <c r="AG42" s="741"/>
      <c r="AH42" s="181"/>
      <c r="AI42" s="181"/>
      <c r="AJ42" s="461"/>
      <c r="AK42" s="461"/>
      <c r="AL42" s="461"/>
      <c r="AM42" s="461"/>
      <c r="AN42" s="461"/>
      <c r="AO42" s="461"/>
      <c r="AP42" s="461"/>
      <c r="AQ42" s="281"/>
      <c r="AR42" s="281"/>
      <c r="AS42" s="281"/>
      <c r="AT42" s="281"/>
      <c r="AU42" s="281"/>
      <c r="AV42" s="281"/>
      <c r="AW42" s="281"/>
      <c r="AX42" s="281"/>
      <c r="AY42" s="180"/>
      <c r="BB42" s="180"/>
      <c r="BC42" s="180"/>
      <c r="BD42" s="180"/>
      <c r="BE42" s="180"/>
      <c r="BF42" s="180"/>
      <c r="BG42" s="180"/>
      <c r="BH42" s="180"/>
      <c r="BI42" s="180"/>
      <c r="BJ42" s="180"/>
      <c r="BK42" s="180"/>
      <c r="BL42" s="180"/>
      <c r="BM42" s="180"/>
    </row>
    <row r="43" spans="1:66" s="609" customFormat="1" ht="30" customHeight="1">
      <c r="A43" s="610" t="s">
        <v>2064</v>
      </c>
      <c r="B43" s="724" t="s">
        <v>2065</v>
      </c>
      <c r="C43" s="727">
        <f t="shared" si="11"/>
        <v>30</v>
      </c>
      <c r="D43" s="727">
        <v>2212</v>
      </c>
      <c r="E43" s="615" t="s">
        <v>2104</v>
      </c>
      <c r="F43" s="174">
        <v>8000000</v>
      </c>
      <c r="G43" s="174">
        <v>8000000</v>
      </c>
      <c r="H43" s="174">
        <f t="shared" si="12"/>
        <v>0</v>
      </c>
      <c r="I43" s="174"/>
      <c r="J43" s="174">
        <v>1000000</v>
      </c>
      <c r="K43" s="174">
        <f t="shared" si="13"/>
        <v>7000000</v>
      </c>
      <c r="L43" s="174"/>
      <c r="M43" s="174">
        <f t="shared" si="15"/>
        <v>1000000</v>
      </c>
      <c r="N43" s="174">
        <v>2000000</v>
      </c>
      <c r="O43" s="174">
        <f t="shared" si="16"/>
        <v>-1000000</v>
      </c>
      <c r="P43" s="174">
        <f t="shared" si="18"/>
        <v>0</v>
      </c>
      <c r="Q43" s="174">
        <v>-1000000</v>
      </c>
      <c r="R43" s="174"/>
      <c r="S43" s="174"/>
      <c r="T43" s="729" t="s">
        <v>2075</v>
      </c>
      <c r="U43" s="174"/>
      <c r="V43" s="174"/>
      <c r="W43" s="174"/>
      <c r="X43" s="174">
        <v>-1000000</v>
      </c>
      <c r="Y43" s="174"/>
      <c r="Z43" s="174"/>
      <c r="AA43" s="174"/>
      <c r="AB43" s="174">
        <f t="shared" si="9"/>
        <v>-1000000</v>
      </c>
      <c r="AC43" s="174">
        <f t="shared" si="10"/>
        <v>0</v>
      </c>
      <c r="AD43" s="174"/>
      <c r="AE43" s="174">
        <f t="shared" si="17"/>
        <v>-1000000</v>
      </c>
      <c r="AF43" s="741"/>
      <c r="AG43" s="741"/>
      <c r="AH43" s="181"/>
      <c r="AI43" s="181"/>
      <c r="AJ43" s="461"/>
      <c r="AK43" s="461"/>
      <c r="AL43" s="461"/>
      <c r="AM43" s="461"/>
      <c r="AN43" s="461"/>
      <c r="AO43" s="461"/>
      <c r="AP43" s="461"/>
      <c r="AQ43" s="281"/>
      <c r="AR43" s="281"/>
      <c r="AS43" s="281"/>
      <c r="AT43" s="281"/>
      <c r="AU43" s="281"/>
      <c r="AV43" s="281"/>
      <c r="AW43" s="281"/>
      <c r="AX43" s="281"/>
      <c r="AY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</row>
    <row r="44" spans="1:66" s="609" customFormat="1" ht="30" customHeight="1">
      <c r="A44" s="610" t="s">
        <v>2064</v>
      </c>
      <c r="B44" s="724" t="s">
        <v>2065</v>
      </c>
      <c r="C44" s="727">
        <f t="shared" si="11"/>
        <v>31</v>
      </c>
      <c r="D44" s="727">
        <v>2234</v>
      </c>
      <c r="E44" s="615" t="s">
        <v>2105</v>
      </c>
      <c r="F44" s="174">
        <v>270000</v>
      </c>
      <c r="G44" s="174"/>
      <c r="H44" s="174">
        <f t="shared" si="12"/>
        <v>270000</v>
      </c>
      <c r="I44" s="174"/>
      <c r="J44" s="174">
        <v>270000</v>
      </c>
      <c r="K44" s="174">
        <f t="shared" si="13"/>
        <v>0</v>
      </c>
      <c r="L44" s="174"/>
      <c r="M44" s="174">
        <f t="shared" si="15"/>
        <v>270000</v>
      </c>
      <c r="N44" s="174"/>
      <c r="O44" s="174">
        <f t="shared" si="16"/>
        <v>270000</v>
      </c>
      <c r="P44" s="174">
        <f t="shared" si="18"/>
        <v>0</v>
      </c>
      <c r="Q44" s="174"/>
      <c r="R44" s="174"/>
      <c r="S44" s="174">
        <v>270000</v>
      </c>
      <c r="T44" s="729" t="s">
        <v>2106</v>
      </c>
      <c r="U44" s="174"/>
      <c r="V44" s="174"/>
      <c r="W44" s="174"/>
      <c r="X44" s="174">
        <v>270000</v>
      </c>
      <c r="Y44" s="174"/>
      <c r="Z44" s="174"/>
      <c r="AA44" s="174"/>
      <c r="AB44" s="174">
        <f t="shared" si="9"/>
        <v>270000</v>
      </c>
      <c r="AC44" s="174">
        <f t="shared" si="10"/>
        <v>0</v>
      </c>
      <c r="AD44" s="741"/>
      <c r="AE44" s="174">
        <f t="shared" si="17"/>
        <v>0</v>
      </c>
      <c r="AF44" s="174"/>
      <c r="AG44" s="174">
        <v>270000</v>
      </c>
      <c r="AH44" s="181"/>
      <c r="AI44" s="181"/>
      <c r="AJ44" s="461"/>
      <c r="AK44" s="461"/>
      <c r="AL44" s="461"/>
      <c r="AM44" s="461"/>
      <c r="AN44" s="461"/>
      <c r="AO44" s="461"/>
      <c r="AP44" s="461"/>
      <c r="AQ44" s="281"/>
      <c r="AR44" s="281"/>
      <c r="AS44" s="281"/>
      <c r="AT44" s="281"/>
      <c r="AU44" s="281"/>
      <c r="AV44" s="281"/>
      <c r="AW44" s="281"/>
      <c r="AX44" s="281"/>
      <c r="AY44" s="180"/>
      <c r="BB44" s="180"/>
      <c r="BC44" s="180"/>
      <c r="BD44" s="180"/>
      <c r="BE44" s="180"/>
      <c r="BF44" s="180"/>
      <c r="BG44" s="180"/>
      <c r="BH44" s="180"/>
      <c r="BI44" s="180"/>
      <c r="BJ44" s="180"/>
      <c r="BK44" s="180"/>
      <c r="BL44" s="180"/>
      <c r="BM44" s="180"/>
    </row>
    <row r="45" spans="1:66" s="609" customFormat="1" ht="30" customHeight="1">
      <c r="A45" s="610" t="s">
        <v>2064</v>
      </c>
      <c r="B45" s="724" t="s">
        <v>2065</v>
      </c>
      <c r="C45" s="727">
        <f t="shared" si="11"/>
        <v>32</v>
      </c>
      <c r="D45" s="727">
        <v>2235</v>
      </c>
      <c r="E45" s="615" t="s">
        <v>914</v>
      </c>
      <c r="F45" s="174">
        <v>1400000</v>
      </c>
      <c r="G45" s="174"/>
      <c r="H45" s="174">
        <f t="shared" si="12"/>
        <v>1400000</v>
      </c>
      <c r="I45" s="174"/>
      <c r="J45" s="174">
        <v>1400000</v>
      </c>
      <c r="K45" s="174">
        <f t="shared" si="13"/>
        <v>0</v>
      </c>
      <c r="L45" s="174"/>
      <c r="M45" s="174">
        <f t="shared" si="15"/>
        <v>1400000</v>
      </c>
      <c r="N45" s="174"/>
      <c r="O45" s="174">
        <f t="shared" si="16"/>
        <v>1400000</v>
      </c>
      <c r="P45" s="174">
        <f t="shared" si="18"/>
        <v>400000</v>
      </c>
      <c r="Q45" s="174">
        <v>1000000</v>
      </c>
      <c r="R45" s="174"/>
      <c r="S45" s="174"/>
      <c r="T45" s="729" t="s">
        <v>2107</v>
      </c>
      <c r="U45" s="174"/>
      <c r="V45" s="174"/>
      <c r="W45" s="174"/>
      <c r="X45" s="174">
        <v>1400000</v>
      </c>
      <c r="Y45" s="174"/>
      <c r="Z45" s="174"/>
      <c r="AA45" s="174"/>
      <c r="AB45" s="174">
        <f t="shared" si="9"/>
        <v>1400000</v>
      </c>
      <c r="AC45" s="174">
        <f t="shared" si="10"/>
        <v>0</v>
      </c>
      <c r="AD45" s="174">
        <v>400000</v>
      </c>
      <c r="AE45" s="174">
        <f t="shared" si="17"/>
        <v>1000000</v>
      </c>
      <c r="AF45" s="741"/>
      <c r="AG45" s="741"/>
      <c r="AH45" s="181"/>
      <c r="AI45" s="181"/>
      <c r="AJ45" s="461"/>
      <c r="AK45" s="461"/>
      <c r="AL45" s="461"/>
      <c r="AM45" s="461"/>
      <c r="AN45" s="461"/>
      <c r="AO45" s="461"/>
      <c r="AP45" s="461"/>
      <c r="AQ45" s="281"/>
      <c r="AR45" s="281"/>
      <c r="AS45" s="281"/>
      <c r="AT45" s="281"/>
      <c r="AU45" s="281"/>
      <c r="AV45" s="281"/>
      <c r="AW45" s="281"/>
      <c r="AX45" s="281"/>
      <c r="AY45" s="180"/>
      <c r="BB45" s="180"/>
      <c r="BC45" s="180"/>
      <c r="BD45" s="180"/>
      <c r="BE45" s="180"/>
      <c r="BF45" s="180"/>
      <c r="BG45" s="180"/>
      <c r="BH45" s="180"/>
      <c r="BI45" s="180"/>
      <c r="BJ45" s="180"/>
      <c r="BK45" s="180"/>
      <c r="BL45" s="180"/>
      <c r="BM45" s="180"/>
    </row>
    <row r="46" spans="1:66" s="609" customFormat="1" ht="30" customHeight="1">
      <c r="A46" s="610" t="s">
        <v>2108</v>
      </c>
      <c r="B46" s="724" t="s">
        <v>2109</v>
      </c>
      <c r="C46" s="727">
        <f t="shared" si="11"/>
        <v>33</v>
      </c>
      <c r="D46" s="727">
        <v>2236</v>
      </c>
      <c r="E46" s="619" t="s">
        <v>2105</v>
      </c>
      <c r="F46" s="174">
        <v>150000</v>
      </c>
      <c r="G46" s="174"/>
      <c r="H46" s="174">
        <f t="shared" si="12"/>
        <v>150000</v>
      </c>
      <c r="I46" s="174"/>
      <c r="J46" s="174">
        <v>150000</v>
      </c>
      <c r="K46" s="174">
        <f t="shared" si="13"/>
        <v>0</v>
      </c>
      <c r="L46" s="174"/>
      <c r="M46" s="174">
        <f t="shared" si="15"/>
        <v>150000</v>
      </c>
      <c r="N46" s="174"/>
      <c r="O46" s="174">
        <f t="shared" si="16"/>
        <v>150000</v>
      </c>
      <c r="P46" s="174">
        <f t="shared" si="18"/>
        <v>0</v>
      </c>
      <c r="Q46" s="174"/>
      <c r="R46" s="174"/>
      <c r="S46" s="174">
        <v>150000</v>
      </c>
      <c r="T46" s="729" t="s">
        <v>2110</v>
      </c>
      <c r="U46" s="174"/>
      <c r="V46" s="174"/>
      <c r="W46" s="174"/>
      <c r="X46" s="174"/>
      <c r="Y46" s="174">
        <v>150000</v>
      </c>
      <c r="Z46" s="174"/>
      <c r="AA46" s="174"/>
      <c r="AB46" s="174">
        <f t="shared" si="9"/>
        <v>150000</v>
      </c>
      <c r="AC46" s="174"/>
      <c r="AD46" s="174">
        <v>0</v>
      </c>
      <c r="AE46" s="174">
        <f t="shared" si="17"/>
        <v>0</v>
      </c>
      <c r="AF46" s="174"/>
      <c r="AG46" s="174">
        <v>150000</v>
      </c>
      <c r="AH46" s="181"/>
      <c r="AI46" s="181"/>
      <c r="AJ46" s="742"/>
      <c r="AK46" s="742"/>
      <c r="AL46" s="742"/>
      <c r="AM46" s="742"/>
      <c r="AN46" s="742"/>
      <c r="AO46" s="742"/>
      <c r="AP46" s="742"/>
      <c r="AQ46" s="281"/>
      <c r="AR46" s="281"/>
      <c r="AS46" s="281"/>
      <c r="AT46" s="281"/>
      <c r="AU46" s="281"/>
      <c r="AV46" s="281"/>
      <c r="AW46" s="281"/>
      <c r="AX46" s="281"/>
      <c r="AY46" s="180"/>
      <c r="BB46" s="180"/>
      <c r="BC46" s="180"/>
      <c r="BD46" s="180"/>
      <c r="BE46" s="180"/>
      <c r="BF46" s="180"/>
      <c r="BG46" s="180"/>
      <c r="BH46" s="180"/>
      <c r="BI46" s="180"/>
      <c r="BJ46" s="180"/>
      <c r="BK46" s="180"/>
      <c r="BL46" s="180"/>
      <c r="BM46" s="180"/>
    </row>
    <row r="47" spans="1:66" s="609" customFormat="1" ht="30" customHeight="1">
      <c r="A47" s="610" t="s">
        <v>2108</v>
      </c>
      <c r="B47" s="724" t="s">
        <v>2109</v>
      </c>
      <c r="C47" s="727">
        <f t="shared" si="11"/>
        <v>34</v>
      </c>
      <c r="D47" s="727">
        <v>2237</v>
      </c>
      <c r="E47" s="615" t="s">
        <v>1413</v>
      </c>
      <c r="F47" s="174">
        <v>1700000</v>
      </c>
      <c r="G47" s="174"/>
      <c r="H47" s="174">
        <f t="shared" si="12"/>
        <v>1700000</v>
      </c>
      <c r="I47" s="174"/>
      <c r="J47" s="174">
        <v>600000</v>
      </c>
      <c r="K47" s="174">
        <f t="shared" si="13"/>
        <v>1100000</v>
      </c>
      <c r="L47" s="174"/>
      <c r="M47" s="174">
        <f t="shared" si="15"/>
        <v>600000</v>
      </c>
      <c r="N47" s="174"/>
      <c r="O47" s="174">
        <f t="shared" si="16"/>
        <v>600000</v>
      </c>
      <c r="P47" s="174">
        <f t="shared" si="18"/>
        <v>600000</v>
      </c>
      <c r="Q47" s="174"/>
      <c r="R47" s="174"/>
      <c r="S47" s="174"/>
      <c r="T47" s="729" t="s">
        <v>2111</v>
      </c>
      <c r="U47" s="174"/>
      <c r="V47" s="174"/>
      <c r="W47" s="174"/>
      <c r="X47" s="174"/>
      <c r="Y47" s="174">
        <v>600000</v>
      </c>
      <c r="Z47" s="174"/>
      <c r="AA47" s="174"/>
      <c r="AB47" s="174">
        <f t="shared" si="9"/>
        <v>600000</v>
      </c>
      <c r="AC47" s="174"/>
      <c r="AD47" s="174">
        <v>600000</v>
      </c>
      <c r="AE47" s="174">
        <f t="shared" si="17"/>
        <v>0</v>
      </c>
      <c r="AF47" s="741"/>
      <c r="AG47" s="741"/>
      <c r="AH47" s="181"/>
      <c r="AI47" s="181"/>
      <c r="AJ47" s="742"/>
      <c r="AK47" s="742"/>
      <c r="AL47" s="742"/>
      <c r="AM47" s="742"/>
      <c r="AN47" s="742"/>
      <c r="AO47" s="742"/>
      <c r="AP47" s="742"/>
      <c r="AQ47" s="281"/>
      <c r="AR47" s="281"/>
      <c r="AS47" s="281"/>
      <c r="AT47" s="281"/>
      <c r="AU47" s="281"/>
      <c r="AV47" s="281"/>
      <c r="AW47" s="281"/>
      <c r="AX47" s="281"/>
      <c r="AY47" s="180"/>
      <c r="BB47" s="180"/>
      <c r="BC47" s="180"/>
      <c r="BD47" s="180"/>
      <c r="BE47" s="180"/>
      <c r="BF47" s="180"/>
      <c r="BG47" s="180"/>
      <c r="BH47" s="180"/>
      <c r="BI47" s="180"/>
      <c r="BJ47" s="180"/>
      <c r="BK47" s="180"/>
      <c r="BL47" s="180"/>
      <c r="BM47" s="180"/>
    </row>
    <row r="48" spans="1:66" s="609" customFormat="1" ht="30" customHeight="1">
      <c r="A48" s="610" t="s">
        <v>2108</v>
      </c>
      <c r="B48" s="724" t="s">
        <v>2109</v>
      </c>
      <c r="C48" s="727">
        <f t="shared" si="11"/>
        <v>35</v>
      </c>
      <c r="D48" s="727">
        <v>2238</v>
      </c>
      <c r="E48" s="615" t="s">
        <v>2112</v>
      </c>
      <c r="F48" s="174">
        <v>3100000</v>
      </c>
      <c r="G48" s="174"/>
      <c r="H48" s="174">
        <f t="shared" si="12"/>
        <v>3100000</v>
      </c>
      <c r="I48" s="174"/>
      <c r="J48" s="174">
        <v>3100000</v>
      </c>
      <c r="K48" s="174">
        <f t="shared" si="13"/>
        <v>0</v>
      </c>
      <c r="L48" s="174"/>
      <c r="M48" s="174">
        <f t="shared" si="15"/>
        <v>3100000</v>
      </c>
      <c r="N48" s="174"/>
      <c r="O48" s="174">
        <f t="shared" si="16"/>
        <v>3100000</v>
      </c>
      <c r="P48" s="174">
        <f t="shared" si="18"/>
        <v>400000</v>
      </c>
      <c r="Q48" s="174">
        <v>2700000</v>
      </c>
      <c r="R48" s="174"/>
      <c r="S48" s="174"/>
      <c r="T48" s="729" t="s">
        <v>2113</v>
      </c>
      <c r="U48" s="174"/>
      <c r="V48" s="174"/>
      <c r="W48" s="174"/>
      <c r="X48" s="174"/>
      <c r="Y48" s="174">
        <v>3100000</v>
      </c>
      <c r="Z48" s="174"/>
      <c r="AA48" s="174"/>
      <c r="AB48" s="174">
        <f t="shared" si="9"/>
        <v>3100000</v>
      </c>
      <c r="AC48" s="174"/>
      <c r="AD48" s="174">
        <v>400000</v>
      </c>
      <c r="AE48" s="174">
        <f t="shared" si="17"/>
        <v>2700000</v>
      </c>
      <c r="AF48" s="741"/>
      <c r="AG48" s="741"/>
      <c r="AH48" s="181"/>
      <c r="AI48" s="181"/>
      <c r="AJ48" s="742"/>
      <c r="AK48" s="742"/>
      <c r="AL48" s="742"/>
      <c r="AM48" s="742"/>
      <c r="AN48" s="742"/>
      <c r="AO48" s="742"/>
      <c r="AP48" s="742"/>
      <c r="AQ48" s="281"/>
      <c r="AR48" s="281"/>
      <c r="AS48" s="281"/>
      <c r="AT48" s="281"/>
      <c r="AU48" s="281"/>
      <c r="AV48" s="281"/>
      <c r="AW48" s="281"/>
      <c r="AX48" s="281"/>
      <c r="AY48" s="180"/>
      <c r="BB48" s="180"/>
      <c r="BC48" s="180"/>
      <c r="BD48" s="180"/>
      <c r="BE48" s="180"/>
      <c r="BF48" s="180"/>
      <c r="BG48" s="180"/>
      <c r="BH48" s="180"/>
      <c r="BI48" s="180"/>
      <c r="BJ48" s="180"/>
      <c r="BK48" s="180"/>
      <c r="BL48" s="180"/>
      <c r="BM48" s="180"/>
    </row>
    <row r="49" spans="1:65" s="609" customFormat="1" ht="30" customHeight="1">
      <c r="A49" s="610" t="s">
        <v>2108</v>
      </c>
      <c r="B49" s="724" t="s">
        <v>2109</v>
      </c>
      <c r="C49" s="727">
        <f t="shared" si="11"/>
        <v>36</v>
      </c>
      <c r="D49" s="727">
        <v>2030</v>
      </c>
      <c r="E49" s="615" t="s">
        <v>289</v>
      </c>
      <c r="F49" s="174">
        <v>31500000</v>
      </c>
      <c r="G49" s="174">
        <v>31500000</v>
      </c>
      <c r="H49" s="174">
        <f t="shared" ref="H49:H55" si="19">F49-G49</f>
        <v>0</v>
      </c>
      <c r="I49" s="174">
        <f>9457321+442679</f>
        <v>9900000</v>
      </c>
      <c r="J49" s="174">
        <f>10000000-1000000-1400000-1000000</f>
        <v>6600000</v>
      </c>
      <c r="K49" s="174">
        <f>F49-I49-J49</f>
        <v>15000000</v>
      </c>
      <c r="L49" s="174"/>
      <c r="M49" s="174">
        <f>J49</f>
        <v>6600000</v>
      </c>
      <c r="N49" s="174">
        <v>7600000</v>
      </c>
      <c r="O49" s="174">
        <f>M49-N49</f>
        <v>-1000000</v>
      </c>
      <c r="P49" s="174">
        <f>O49-Q49-S49-R49</f>
        <v>-1000000</v>
      </c>
      <c r="Q49" s="174"/>
      <c r="R49" s="174"/>
      <c r="S49" s="174"/>
      <c r="T49" s="729" t="s">
        <v>2075</v>
      </c>
      <c r="U49" s="174"/>
      <c r="V49" s="174"/>
      <c r="W49" s="174"/>
      <c r="X49" s="174"/>
      <c r="Y49" s="174">
        <v>-1000000</v>
      </c>
      <c r="Z49" s="174"/>
      <c r="AA49" s="174"/>
      <c r="AB49" s="174">
        <f t="shared" si="9"/>
        <v>-1000000</v>
      </c>
      <c r="AC49" s="174">
        <f t="shared" ref="AC49:AC54" si="20">O49-AB49</f>
        <v>0</v>
      </c>
      <c r="AD49" s="174">
        <v>-1000000</v>
      </c>
      <c r="AE49" s="174">
        <f t="shared" si="17"/>
        <v>0</v>
      </c>
      <c r="AF49" s="174"/>
      <c r="AG49" s="174"/>
      <c r="AH49" s="461"/>
      <c r="AI49" s="461"/>
      <c r="AJ49" s="461"/>
      <c r="AK49" s="461"/>
      <c r="AL49" s="461"/>
      <c r="AM49" s="461"/>
      <c r="AN49" s="461"/>
      <c r="AO49" s="461"/>
      <c r="AP49" s="461"/>
      <c r="AQ49" s="281"/>
      <c r="AR49" s="281"/>
      <c r="AS49" s="281"/>
      <c r="AT49" s="281"/>
      <c r="AU49" s="281"/>
      <c r="AV49" s="281"/>
      <c r="AW49" s="281"/>
      <c r="AX49" s="281"/>
      <c r="AY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</row>
    <row r="50" spans="1:65" s="609" customFormat="1" ht="30" customHeight="1">
      <c r="A50" s="610" t="s">
        <v>2076</v>
      </c>
      <c r="B50" s="724" t="s">
        <v>2077</v>
      </c>
      <c r="C50" s="727">
        <f t="shared" si="11"/>
        <v>37</v>
      </c>
      <c r="D50" s="727">
        <v>2239</v>
      </c>
      <c r="E50" s="615" t="s">
        <v>2114</v>
      </c>
      <c r="F50" s="174">
        <v>4700000</v>
      </c>
      <c r="G50" s="174"/>
      <c r="H50" s="174">
        <f t="shared" si="19"/>
        <v>4700000</v>
      </c>
      <c r="I50" s="174"/>
      <c r="J50" s="174">
        <v>2000000</v>
      </c>
      <c r="K50" s="174">
        <f t="shared" ref="K50:K55" si="21">F50-I50-J50</f>
        <v>2700000</v>
      </c>
      <c r="L50" s="174"/>
      <c r="M50" s="174">
        <f>J50</f>
        <v>2000000</v>
      </c>
      <c r="N50" s="174"/>
      <c r="O50" s="174">
        <f t="shared" ref="O50:O55" si="22">M50-N50</f>
        <v>2000000</v>
      </c>
      <c r="P50" s="174">
        <f>O50-Q50-S50-R50</f>
        <v>2000000</v>
      </c>
      <c r="Q50" s="174"/>
      <c r="R50" s="174"/>
      <c r="S50" s="174"/>
      <c r="T50" s="729" t="s">
        <v>2115</v>
      </c>
      <c r="U50" s="174"/>
      <c r="V50" s="174"/>
      <c r="W50" s="174"/>
      <c r="X50" s="174"/>
      <c r="Y50" s="174"/>
      <c r="Z50" s="174">
        <v>2000000</v>
      </c>
      <c r="AA50" s="174"/>
      <c r="AB50" s="174">
        <f t="shared" si="9"/>
        <v>2000000</v>
      </c>
      <c r="AC50" s="174">
        <f t="shared" si="20"/>
        <v>0</v>
      </c>
      <c r="AD50" s="174">
        <v>2000000</v>
      </c>
      <c r="AE50" s="174">
        <f t="shared" si="17"/>
        <v>0</v>
      </c>
      <c r="AF50" s="174"/>
      <c r="AG50" s="174"/>
      <c r="AH50" s="461"/>
      <c r="AI50" s="461"/>
      <c r="AJ50" s="461"/>
      <c r="AK50" s="461"/>
      <c r="AL50" s="461"/>
      <c r="AM50" s="461"/>
      <c r="AN50" s="461"/>
      <c r="AO50" s="461"/>
      <c r="AP50" s="461"/>
      <c r="AQ50" s="281"/>
      <c r="AR50" s="281"/>
      <c r="AS50" s="281"/>
      <c r="AT50" s="281"/>
      <c r="AU50" s="281"/>
      <c r="AV50" s="281"/>
      <c r="AW50" s="281"/>
      <c r="AX50" s="281"/>
      <c r="AY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</row>
    <row r="51" spans="1:65" s="609" customFormat="1" ht="30" customHeight="1">
      <c r="A51" s="610" t="s">
        <v>2076</v>
      </c>
      <c r="B51" s="724" t="s">
        <v>2077</v>
      </c>
      <c r="C51" s="727">
        <f t="shared" si="11"/>
        <v>38</v>
      </c>
      <c r="D51" s="727">
        <v>2177</v>
      </c>
      <c r="E51" s="619" t="s">
        <v>2096</v>
      </c>
      <c r="F51" s="174">
        <v>12500000</v>
      </c>
      <c r="G51" s="174">
        <v>11500000</v>
      </c>
      <c r="H51" s="174">
        <f t="shared" si="19"/>
        <v>1000000</v>
      </c>
      <c r="I51" s="174"/>
      <c r="J51" s="174">
        <v>12500000</v>
      </c>
      <c r="K51" s="174">
        <f t="shared" si="21"/>
        <v>0</v>
      </c>
      <c r="L51" s="174"/>
      <c r="M51" s="174">
        <f>J51</f>
        <v>12500000</v>
      </c>
      <c r="N51" s="174">
        <v>11500000</v>
      </c>
      <c r="O51" s="174">
        <f t="shared" si="22"/>
        <v>1000000</v>
      </c>
      <c r="P51" s="174">
        <f>O51-Q51-S51-R51</f>
        <v>1000000</v>
      </c>
      <c r="Q51" s="174"/>
      <c r="R51" s="174"/>
      <c r="S51" s="174"/>
      <c r="T51" s="729" t="s">
        <v>2097</v>
      </c>
      <c r="U51" s="174"/>
      <c r="V51" s="174"/>
      <c r="W51" s="174"/>
      <c r="X51" s="174"/>
      <c r="Y51" s="174"/>
      <c r="Z51" s="174">
        <v>1000000</v>
      </c>
      <c r="AA51" s="174"/>
      <c r="AB51" s="174">
        <f t="shared" si="9"/>
        <v>1000000</v>
      </c>
      <c r="AC51" s="174">
        <f t="shared" si="20"/>
        <v>0</v>
      </c>
      <c r="AD51" s="174">
        <v>1000000</v>
      </c>
      <c r="AE51" s="174">
        <f t="shared" si="17"/>
        <v>0</v>
      </c>
      <c r="AF51" s="174"/>
      <c r="AG51" s="174"/>
      <c r="AH51" s="181"/>
      <c r="AI51" s="181"/>
      <c r="AJ51" s="742"/>
      <c r="AK51" s="742"/>
      <c r="AL51" s="742"/>
      <c r="AM51" s="742"/>
      <c r="AN51" s="742"/>
      <c r="AO51" s="742"/>
      <c r="AP51" s="742"/>
      <c r="AQ51" s="281"/>
      <c r="AR51" s="281"/>
      <c r="AS51" s="281"/>
      <c r="AT51" s="281"/>
      <c r="AU51" s="281"/>
      <c r="AV51" s="281"/>
      <c r="AW51" s="281"/>
      <c r="AX51" s="281"/>
      <c r="AY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</row>
    <row r="52" spans="1:65" s="609" customFormat="1" ht="30" customHeight="1">
      <c r="A52" s="610" t="s">
        <v>2076</v>
      </c>
      <c r="B52" s="724" t="s">
        <v>2077</v>
      </c>
      <c r="C52" s="727">
        <f t="shared" si="11"/>
        <v>39</v>
      </c>
      <c r="D52" s="727">
        <v>2030</v>
      </c>
      <c r="E52" s="619" t="s">
        <v>289</v>
      </c>
      <c r="F52" s="174">
        <v>31500000</v>
      </c>
      <c r="G52" s="174">
        <v>31500000</v>
      </c>
      <c r="H52" s="174">
        <f t="shared" si="19"/>
        <v>0</v>
      </c>
      <c r="I52" s="174">
        <f>9457321+442679</f>
        <v>9900000</v>
      </c>
      <c r="J52" s="174">
        <f>10000000-1000000-1400000-1000000-2000000</f>
        <v>4600000</v>
      </c>
      <c r="K52" s="174">
        <f t="shared" si="21"/>
        <v>17000000</v>
      </c>
      <c r="L52" s="174"/>
      <c r="M52" s="174">
        <f>J52</f>
        <v>4600000</v>
      </c>
      <c r="N52" s="174">
        <v>6600000</v>
      </c>
      <c r="O52" s="174">
        <f t="shared" si="22"/>
        <v>-2000000</v>
      </c>
      <c r="P52" s="174">
        <f>O52-Q52-S52-R52</f>
        <v>-2000000</v>
      </c>
      <c r="Q52" s="174"/>
      <c r="R52" s="174"/>
      <c r="S52" s="174"/>
      <c r="T52" s="729" t="s">
        <v>2075</v>
      </c>
      <c r="U52" s="174"/>
      <c r="V52" s="174"/>
      <c r="W52" s="174"/>
      <c r="X52" s="174"/>
      <c r="Y52" s="174"/>
      <c r="Z52" s="174">
        <v>-2000000</v>
      </c>
      <c r="AA52" s="174"/>
      <c r="AB52" s="174">
        <f t="shared" si="9"/>
        <v>-2000000</v>
      </c>
      <c r="AC52" s="174">
        <f t="shared" si="20"/>
        <v>0</v>
      </c>
      <c r="AD52" s="174">
        <v>-2000000</v>
      </c>
      <c r="AE52" s="174">
        <f t="shared" si="17"/>
        <v>0</v>
      </c>
      <c r="AF52" s="174"/>
      <c r="AG52" s="174"/>
      <c r="AH52" s="181"/>
      <c r="AI52" s="181"/>
      <c r="AJ52" s="742"/>
      <c r="AK52" s="742"/>
      <c r="AL52" s="742"/>
      <c r="AM52" s="742"/>
      <c r="AN52" s="742"/>
      <c r="AO52" s="742"/>
      <c r="AP52" s="742"/>
      <c r="AQ52" s="281"/>
      <c r="AR52" s="281"/>
      <c r="AS52" s="281"/>
      <c r="AT52" s="281"/>
      <c r="AU52" s="281"/>
      <c r="AV52" s="281"/>
      <c r="AW52" s="281"/>
      <c r="AX52" s="281"/>
      <c r="AY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</row>
    <row r="53" spans="1:65" s="609" customFormat="1" ht="30" customHeight="1">
      <c r="A53" s="610" t="s">
        <v>2076</v>
      </c>
      <c r="B53" s="724" t="s">
        <v>2077</v>
      </c>
      <c r="C53" s="727">
        <f t="shared" si="11"/>
        <v>40</v>
      </c>
      <c r="D53" s="727">
        <v>2178</v>
      </c>
      <c r="E53" s="619" t="s">
        <v>635</v>
      </c>
      <c r="F53" s="174">
        <v>2100000</v>
      </c>
      <c r="G53" s="174">
        <v>3100000</v>
      </c>
      <c r="H53" s="174">
        <f t="shared" si="19"/>
        <v>-1000000</v>
      </c>
      <c r="I53" s="174">
        <v>2100000</v>
      </c>
      <c r="J53" s="174"/>
      <c r="K53" s="174">
        <f t="shared" si="21"/>
        <v>0</v>
      </c>
      <c r="L53" s="174">
        <v>1000000</v>
      </c>
      <c r="M53" s="174">
        <f>J53-L53</f>
        <v>-1000000</v>
      </c>
      <c r="N53" s="174"/>
      <c r="O53" s="174">
        <f t="shared" si="22"/>
        <v>-1000000</v>
      </c>
      <c r="P53" s="174">
        <f>O53-Q53-S53-R53</f>
        <v>-1000000</v>
      </c>
      <c r="Q53" s="174"/>
      <c r="R53" s="174"/>
      <c r="S53" s="174"/>
      <c r="T53" s="729" t="s">
        <v>2116</v>
      </c>
      <c r="U53" s="174"/>
      <c r="V53" s="174"/>
      <c r="W53" s="174"/>
      <c r="X53" s="174"/>
      <c r="Y53" s="174"/>
      <c r="Z53" s="174">
        <v>-1000000</v>
      </c>
      <c r="AA53" s="174"/>
      <c r="AB53" s="174">
        <f t="shared" si="9"/>
        <v>-1000000</v>
      </c>
      <c r="AC53" s="174">
        <f t="shared" si="20"/>
        <v>0</v>
      </c>
      <c r="AD53" s="174">
        <v>-1000000</v>
      </c>
      <c r="AE53" s="174">
        <f t="shared" si="17"/>
        <v>0</v>
      </c>
      <c r="AF53" s="174"/>
      <c r="AG53" s="174"/>
      <c r="AH53" s="181"/>
      <c r="AI53" s="181"/>
      <c r="AJ53" s="742"/>
      <c r="AK53" s="742"/>
      <c r="AL53" s="742"/>
      <c r="AM53" s="742"/>
      <c r="AN53" s="742"/>
      <c r="AO53" s="742"/>
      <c r="AP53" s="742"/>
      <c r="AQ53" s="281"/>
      <c r="AR53" s="281"/>
      <c r="AS53" s="281"/>
      <c r="AT53" s="281"/>
      <c r="AU53" s="281"/>
      <c r="AV53" s="281"/>
      <c r="AW53" s="281"/>
      <c r="AX53" s="281"/>
      <c r="AY53" s="180"/>
      <c r="BB53" s="180"/>
      <c r="BC53" s="180"/>
      <c r="BD53" s="180"/>
      <c r="BE53" s="180"/>
      <c r="BF53" s="180"/>
      <c r="BG53" s="180"/>
      <c r="BH53" s="180"/>
      <c r="BI53" s="180"/>
      <c r="BJ53" s="180"/>
      <c r="BK53" s="180"/>
      <c r="BL53" s="180"/>
      <c r="BM53" s="180"/>
    </row>
    <row r="54" spans="1:65" s="609" customFormat="1" ht="30" customHeight="1">
      <c r="A54" s="610" t="s">
        <v>2076</v>
      </c>
      <c r="B54" s="724" t="s">
        <v>2077</v>
      </c>
      <c r="C54" s="727">
        <f t="shared" si="11"/>
        <v>41</v>
      </c>
      <c r="D54" s="727">
        <v>2240</v>
      </c>
      <c r="E54" s="619" t="s">
        <v>2117</v>
      </c>
      <c r="F54" s="174">
        <v>9000000</v>
      </c>
      <c r="G54" s="174"/>
      <c r="H54" s="174">
        <f t="shared" si="19"/>
        <v>9000000</v>
      </c>
      <c r="I54" s="174"/>
      <c r="J54" s="174">
        <v>100000</v>
      </c>
      <c r="K54" s="174">
        <f t="shared" si="21"/>
        <v>8900000</v>
      </c>
      <c r="L54" s="174"/>
      <c r="M54" s="174">
        <f>J54-L54</f>
        <v>100000</v>
      </c>
      <c r="N54" s="174"/>
      <c r="O54" s="174">
        <f t="shared" si="22"/>
        <v>100000</v>
      </c>
      <c r="P54" s="174">
        <f>O54-Q54-S54</f>
        <v>100000</v>
      </c>
      <c r="Q54" s="174"/>
      <c r="R54" s="174"/>
      <c r="S54" s="174"/>
      <c r="T54" s="729" t="s">
        <v>2118</v>
      </c>
      <c r="U54" s="174"/>
      <c r="V54" s="174"/>
      <c r="W54" s="174"/>
      <c r="X54" s="174"/>
      <c r="Y54" s="174"/>
      <c r="Z54" s="174">
        <v>100000</v>
      </c>
      <c r="AA54" s="174"/>
      <c r="AB54" s="174">
        <f t="shared" si="9"/>
        <v>100000</v>
      </c>
      <c r="AC54" s="174">
        <f t="shared" si="20"/>
        <v>0</v>
      </c>
      <c r="AD54" s="174">
        <v>100000</v>
      </c>
      <c r="AE54" s="174">
        <f t="shared" si="17"/>
        <v>0</v>
      </c>
      <c r="AF54" s="174"/>
      <c r="AG54" s="174"/>
      <c r="AH54" s="181"/>
      <c r="AI54" s="181"/>
      <c r="AJ54" s="742"/>
      <c r="AK54" s="742"/>
      <c r="AL54" s="742"/>
      <c r="AM54" s="742"/>
      <c r="AN54" s="742"/>
      <c r="AO54" s="742"/>
      <c r="AP54" s="742"/>
      <c r="AQ54" s="281"/>
      <c r="AR54" s="281"/>
      <c r="AS54" s="281"/>
      <c r="AT54" s="281"/>
      <c r="AU54" s="281"/>
      <c r="AV54" s="281"/>
      <c r="AW54" s="281"/>
      <c r="AX54" s="281"/>
      <c r="AY54" s="180"/>
      <c r="BB54" s="180"/>
      <c r="BC54" s="180"/>
      <c r="BD54" s="180"/>
      <c r="BE54" s="180"/>
      <c r="BF54" s="180"/>
      <c r="BG54" s="180"/>
      <c r="BH54" s="180"/>
      <c r="BI54" s="180"/>
      <c r="BJ54" s="180"/>
      <c r="BK54" s="180"/>
      <c r="BL54" s="180"/>
      <c r="BM54" s="180"/>
    </row>
    <row r="55" spans="1:65" s="609" customFormat="1" ht="30" customHeight="1">
      <c r="A55" s="610" t="s">
        <v>2080</v>
      </c>
      <c r="B55" s="724"/>
      <c r="C55" s="727">
        <f t="shared" si="11"/>
        <v>42</v>
      </c>
      <c r="D55" s="727">
        <v>2241</v>
      </c>
      <c r="E55" s="619" t="s">
        <v>1467</v>
      </c>
      <c r="F55" s="174">
        <v>600000</v>
      </c>
      <c r="G55" s="174"/>
      <c r="H55" s="174">
        <f t="shared" si="19"/>
        <v>600000</v>
      </c>
      <c r="I55" s="174"/>
      <c r="J55" s="174">
        <v>200000</v>
      </c>
      <c r="K55" s="174">
        <f t="shared" si="21"/>
        <v>400000</v>
      </c>
      <c r="L55" s="174"/>
      <c r="M55" s="174">
        <f>J55-L55</f>
        <v>200000</v>
      </c>
      <c r="N55" s="174"/>
      <c r="O55" s="174">
        <f t="shared" si="22"/>
        <v>200000</v>
      </c>
      <c r="P55" s="174">
        <f>O55-Q55-S55</f>
        <v>200000</v>
      </c>
      <c r="Q55" s="174"/>
      <c r="R55" s="174"/>
      <c r="S55" s="174"/>
      <c r="T55" s="729" t="s">
        <v>2119</v>
      </c>
      <c r="U55" s="174"/>
      <c r="V55" s="174"/>
      <c r="W55" s="174"/>
      <c r="X55" s="174"/>
      <c r="Y55" s="174"/>
      <c r="Z55" s="174"/>
      <c r="AA55" s="174">
        <f>O55</f>
        <v>200000</v>
      </c>
      <c r="AB55" s="174">
        <f t="shared" si="9"/>
        <v>200000</v>
      </c>
      <c r="AC55" s="174"/>
      <c r="AD55" s="174">
        <v>200000</v>
      </c>
      <c r="AE55" s="174">
        <f t="shared" si="17"/>
        <v>0</v>
      </c>
      <c r="AF55" s="174"/>
      <c r="AG55" s="174"/>
      <c r="AH55" s="181"/>
      <c r="AI55" s="181"/>
      <c r="AJ55" s="742"/>
      <c r="AK55" s="742"/>
      <c r="AL55" s="742"/>
      <c r="AM55" s="742"/>
      <c r="AN55" s="742"/>
      <c r="AO55" s="742"/>
      <c r="AP55" s="742"/>
      <c r="AQ55" s="281"/>
      <c r="AR55" s="281"/>
      <c r="AS55" s="281"/>
      <c r="AT55" s="281"/>
      <c r="AU55" s="281"/>
      <c r="AV55" s="281"/>
      <c r="AW55" s="281"/>
      <c r="AX55" s="281"/>
      <c r="AY55" s="180"/>
      <c r="BB55" s="180"/>
      <c r="BC55" s="180"/>
      <c r="BD55" s="180"/>
      <c r="BE55" s="180"/>
      <c r="BF55" s="180"/>
      <c r="BG55" s="180"/>
      <c r="BH55" s="180"/>
      <c r="BI55" s="180"/>
      <c r="BJ55" s="180"/>
      <c r="BK55" s="180"/>
      <c r="BL55" s="180"/>
      <c r="BM55" s="180"/>
    </row>
    <row r="56" spans="1:65" s="628" customFormat="1" ht="30" customHeight="1">
      <c r="A56" s="612"/>
      <c r="B56" s="616"/>
      <c r="C56" s="732">
        <f>COUNT(C28:C55)</f>
        <v>28</v>
      </c>
      <c r="D56" s="733"/>
      <c r="E56" s="734" t="s">
        <v>501</v>
      </c>
      <c r="F56" s="622">
        <f>SUM(F28:F55)</f>
        <v>288460000</v>
      </c>
      <c r="G56" s="622">
        <f t="shared" ref="G56:AG56" si="23">SUM(G28:G55)</f>
        <v>257070000</v>
      </c>
      <c r="H56" s="622">
        <f t="shared" si="23"/>
        <v>31390000</v>
      </c>
      <c r="I56" s="622">
        <f t="shared" si="23"/>
        <v>121300000</v>
      </c>
      <c r="J56" s="622">
        <f t="shared" si="23"/>
        <v>90510000</v>
      </c>
      <c r="K56" s="622">
        <f t="shared" si="23"/>
        <v>76650000</v>
      </c>
      <c r="L56" s="622">
        <f t="shared" si="23"/>
        <v>1000000</v>
      </c>
      <c r="M56" s="622">
        <f t="shared" si="23"/>
        <v>89510000</v>
      </c>
      <c r="N56" s="622">
        <f t="shared" si="23"/>
        <v>74500000</v>
      </c>
      <c r="O56" s="622">
        <f t="shared" si="23"/>
        <v>15010000</v>
      </c>
      <c r="P56" s="622">
        <f t="shared" si="23"/>
        <v>1000000</v>
      </c>
      <c r="Q56" s="622">
        <f t="shared" si="23"/>
        <v>12390000</v>
      </c>
      <c r="R56" s="622">
        <f t="shared" si="23"/>
        <v>0</v>
      </c>
      <c r="S56" s="622">
        <f t="shared" si="23"/>
        <v>1620000</v>
      </c>
      <c r="T56" s="735"/>
      <c r="U56" s="622">
        <f t="shared" si="23"/>
        <v>150000</v>
      </c>
      <c r="V56" s="622">
        <f t="shared" si="23"/>
        <v>1700000</v>
      </c>
      <c r="W56" s="622">
        <f t="shared" si="23"/>
        <v>9740000</v>
      </c>
      <c r="X56" s="622">
        <f t="shared" si="23"/>
        <v>270000</v>
      </c>
      <c r="Y56" s="622">
        <f t="shared" si="23"/>
        <v>2850000</v>
      </c>
      <c r="Z56" s="622">
        <f t="shared" si="23"/>
        <v>100000</v>
      </c>
      <c r="AA56" s="622">
        <f t="shared" si="23"/>
        <v>200000</v>
      </c>
      <c r="AB56" s="622">
        <f t="shared" si="23"/>
        <v>15010000</v>
      </c>
      <c r="AC56" s="622">
        <f t="shared" si="23"/>
        <v>0</v>
      </c>
      <c r="AD56" s="622">
        <f t="shared" si="23"/>
        <v>1000000</v>
      </c>
      <c r="AE56" s="622">
        <f t="shared" si="23"/>
        <v>12390000</v>
      </c>
      <c r="AF56" s="622">
        <f t="shared" si="23"/>
        <v>0</v>
      </c>
      <c r="AG56" s="622">
        <f t="shared" si="23"/>
        <v>1620000</v>
      </c>
      <c r="AH56" s="736"/>
      <c r="AI56" s="736"/>
      <c r="AJ56" s="736"/>
      <c r="AK56" s="736"/>
      <c r="AL56" s="736"/>
      <c r="AM56" s="736"/>
      <c r="AN56" s="736"/>
      <c r="AO56" s="736"/>
      <c r="AP56" s="736"/>
      <c r="AQ56" s="731"/>
      <c r="AR56" s="731"/>
      <c r="AS56" s="731"/>
      <c r="AT56" s="731"/>
      <c r="AU56" s="731"/>
      <c r="AV56" s="731"/>
      <c r="AW56" s="731"/>
      <c r="AX56" s="731"/>
    </row>
    <row r="57" spans="1:65" s="609" customFormat="1" ht="30" customHeight="1">
      <c r="A57" s="618"/>
      <c r="B57" s="737"/>
      <c r="C57" s="737"/>
      <c r="D57" s="738"/>
      <c r="E57" s="739"/>
      <c r="F57" s="622"/>
      <c r="G57" s="622"/>
      <c r="H57" s="622"/>
      <c r="I57" s="622"/>
      <c r="J57" s="622"/>
      <c r="K57" s="622"/>
      <c r="L57" s="622"/>
      <c r="M57" s="622"/>
      <c r="N57" s="622"/>
      <c r="O57" s="622"/>
      <c r="P57" s="622"/>
      <c r="Q57" s="622"/>
      <c r="R57" s="622"/>
      <c r="S57" s="622"/>
      <c r="T57" s="740"/>
      <c r="U57" s="622"/>
      <c r="V57" s="622"/>
      <c r="W57" s="622"/>
      <c r="X57" s="622"/>
      <c r="Y57" s="622"/>
      <c r="Z57" s="622"/>
      <c r="AA57" s="622"/>
      <c r="AB57" s="174">
        <f t="shared" ref="AB57:AB63" si="24">SUM(U57:Y57)</f>
        <v>0</v>
      </c>
      <c r="AC57" s="622"/>
      <c r="AD57" s="622"/>
      <c r="AE57" s="622"/>
      <c r="AF57" s="622"/>
      <c r="AG57" s="622"/>
      <c r="AH57" s="461"/>
      <c r="AI57" s="461"/>
      <c r="AJ57" s="461"/>
      <c r="AK57" s="461"/>
      <c r="AL57" s="461"/>
      <c r="AM57" s="461"/>
      <c r="AN57" s="461"/>
      <c r="AO57" s="461"/>
      <c r="AP57" s="461"/>
      <c r="AQ57" s="281"/>
      <c r="AR57" s="281"/>
      <c r="AS57" s="281"/>
      <c r="AT57" s="281"/>
      <c r="AU57" s="281"/>
      <c r="AV57" s="281"/>
      <c r="AW57" s="281"/>
      <c r="AX57" s="281"/>
      <c r="AY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</row>
    <row r="58" spans="1:65" s="609" customFormat="1" ht="30" hidden="1" customHeight="1">
      <c r="A58" s="606"/>
      <c r="B58" s="607"/>
      <c r="C58" s="607"/>
      <c r="D58" s="608"/>
      <c r="E58" s="739" t="s">
        <v>502</v>
      </c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607"/>
      <c r="T58" s="629"/>
      <c r="U58" s="607"/>
      <c r="V58" s="607"/>
      <c r="W58" s="607"/>
      <c r="X58" s="607"/>
      <c r="Y58" s="607"/>
      <c r="Z58" s="607"/>
      <c r="AA58" s="607"/>
      <c r="AB58" s="174">
        <f t="shared" si="24"/>
        <v>0</v>
      </c>
      <c r="AC58" s="607"/>
      <c r="AD58" s="607"/>
      <c r="AE58" s="607"/>
      <c r="AF58" s="607"/>
      <c r="AG58" s="607"/>
      <c r="AH58" s="461"/>
      <c r="AI58" s="461"/>
      <c r="AJ58" s="461"/>
      <c r="AK58" s="461"/>
      <c r="AL58" s="461"/>
      <c r="AM58" s="461"/>
      <c r="AN58" s="461"/>
      <c r="AO58" s="461"/>
      <c r="AP58" s="461"/>
      <c r="AQ58" s="281"/>
      <c r="AR58" s="281"/>
      <c r="AS58" s="281"/>
      <c r="AT58" s="281"/>
      <c r="AU58" s="281"/>
      <c r="AV58" s="281"/>
      <c r="AW58" s="281"/>
      <c r="AX58" s="281"/>
      <c r="AY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</row>
    <row r="59" spans="1:65" s="609" customFormat="1" ht="30" hidden="1" customHeight="1">
      <c r="A59" s="620"/>
      <c r="B59" s="724"/>
      <c r="C59" s="727"/>
      <c r="D59" s="727"/>
      <c r="E59" s="615"/>
      <c r="F59" s="174"/>
      <c r="G59" s="174"/>
      <c r="H59" s="174">
        <f>F59-G59</f>
        <v>0</v>
      </c>
      <c r="I59" s="174"/>
      <c r="J59" s="174"/>
      <c r="K59" s="174">
        <f>F59-I59-J59</f>
        <v>0</v>
      </c>
      <c r="L59" s="174"/>
      <c r="M59" s="174">
        <f>J59</f>
        <v>0</v>
      </c>
      <c r="N59" s="174"/>
      <c r="O59" s="174">
        <f>M59-N59</f>
        <v>0</v>
      </c>
      <c r="P59" s="174">
        <f>O59-Q59-S59</f>
        <v>0</v>
      </c>
      <c r="Q59" s="174"/>
      <c r="R59" s="174"/>
      <c r="S59" s="174"/>
      <c r="T59" s="729"/>
      <c r="U59" s="174"/>
      <c r="V59" s="174"/>
      <c r="W59" s="174"/>
      <c r="X59" s="174"/>
      <c r="Y59" s="174"/>
      <c r="Z59" s="174"/>
      <c r="AA59" s="174"/>
      <c r="AB59" s="686">
        <f>SUM(U59:AA59)</f>
        <v>0</v>
      </c>
      <c r="AC59" s="174">
        <f>O59-AB59</f>
        <v>0</v>
      </c>
      <c r="AD59" s="686"/>
      <c r="AE59" s="174">
        <f>AB59-AF59-AG59-AD59</f>
        <v>0</v>
      </c>
      <c r="AF59" s="686"/>
      <c r="AG59" s="686"/>
      <c r="AH59" s="461"/>
      <c r="AI59" s="461"/>
      <c r="AJ59" s="461"/>
      <c r="AK59" s="461"/>
      <c r="AL59" s="461"/>
      <c r="AM59" s="461"/>
      <c r="AN59" s="461"/>
      <c r="AO59" s="461"/>
      <c r="AP59" s="461"/>
      <c r="AQ59" s="281"/>
      <c r="AR59" s="281"/>
      <c r="AS59" s="281"/>
      <c r="AT59" s="281"/>
      <c r="AU59" s="281"/>
      <c r="AV59" s="281"/>
      <c r="AW59" s="281"/>
      <c r="AX59" s="281"/>
      <c r="AY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</row>
    <row r="60" spans="1:65" s="609" customFormat="1" ht="30" hidden="1" customHeight="1">
      <c r="A60" s="620"/>
      <c r="B60" s="724"/>
      <c r="C60" s="727"/>
      <c r="D60" s="727"/>
      <c r="E60" s="615"/>
      <c r="F60" s="174"/>
      <c r="G60" s="174"/>
      <c r="H60" s="174">
        <f>F60-G60</f>
        <v>0</v>
      </c>
      <c r="I60" s="174"/>
      <c r="J60" s="174"/>
      <c r="K60" s="174">
        <f>F60-I60-J60</f>
        <v>0</v>
      </c>
      <c r="L60" s="174"/>
      <c r="M60" s="174">
        <f>J60</f>
        <v>0</v>
      </c>
      <c r="N60" s="174"/>
      <c r="O60" s="174">
        <f>M60-N60</f>
        <v>0</v>
      </c>
      <c r="P60" s="174">
        <f>O60-Q60-S60</f>
        <v>0</v>
      </c>
      <c r="Q60" s="174"/>
      <c r="R60" s="174"/>
      <c r="S60" s="174"/>
      <c r="T60" s="729"/>
      <c r="U60" s="174"/>
      <c r="V60" s="174"/>
      <c r="W60" s="174"/>
      <c r="X60" s="174"/>
      <c r="Y60" s="174"/>
      <c r="Z60" s="174"/>
      <c r="AA60" s="174"/>
      <c r="AB60" s="686">
        <f>SUM(U60:AA60)</f>
        <v>0</v>
      </c>
      <c r="AC60" s="174">
        <f>O60-AB60</f>
        <v>0</v>
      </c>
      <c r="AD60" s="686"/>
      <c r="AE60" s="174">
        <f>AB60-AF60-AG60-AD60</f>
        <v>0</v>
      </c>
      <c r="AF60" s="686"/>
      <c r="AG60" s="686"/>
      <c r="AH60" s="461"/>
      <c r="AI60" s="461"/>
      <c r="AJ60" s="461"/>
      <c r="AK60" s="461"/>
      <c r="AL60" s="461"/>
      <c r="AM60" s="461"/>
      <c r="AN60" s="461"/>
      <c r="AO60" s="461"/>
      <c r="AP60" s="461"/>
      <c r="AQ60" s="281"/>
      <c r="AR60" s="281"/>
      <c r="AS60" s="281"/>
      <c r="AT60" s="281"/>
      <c r="AU60" s="281"/>
      <c r="AV60" s="281"/>
      <c r="AW60" s="281"/>
      <c r="AX60" s="281"/>
      <c r="AY60" s="180"/>
      <c r="BB60" s="180"/>
      <c r="BC60" s="180"/>
      <c r="BD60" s="180"/>
      <c r="BE60" s="180"/>
      <c r="BF60" s="180"/>
      <c r="BG60" s="180"/>
      <c r="BH60" s="180"/>
      <c r="BI60" s="180"/>
      <c r="BJ60" s="180"/>
      <c r="BK60" s="180"/>
      <c r="BL60" s="180"/>
      <c r="BM60" s="180"/>
    </row>
    <row r="61" spans="1:65" s="609" customFormat="1" ht="30" hidden="1" customHeight="1">
      <c r="A61" s="618"/>
      <c r="B61" s="737"/>
      <c r="C61" s="737">
        <f>COUNT(#REF!)</f>
        <v>0</v>
      </c>
      <c r="D61" s="738"/>
      <c r="E61" s="739" t="s">
        <v>503</v>
      </c>
      <c r="F61" s="622">
        <f>SUM(F59:F60)</f>
        <v>0</v>
      </c>
      <c r="G61" s="622">
        <f t="shared" ref="G61:AF61" si="25">SUM(G59:G60)</f>
        <v>0</v>
      </c>
      <c r="H61" s="622">
        <f t="shared" si="25"/>
        <v>0</v>
      </c>
      <c r="I61" s="622">
        <f t="shared" si="25"/>
        <v>0</v>
      </c>
      <c r="J61" s="622">
        <f t="shared" si="25"/>
        <v>0</v>
      </c>
      <c r="K61" s="622">
        <f t="shared" si="25"/>
        <v>0</v>
      </c>
      <c r="L61" s="622">
        <f t="shared" si="25"/>
        <v>0</v>
      </c>
      <c r="M61" s="622">
        <f t="shared" si="25"/>
        <v>0</v>
      </c>
      <c r="N61" s="622">
        <f t="shared" si="25"/>
        <v>0</v>
      </c>
      <c r="O61" s="622">
        <f t="shared" si="25"/>
        <v>0</v>
      </c>
      <c r="P61" s="622">
        <f t="shared" si="25"/>
        <v>0</v>
      </c>
      <c r="Q61" s="622">
        <f t="shared" si="25"/>
        <v>0</v>
      </c>
      <c r="R61" s="622"/>
      <c r="S61" s="622">
        <f t="shared" si="25"/>
        <v>0</v>
      </c>
      <c r="T61" s="740"/>
      <c r="U61" s="622">
        <f t="shared" si="25"/>
        <v>0</v>
      </c>
      <c r="V61" s="622">
        <f t="shared" si="25"/>
        <v>0</v>
      </c>
      <c r="W61" s="622">
        <f t="shared" si="25"/>
        <v>0</v>
      </c>
      <c r="X61" s="622">
        <f t="shared" si="25"/>
        <v>0</v>
      </c>
      <c r="Y61" s="622"/>
      <c r="Z61" s="622"/>
      <c r="AA61" s="622"/>
      <c r="AB61" s="174">
        <f t="shared" si="24"/>
        <v>0</v>
      </c>
      <c r="AC61" s="622">
        <f t="shared" si="25"/>
        <v>0</v>
      </c>
      <c r="AD61" s="622">
        <f t="shared" si="25"/>
        <v>0</v>
      </c>
      <c r="AE61" s="622">
        <f t="shared" si="25"/>
        <v>0</v>
      </c>
      <c r="AF61" s="622">
        <f t="shared" si="25"/>
        <v>0</v>
      </c>
      <c r="AG61" s="622">
        <f>SUM(AG59:AG60)</f>
        <v>0</v>
      </c>
      <c r="AH61" s="461"/>
      <c r="AI61" s="461"/>
      <c r="AJ61" s="461"/>
      <c r="AK61" s="461"/>
      <c r="AL61" s="461"/>
      <c r="AM61" s="461"/>
      <c r="AN61" s="461"/>
      <c r="AO61" s="461"/>
      <c r="AP61" s="461"/>
      <c r="AQ61" s="281"/>
      <c r="AR61" s="281"/>
      <c r="AS61" s="281"/>
      <c r="AT61" s="281"/>
      <c r="AU61" s="281"/>
      <c r="AV61" s="281"/>
      <c r="AW61" s="281"/>
      <c r="AX61" s="281"/>
      <c r="AY61" s="180"/>
      <c r="BB61" s="180"/>
      <c r="BC61" s="180"/>
      <c r="BD61" s="180"/>
      <c r="BE61" s="180"/>
      <c r="BF61" s="180"/>
      <c r="BG61" s="180"/>
      <c r="BH61" s="180"/>
      <c r="BI61" s="180"/>
      <c r="BJ61" s="180"/>
      <c r="BK61" s="180"/>
      <c r="BL61" s="180"/>
      <c r="BM61" s="180"/>
    </row>
    <row r="62" spans="1:65" s="609" customFormat="1" ht="30" hidden="1" customHeight="1">
      <c r="A62" s="618"/>
      <c r="B62" s="737"/>
      <c r="C62" s="737"/>
      <c r="D62" s="738"/>
      <c r="E62" s="739"/>
      <c r="F62" s="622"/>
      <c r="G62" s="622"/>
      <c r="H62" s="622"/>
      <c r="I62" s="622"/>
      <c r="J62" s="622"/>
      <c r="K62" s="622"/>
      <c r="L62" s="622"/>
      <c r="M62" s="622"/>
      <c r="N62" s="622"/>
      <c r="O62" s="622"/>
      <c r="P62" s="622"/>
      <c r="Q62" s="622"/>
      <c r="R62" s="622"/>
      <c r="S62" s="622"/>
      <c r="T62" s="740"/>
      <c r="U62" s="622"/>
      <c r="V62" s="622"/>
      <c r="W62" s="622"/>
      <c r="X62" s="622"/>
      <c r="Y62" s="622"/>
      <c r="Z62" s="622"/>
      <c r="AA62" s="622"/>
      <c r="AB62" s="174">
        <f t="shared" si="24"/>
        <v>0</v>
      </c>
      <c r="AC62" s="622"/>
      <c r="AD62" s="622"/>
      <c r="AE62" s="622"/>
      <c r="AF62" s="622"/>
      <c r="AG62" s="622"/>
      <c r="AH62" s="461"/>
      <c r="AI62" s="461"/>
      <c r="AJ62" s="461"/>
      <c r="AK62" s="461"/>
      <c r="AL62" s="461"/>
      <c r="AM62" s="461"/>
      <c r="AN62" s="461"/>
      <c r="AO62" s="461"/>
      <c r="AP62" s="461"/>
      <c r="AQ62" s="281"/>
      <c r="AR62" s="281"/>
      <c r="AS62" s="281"/>
      <c r="AT62" s="281"/>
      <c r="AU62" s="281"/>
      <c r="AV62" s="281"/>
      <c r="AW62" s="281"/>
      <c r="AX62" s="281"/>
      <c r="AY62" s="180"/>
      <c r="BB62" s="180"/>
      <c r="BC62" s="180"/>
      <c r="BD62" s="180"/>
      <c r="BE62" s="180"/>
      <c r="BF62" s="180"/>
      <c r="BG62" s="180"/>
      <c r="BH62" s="180"/>
      <c r="BI62" s="180"/>
      <c r="BJ62" s="180"/>
      <c r="BK62" s="180"/>
      <c r="BL62" s="180"/>
      <c r="BM62" s="180"/>
    </row>
    <row r="63" spans="1:65" s="609" customFormat="1" ht="30" customHeight="1">
      <c r="A63" s="606"/>
      <c r="B63" s="607"/>
      <c r="C63" s="607"/>
      <c r="D63" s="608"/>
      <c r="E63" s="739" t="s">
        <v>284</v>
      </c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607"/>
      <c r="T63" s="629"/>
      <c r="U63" s="607"/>
      <c r="V63" s="607"/>
      <c r="W63" s="607"/>
      <c r="X63" s="607"/>
      <c r="Y63" s="607"/>
      <c r="Z63" s="607"/>
      <c r="AA63" s="607"/>
      <c r="AB63" s="174">
        <f t="shared" si="24"/>
        <v>0</v>
      </c>
      <c r="AC63" s="607"/>
      <c r="AD63" s="607"/>
      <c r="AE63" s="607"/>
      <c r="AF63" s="607"/>
      <c r="AG63" s="607"/>
      <c r="AH63" s="461"/>
      <c r="AI63" s="461"/>
      <c r="AJ63" s="461"/>
      <c r="AK63" s="461"/>
      <c r="AL63" s="461"/>
      <c r="AM63" s="461"/>
      <c r="AN63" s="461"/>
      <c r="AO63" s="461"/>
      <c r="AP63" s="461"/>
      <c r="AQ63" s="281"/>
      <c r="AR63" s="281"/>
      <c r="AS63" s="281"/>
      <c r="AT63" s="281"/>
      <c r="AU63" s="281"/>
      <c r="AV63" s="281"/>
      <c r="AW63" s="281"/>
      <c r="AX63" s="281"/>
      <c r="AY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0"/>
    </row>
    <row r="64" spans="1:65" s="628" customFormat="1" ht="30" customHeight="1">
      <c r="A64" s="610" t="s">
        <v>2120</v>
      </c>
      <c r="B64" s="724" t="s">
        <v>2086</v>
      </c>
      <c r="C64" s="727">
        <v>43</v>
      </c>
      <c r="D64" s="727">
        <v>2224</v>
      </c>
      <c r="E64" s="615" t="s">
        <v>899</v>
      </c>
      <c r="F64" s="174">
        <v>230000</v>
      </c>
      <c r="G64" s="174"/>
      <c r="H64" s="174">
        <f t="shared" ref="H64:H71" si="26">F64-G64</f>
        <v>230000</v>
      </c>
      <c r="I64" s="174"/>
      <c r="J64" s="174">
        <v>230000</v>
      </c>
      <c r="K64" s="174">
        <f t="shared" ref="K64:K71" si="27">F64-I64-J64</f>
        <v>0</v>
      </c>
      <c r="L64" s="174"/>
      <c r="M64" s="174">
        <f>J64</f>
        <v>230000</v>
      </c>
      <c r="N64" s="174"/>
      <c r="O64" s="174">
        <f t="shared" ref="O64:O71" si="28">M64-N64</f>
        <v>230000</v>
      </c>
      <c r="P64" s="174">
        <f>O64-Q64-S64</f>
        <v>0</v>
      </c>
      <c r="Q64" s="174">
        <v>22800</v>
      </c>
      <c r="R64" s="174"/>
      <c r="S64" s="174">
        <v>207200</v>
      </c>
      <c r="T64" s="729" t="s">
        <v>2121</v>
      </c>
      <c r="U64" s="174">
        <v>230000</v>
      </c>
      <c r="V64" s="174"/>
      <c r="W64" s="174"/>
      <c r="X64" s="174"/>
      <c r="Y64" s="174"/>
      <c r="Z64" s="174"/>
      <c r="AA64" s="174"/>
      <c r="AB64" s="174">
        <f t="shared" ref="AB64:AB71" si="29">SUM(U64:AA64)</f>
        <v>230000</v>
      </c>
      <c r="AC64" s="174">
        <f t="shared" ref="AC64:AC71" si="30">O64-AB64</f>
        <v>0</v>
      </c>
      <c r="AD64" s="174"/>
      <c r="AE64" s="174">
        <f t="shared" ref="AE64:AE71" si="31">AB64-AF64-AG64-AD64</f>
        <v>22800</v>
      </c>
      <c r="AF64" s="174"/>
      <c r="AG64" s="174">
        <v>207200</v>
      </c>
      <c r="AH64" s="730"/>
      <c r="AI64" s="730"/>
      <c r="AJ64" s="730"/>
      <c r="AK64" s="730"/>
      <c r="AL64" s="730"/>
      <c r="AM64" s="730"/>
      <c r="AN64" s="730"/>
      <c r="AO64" s="731"/>
      <c r="AP64" s="731"/>
      <c r="AQ64" s="731"/>
      <c r="AR64" s="731"/>
      <c r="AS64" s="731"/>
      <c r="AT64" s="731"/>
      <c r="AU64" s="731"/>
      <c r="AV64" s="731"/>
      <c r="AW64" s="611"/>
      <c r="AZ64" s="611"/>
      <c r="BA64" s="611"/>
      <c r="BB64" s="611"/>
      <c r="BC64" s="611"/>
      <c r="BD64" s="611"/>
      <c r="BE64" s="611"/>
      <c r="BF64" s="611"/>
      <c r="BG64" s="611"/>
      <c r="BH64" s="611"/>
      <c r="BI64" s="611"/>
      <c r="BJ64" s="611"/>
      <c r="BK64" s="611"/>
    </row>
    <row r="65" spans="1:66" s="628" customFormat="1" ht="30" customHeight="1">
      <c r="A65" s="610" t="s">
        <v>2085</v>
      </c>
      <c r="B65" s="724" t="s">
        <v>2086</v>
      </c>
      <c r="C65" s="727">
        <f>C64+1</f>
        <v>44</v>
      </c>
      <c r="D65" s="727">
        <v>2227</v>
      </c>
      <c r="E65" s="615" t="s">
        <v>900</v>
      </c>
      <c r="F65" s="174">
        <v>100000</v>
      </c>
      <c r="G65" s="174"/>
      <c r="H65" s="174">
        <f t="shared" si="26"/>
        <v>100000</v>
      </c>
      <c r="I65" s="174"/>
      <c r="J65" s="174">
        <v>100000</v>
      </c>
      <c r="K65" s="174">
        <f t="shared" si="27"/>
        <v>0</v>
      </c>
      <c r="L65" s="174"/>
      <c r="M65" s="174">
        <f>J65</f>
        <v>100000</v>
      </c>
      <c r="N65" s="174"/>
      <c r="O65" s="174">
        <f t="shared" si="28"/>
        <v>100000</v>
      </c>
      <c r="P65" s="174">
        <f>O65-Q65-S65</f>
        <v>0</v>
      </c>
      <c r="Q65" s="174"/>
      <c r="R65" s="174"/>
      <c r="S65" s="174">
        <v>100000</v>
      </c>
      <c r="T65" s="615" t="s">
        <v>2122</v>
      </c>
      <c r="U65" s="174">
        <v>100000</v>
      </c>
      <c r="V65" s="174"/>
      <c r="W65" s="174"/>
      <c r="X65" s="174"/>
      <c r="Y65" s="174"/>
      <c r="Z65" s="174"/>
      <c r="AA65" s="174"/>
      <c r="AB65" s="174">
        <f t="shared" si="29"/>
        <v>100000</v>
      </c>
      <c r="AC65" s="174">
        <f t="shared" si="30"/>
        <v>0</v>
      </c>
      <c r="AD65" s="174"/>
      <c r="AE65" s="174">
        <f t="shared" si="31"/>
        <v>0</v>
      </c>
      <c r="AF65" s="174"/>
      <c r="AG65" s="174">
        <v>100000</v>
      </c>
      <c r="AH65" s="730"/>
      <c r="AI65" s="730"/>
      <c r="AJ65" s="730"/>
      <c r="AK65" s="730"/>
      <c r="AL65" s="730"/>
      <c r="AM65" s="730"/>
      <c r="AN65" s="730"/>
      <c r="AO65" s="731"/>
      <c r="AP65" s="731"/>
      <c r="AQ65" s="731"/>
      <c r="AR65" s="731"/>
      <c r="AS65" s="731"/>
      <c r="AT65" s="731"/>
      <c r="AU65" s="731"/>
      <c r="AV65" s="731"/>
      <c r="AW65" s="611"/>
      <c r="AZ65" s="611"/>
      <c r="BA65" s="611"/>
      <c r="BB65" s="611"/>
      <c r="BC65" s="611"/>
      <c r="BD65" s="611"/>
      <c r="BE65" s="611"/>
      <c r="BF65" s="611"/>
      <c r="BG65" s="611"/>
      <c r="BH65" s="611"/>
      <c r="BI65" s="611"/>
      <c r="BJ65" s="611"/>
      <c r="BK65" s="611"/>
    </row>
    <row r="66" spans="1:66" s="628" customFormat="1" ht="30" customHeight="1">
      <c r="A66" s="610" t="s">
        <v>2060</v>
      </c>
      <c r="B66" s="724" t="s">
        <v>2061</v>
      </c>
      <c r="C66" s="727">
        <f t="shared" ref="C66:C71" si="32">C65+1</f>
        <v>45</v>
      </c>
      <c r="D66" s="727">
        <v>1828</v>
      </c>
      <c r="E66" s="615" t="s">
        <v>2123</v>
      </c>
      <c r="F66" s="174">
        <v>188719</v>
      </c>
      <c r="G66" s="174">
        <v>240000</v>
      </c>
      <c r="H66" s="174">
        <f t="shared" si="26"/>
        <v>-51281</v>
      </c>
      <c r="I66" s="174">
        <v>188719</v>
      </c>
      <c r="J66" s="174"/>
      <c r="K66" s="174">
        <f t="shared" si="27"/>
        <v>0</v>
      </c>
      <c r="L66" s="174"/>
      <c r="M66" s="174">
        <f t="shared" ref="M66:M71" si="33">J66-L66</f>
        <v>0</v>
      </c>
      <c r="N66" s="174"/>
      <c r="O66" s="174">
        <f t="shared" si="28"/>
        <v>0</v>
      </c>
      <c r="P66" s="174">
        <f t="shared" ref="P66:P71" si="34">O66-Q66-S66-R66</f>
        <v>0</v>
      </c>
      <c r="Q66" s="174">
        <v>-12869</v>
      </c>
      <c r="R66" s="174"/>
      <c r="S66" s="174">
        <f>201588-188719</f>
        <v>12869</v>
      </c>
      <c r="T66" s="615" t="s">
        <v>2124</v>
      </c>
      <c r="U66" s="174"/>
      <c r="V66" s="174"/>
      <c r="W66" s="174"/>
      <c r="X66" s="174"/>
      <c r="Y66" s="174"/>
      <c r="Z66" s="174"/>
      <c r="AA66" s="174"/>
      <c r="AB66" s="174">
        <f t="shared" si="29"/>
        <v>0</v>
      </c>
      <c r="AC66" s="174">
        <f t="shared" si="30"/>
        <v>0</v>
      </c>
      <c r="AD66" s="174"/>
      <c r="AE66" s="174">
        <f t="shared" si="31"/>
        <v>-12869</v>
      </c>
      <c r="AF66" s="174"/>
      <c r="AG66" s="174">
        <v>12869</v>
      </c>
      <c r="AH66" s="461"/>
      <c r="AI66" s="730"/>
      <c r="AJ66" s="730"/>
      <c r="AK66" s="730"/>
      <c r="AL66" s="730"/>
      <c r="AM66" s="730"/>
      <c r="AN66" s="730"/>
      <c r="AO66" s="730"/>
      <c r="AP66" s="730"/>
      <c r="AQ66" s="731"/>
      <c r="AR66" s="731"/>
      <c r="AS66" s="731"/>
      <c r="AT66" s="731"/>
      <c r="AU66" s="731"/>
      <c r="AV66" s="731"/>
      <c r="AW66" s="731"/>
      <c r="AX66" s="731"/>
      <c r="AY66" s="611"/>
      <c r="BB66" s="611"/>
      <c r="BC66" s="611"/>
      <c r="BD66" s="611"/>
      <c r="BE66" s="611"/>
      <c r="BF66" s="611"/>
      <c r="BG66" s="611"/>
      <c r="BH66" s="611"/>
      <c r="BI66" s="611"/>
      <c r="BJ66" s="611"/>
      <c r="BK66" s="611"/>
      <c r="BL66" s="611"/>
      <c r="BM66" s="611"/>
    </row>
    <row r="67" spans="1:66" s="628" customFormat="1" ht="30" customHeight="1">
      <c r="A67" s="610" t="s">
        <v>2076</v>
      </c>
      <c r="B67" s="724" t="s">
        <v>2077</v>
      </c>
      <c r="C67" s="727">
        <f t="shared" si="32"/>
        <v>46</v>
      </c>
      <c r="D67" s="727">
        <v>1930</v>
      </c>
      <c r="E67" s="615" t="s">
        <v>127</v>
      </c>
      <c r="F67" s="174">
        <v>2530000</v>
      </c>
      <c r="G67" s="174">
        <v>2530000</v>
      </c>
      <c r="H67" s="174">
        <f t="shared" si="26"/>
        <v>0</v>
      </c>
      <c r="I67" s="174">
        <v>1230000</v>
      </c>
      <c r="J67" s="174">
        <v>730000</v>
      </c>
      <c r="K67" s="174">
        <f t="shared" si="27"/>
        <v>570000</v>
      </c>
      <c r="L67" s="174"/>
      <c r="M67" s="174">
        <f t="shared" si="33"/>
        <v>730000</v>
      </c>
      <c r="N67" s="174">
        <v>730000</v>
      </c>
      <c r="O67" s="174">
        <f t="shared" si="28"/>
        <v>0</v>
      </c>
      <c r="P67" s="174">
        <f t="shared" si="34"/>
        <v>0</v>
      </c>
      <c r="Q67" s="174">
        <v>80000</v>
      </c>
      <c r="R67" s="174"/>
      <c r="S67" s="174">
        <v>-80000</v>
      </c>
      <c r="T67" s="615" t="s">
        <v>2125</v>
      </c>
      <c r="U67" s="174"/>
      <c r="V67" s="174"/>
      <c r="W67" s="174"/>
      <c r="X67" s="174"/>
      <c r="Y67" s="174"/>
      <c r="Z67" s="174">
        <v>80000</v>
      </c>
      <c r="AA67" s="174"/>
      <c r="AB67" s="174">
        <f t="shared" si="29"/>
        <v>80000</v>
      </c>
      <c r="AC67" s="174">
        <f t="shared" si="30"/>
        <v>-80000</v>
      </c>
      <c r="AD67" s="174"/>
      <c r="AE67" s="174">
        <f t="shared" si="31"/>
        <v>80000</v>
      </c>
      <c r="AF67" s="174"/>
      <c r="AG67" s="174">
        <f>-80000+80000</f>
        <v>0</v>
      </c>
      <c r="AH67" s="461"/>
      <c r="AI67" s="730"/>
      <c r="AJ67" s="730"/>
      <c r="AK67" s="730"/>
      <c r="AL67" s="730"/>
      <c r="AM67" s="730"/>
      <c r="AN67" s="730"/>
      <c r="AO67" s="730"/>
      <c r="AP67" s="730"/>
      <c r="AQ67" s="731"/>
      <c r="AR67" s="731"/>
      <c r="AS67" s="731"/>
      <c r="AT67" s="731"/>
      <c r="AU67" s="731"/>
      <c r="AV67" s="731"/>
      <c r="AW67" s="731"/>
      <c r="AX67" s="731"/>
      <c r="AY67" s="611"/>
      <c r="BB67" s="611"/>
      <c r="BC67" s="611"/>
      <c r="BD67" s="611"/>
      <c r="BE67" s="611"/>
      <c r="BF67" s="611"/>
      <c r="BG67" s="611"/>
      <c r="BH67" s="611"/>
      <c r="BI67" s="611"/>
      <c r="BJ67" s="611"/>
      <c r="BK67" s="611"/>
      <c r="BL67" s="611"/>
      <c r="BM67" s="611"/>
    </row>
    <row r="68" spans="1:66" s="628" customFormat="1" ht="30" customHeight="1">
      <c r="A68" s="610" t="s">
        <v>2076</v>
      </c>
      <c r="B68" s="724" t="s">
        <v>2077</v>
      </c>
      <c r="C68" s="727">
        <f t="shared" si="32"/>
        <v>47</v>
      </c>
      <c r="D68" s="727">
        <v>2034</v>
      </c>
      <c r="E68" s="615" t="s">
        <v>353</v>
      </c>
      <c r="F68" s="174">
        <v>3670000</v>
      </c>
      <c r="G68" s="174">
        <v>3670000</v>
      </c>
      <c r="H68" s="174">
        <f t="shared" si="26"/>
        <v>0</v>
      </c>
      <c r="I68" s="174">
        <f>2600000-100000</f>
        <v>2500000</v>
      </c>
      <c r="J68" s="174">
        <v>400000</v>
      </c>
      <c r="K68" s="174">
        <f t="shared" si="27"/>
        <v>770000</v>
      </c>
      <c r="L68" s="174">
        <v>100000</v>
      </c>
      <c r="M68" s="174">
        <f t="shared" si="33"/>
        <v>300000</v>
      </c>
      <c r="N68" s="174">
        <v>400000</v>
      </c>
      <c r="O68" s="174">
        <f t="shared" si="28"/>
        <v>-100000</v>
      </c>
      <c r="P68" s="174">
        <f t="shared" si="34"/>
        <v>0</v>
      </c>
      <c r="Q68" s="174">
        <v>-100000</v>
      </c>
      <c r="R68" s="174"/>
      <c r="S68" s="174"/>
      <c r="T68" s="615" t="s">
        <v>2062</v>
      </c>
      <c r="U68" s="174"/>
      <c r="V68" s="174"/>
      <c r="W68" s="174"/>
      <c r="X68" s="174"/>
      <c r="Y68" s="174"/>
      <c r="Z68" s="174">
        <v>-100000</v>
      </c>
      <c r="AA68" s="174"/>
      <c r="AB68" s="174">
        <f t="shared" si="29"/>
        <v>-100000</v>
      </c>
      <c r="AC68" s="174">
        <f t="shared" si="30"/>
        <v>0</v>
      </c>
      <c r="AD68" s="174"/>
      <c r="AE68" s="174">
        <f t="shared" si="31"/>
        <v>-100000</v>
      </c>
      <c r="AF68" s="174"/>
      <c r="AG68" s="174"/>
      <c r="AH68" s="461"/>
      <c r="AI68" s="730"/>
      <c r="AJ68" s="730"/>
      <c r="AK68" s="730"/>
      <c r="AL68" s="730"/>
      <c r="AM68" s="730"/>
      <c r="AN68" s="730"/>
      <c r="AO68" s="730"/>
      <c r="AP68" s="730"/>
      <c r="AQ68" s="731"/>
      <c r="AR68" s="731"/>
      <c r="AS68" s="731"/>
      <c r="AT68" s="731"/>
      <c r="AU68" s="731"/>
      <c r="AV68" s="731"/>
      <c r="AW68" s="731"/>
      <c r="AX68" s="731"/>
      <c r="AY68" s="611"/>
      <c r="BB68" s="611"/>
      <c r="BC68" s="611"/>
      <c r="BD68" s="611"/>
      <c r="BE68" s="611"/>
      <c r="BF68" s="611"/>
      <c r="BG68" s="611"/>
      <c r="BH68" s="611"/>
      <c r="BI68" s="611"/>
      <c r="BJ68" s="611"/>
      <c r="BK68" s="611"/>
      <c r="BL68" s="611"/>
      <c r="BM68" s="611"/>
    </row>
    <row r="69" spans="1:66" s="628" customFormat="1" ht="30" customHeight="1">
      <c r="A69" s="610" t="s">
        <v>2076</v>
      </c>
      <c r="B69" s="724" t="s">
        <v>2077</v>
      </c>
      <c r="C69" s="727">
        <f t="shared" si="32"/>
        <v>48</v>
      </c>
      <c r="D69" s="727">
        <v>2217</v>
      </c>
      <c r="E69" s="615" t="s">
        <v>2011</v>
      </c>
      <c r="F69" s="174">
        <v>1210000</v>
      </c>
      <c r="G69" s="174">
        <v>1210000</v>
      </c>
      <c r="H69" s="174">
        <f t="shared" si="26"/>
        <v>0</v>
      </c>
      <c r="I69" s="174"/>
      <c r="J69" s="174">
        <v>1210000</v>
      </c>
      <c r="K69" s="174">
        <f t="shared" si="27"/>
        <v>0</v>
      </c>
      <c r="L69" s="174"/>
      <c r="M69" s="174">
        <f t="shared" si="33"/>
        <v>1210000</v>
      </c>
      <c r="N69" s="174">
        <v>1210000</v>
      </c>
      <c r="O69" s="174">
        <f t="shared" si="28"/>
        <v>0</v>
      </c>
      <c r="P69" s="174">
        <f t="shared" si="34"/>
        <v>0</v>
      </c>
      <c r="Q69" s="174">
        <v>260000</v>
      </c>
      <c r="R69" s="174"/>
      <c r="S69" s="174">
        <v>-260000</v>
      </c>
      <c r="T69" s="615" t="s">
        <v>2125</v>
      </c>
      <c r="U69" s="174"/>
      <c r="V69" s="174"/>
      <c r="W69" s="174"/>
      <c r="X69" s="174"/>
      <c r="Y69" s="174"/>
      <c r="Z69" s="174">
        <v>260000</v>
      </c>
      <c r="AA69" s="174"/>
      <c r="AB69" s="174">
        <f t="shared" si="29"/>
        <v>260000</v>
      </c>
      <c r="AC69" s="174">
        <f t="shared" si="30"/>
        <v>-260000</v>
      </c>
      <c r="AD69" s="174"/>
      <c r="AE69" s="174">
        <f t="shared" si="31"/>
        <v>260000</v>
      </c>
      <c r="AF69" s="174"/>
      <c r="AG69" s="174">
        <f>-260000+260000</f>
        <v>0</v>
      </c>
      <c r="AH69" s="461"/>
      <c r="AI69" s="730"/>
      <c r="AJ69" s="730"/>
      <c r="AK69" s="730"/>
      <c r="AL69" s="730"/>
      <c r="AM69" s="730"/>
      <c r="AN69" s="730"/>
      <c r="AO69" s="730"/>
      <c r="AP69" s="730"/>
      <c r="AQ69" s="731"/>
      <c r="AR69" s="731"/>
      <c r="AS69" s="731"/>
      <c r="AT69" s="731"/>
      <c r="AU69" s="731"/>
      <c r="AV69" s="731"/>
      <c r="AW69" s="731"/>
      <c r="AX69" s="731"/>
      <c r="AY69" s="611"/>
      <c r="BB69" s="611"/>
      <c r="BC69" s="611"/>
      <c r="BD69" s="611"/>
      <c r="BE69" s="611"/>
      <c r="BF69" s="611"/>
      <c r="BG69" s="611"/>
      <c r="BH69" s="611"/>
      <c r="BI69" s="611"/>
      <c r="BJ69" s="611"/>
      <c r="BK69" s="611"/>
      <c r="BL69" s="611"/>
      <c r="BM69" s="611"/>
    </row>
    <row r="70" spans="1:66" s="628" customFormat="1" ht="30" customHeight="1">
      <c r="A70" s="610" t="s">
        <v>2076</v>
      </c>
      <c r="B70" s="724" t="s">
        <v>2077</v>
      </c>
      <c r="C70" s="727">
        <f t="shared" si="32"/>
        <v>49</v>
      </c>
      <c r="D70" s="727">
        <v>2218</v>
      </c>
      <c r="E70" s="615" t="s">
        <v>692</v>
      </c>
      <c r="F70" s="174">
        <v>2300000</v>
      </c>
      <c r="G70" s="174">
        <v>2300000</v>
      </c>
      <c r="H70" s="174">
        <f t="shared" si="26"/>
        <v>0</v>
      </c>
      <c r="I70" s="174"/>
      <c r="J70" s="174">
        <v>1400000</v>
      </c>
      <c r="K70" s="174">
        <f t="shared" si="27"/>
        <v>900000</v>
      </c>
      <c r="L70" s="174"/>
      <c r="M70" s="174">
        <f t="shared" si="33"/>
        <v>1400000</v>
      </c>
      <c r="N70" s="174">
        <v>1500000</v>
      </c>
      <c r="O70" s="174">
        <f t="shared" si="28"/>
        <v>-100000</v>
      </c>
      <c r="P70" s="174">
        <f t="shared" si="34"/>
        <v>0</v>
      </c>
      <c r="Q70" s="174">
        <v>-100000</v>
      </c>
      <c r="R70" s="174"/>
      <c r="S70" s="174"/>
      <c r="T70" s="615" t="s">
        <v>2075</v>
      </c>
      <c r="U70" s="174"/>
      <c r="V70" s="174"/>
      <c r="W70" s="174"/>
      <c r="X70" s="174"/>
      <c r="Y70" s="174"/>
      <c r="Z70" s="174">
        <v>-100000</v>
      </c>
      <c r="AA70" s="174"/>
      <c r="AB70" s="174">
        <f t="shared" si="29"/>
        <v>-100000</v>
      </c>
      <c r="AC70" s="174">
        <f t="shared" si="30"/>
        <v>0</v>
      </c>
      <c r="AD70" s="174"/>
      <c r="AE70" s="174">
        <f t="shared" si="31"/>
        <v>-100000</v>
      </c>
      <c r="AF70" s="174"/>
      <c r="AG70" s="174"/>
      <c r="AH70" s="461"/>
      <c r="AI70" s="730"/>
      <c r="AJ70" s="730"/>
      <c r="AK70" s="730"/>
      <c r="AL70" s="730"/>
      <c r="AM70" s="730"/>
      <c r="AN70" s="730"/>
      <c r="AO70" s="730"/>
      <c r="AP70" s="730"/>
      <c r="AQ70" s="731"/>
      <c r="AR70" s="731"/>
      <c r="AS70" s="731"/>
      <c r="AT70" s="731"/>
      <c r="AU70" s="731"/>
      <c r="AV70" s="731"/>
      <c r="AW70" s="731"/>
      <c r="AX70" s="731"/>
      <c r="AY70" s="611"/>
      <c r="BB70" s="611"/>
      <c r="BC70" s="611"/>
      <c r="BD70" s="611"/>
      <c r="BE70" s="611"/>
      <c r="BF70" s="611"/>
      <c r="BG70" s="611"/>
      <c r="BH70" s="611"/>
      <c r="BI70" s="611"/>
      <c r="BJ70" s="611"/>
      <c r="BK70" s="611"/>
      <c r="BL70" s="611"/>
      <c r="BM70" s="611"/>
    </row>
    <row r="71" spans="1:66" s="628" customFormat="1" ht="30" customHeight="1">
      <c r="A71" s="610" t="s">
        <v>2076</v>
      </c>
      <c r="B71" s="724" t="s">
        <v>2077</v>
      </c>
      <c r="C71" s="727">
        <f t="shared" si="32"/>
        <v>50</v>
      </c>
      <c r="D71" s="727">
        <v>2219</v>
      </c>
      <c r="E71" s="615" t="s">
        <v>693</v>
      </c>
      <c r="F71" s="174">
        <v>750000</v>
      </c>
      <c r="G71" s="174">
        <v>750000</v>
      </c>
      <c r="H71" s="174">
        <f t="shared" si="26"/>
        <v>0</v>
      </c>
      <c r="I71" s="174"/>
      <c r="J71" s="174">
        <v>540000</v>
      </c>
      <c r="K71" s="174">
        <f t="shared" si="27"/>
        <v>210000</v>
      </c>
      <c r="L71" s="174"/>
      <c r="M71" s="174">
        <f t="shared" si="33"/>
        <v>540000</v>
      </c>
      <c r="N71" s="174">
        <v>680000</v>
      </c>
      <c r="O71" s="174">
        <f t="shared" si="28"/>
        <v>-140000</v>
      </c>
      <c r="P71" s="174">
        <f t="shared" si="34"/>
        <v>0</v>
      </c>
      <c r="Q71" s="174">
        <v>-140000</v>
      </c>
      <c r="R71" s="174"/>
      <c r="S71" s="174"/>
      <c r="T71" s="615" t="s">
        <v>2075</v>
      </c>
      <c r="U71" s="174"/>
      <c r="V71" s="174"/>
      <c r="W71" s="174"/>
      <c r="X71" s="174"/>
      <c r="Y71" s="174"/>
      <c r="Z71" s="174">
        <v>-140000</v>
      </c>
      <c r="AA71" s="174"/>
      <c r="AB71" s="174">
        <f t="shared" si="29"/>
        <v>-140000</v>
      </c>
      <c r="AC71" s="174">
        <f t="shared" si="30"/>
        <v>0</v>
      </c>
      <c r="AD71" s="174"/>
      <c r="AE71" s="174">
        <f t="shared" si="31"/>
        <v>-140000</v>
      </c>
      <c r="AF71" s="174"/>
      <c r="AG71" s="174"/>
      <c r="AH71" s="461"/>
      <c r="AI71" s="730"/>
      <c r="AJ71" s="730"/>
      <c r="AK71" s="730"/>
      <c r="AL71" s="730"/>
      <c r="AM71" s="730"/>
      <c r="AN71" s="730"/>
      <c r="AO71" s="730"/>
      <c r="AP71" s="730"/>
      <c r="AQ71" s="731"/>
      <c r="AR71" s="731"/>
      <c r="AS71" s="731"/>
      <c r="AT71" s="731"/>
      <c r="AU71" s="731"/>
      <c r="AV71" s="731"/>
      <c r="AW71" s="731"/>
      <c r="AX71" s="731"/>
      <c r="AY71" s="611"/>
      <c r="BB71" s="611"/>
      <c r="BC71" s="611"/>
      <c r="BD71" s="611"/>
      <c r="BE71" s="611"/>
      <c r="BF71" s="611"/>
      <c r="BG71" s="611"/>
      <c r="BH71" s="611"/>
      <c r="BI71" s="611"/>
      <c r="BJ71" s="611"/>
      <c r="BK71" s="611"/>
      <c r="BL71" s="611"/>
      <c r="BM71" s="611"/>
    </row>
    <row r="72" spans="1:66" s="628" customFormat="1" ht="30" customHeight="1">
      <c r="A72" s="612"/>
      <c r="B72" s="616"/>
      <c r="C72" s="732">
        <f>COUNT(C64:C71)</f>
        <v>8</v>
      </c>
      <c r="D72" s="733"/>
      <c r="E72" s="734" t="s">
        <v>374</v>
      </c>
      <c r="F72" s="622">
        <f>SUM(F64:F71)</f>
        <v>10978719</v>
      </c>
      <c r="G72" s="622">
        <f t="shared" ref="G72:AF72" si="35">SUM(G64:G71)</f>
        <v>10700000</v>
      </c>
      <c r="H72" s="622">
        <f t="shared" si="35"/>
        <v>278719</v>
      </c>
      <c r="I72" s="622">
        <f t="shared" si="35"/>
        <v>3918719</v>
      </c>
      <c r="J72" s="622">
        <f t="shared" si="35"/>
        <v>4610000</v>
      </c>
      <c r="K72" s="622">
        <f t="shared" si="35"/>
        <v>2450000</v>
      </c>
      <c r="L72" s="622">
        <f t="shared" si="35"/>
        <v>100000</v>
      </c>
      <c r="M72" s="622">
        <f t="shared" si="35"/>
        <v>4510000</v>
      </c>
      <c r="N72" s="622">
        <f t="shared" si="35"/>
        <v>4520000</v>
      </c>
      <c r="O72" s="622">
        <f t="shared" si="35"/>
        <v>-10000</v>
      </c>
      <c r="P72" s="622">
        <f t="shared" si="35"/>
        <v>0</v>
      </c>
      <c r="Q72" s="622">
        <f t="shared" si="35"/>
        <v>9931</v>
      </c>
      <c r="R72" s="622"/>
      <c r="S72" s="622">
        <f t="shared" si="35"/>
        <v>-19931</v>
      </c>
      <c r="T72" s="735"/>
      <c r="U72" s="622">
        <f t="shared" si="35"/>
        <v>330000</v>
      </c>
      <c r="V72" s="622">
        <f t="shared" si="35"/>
        <v>0</v>
      </c>
      <c r="W72" s="622">
        <f t="shared" si="35"/>
        <v>0</v>
      </c>
      <c r="X72" s="622">
        <f t="shared" si="35"/>
        <v>0</v>
      </c>
      <c r="Y72" s="622">
        <f t="shared" si="35"/>
        <v>0</v>
      </c>
      <c r="Z72" s="622">
        <f t="shared" si="35"/>
        <v>0</v>
      </c>
      <c r="AA72" s="622">
        <f t="shared" si="35"/>
        <v>0</v>
      </c>
      <c r="AB72" s="622">
        <f>SUM(U72:AA72)</f>
        <v>330000</v>
      </c>
      <c r="AC72" s="622">
        <f t="shared" si="35"/>
        <v>-340000</v>
      </c>
      <c r="AD72" s="622">
        <f t="shared" si="35"/>
        <v>0</v>
      </c>
      <c r="AE72" s="622">
        <f t="shared" si="35"/>
        <v>9931</v>
      </c>
      <c r="AF72" s="622">
        <f t="shared" si="35"/>
        <v>0</v>
      </c>
      <c r="AG72" s="622">
        <f>SUM(AG64:AG71)</f>
        <v>320069</v>
      </c>
      <c r="AH72" s="736"/>
      <c r="AI72" s="736"/>
      <c r="AJ72" s="736"/>
      <c r="AK72" s="736"/>
      <c r="AL72" s="736"/>
      <c r="AM72" s="736"/>
      <c r="AN72" s="736"/>
      <c r="AO72" s="736"/>
      <c r="AP72" s="736"/>
      <c r="AQ72" s="731"/>
      <c r="AR72" s="731"/>
      <c r="AS72" s="731"/>
      <c r="AT72" s="731"/>
      <c r="AU72" s="731"/>
      <c r="AV72" s="731"/>
      <c r="AW72" s="731"/>
      <c r="AX72" s="731"/>
    </row>
    <row r="73" spans="1:66" s="609" customFormat="1" ht="30" customHeight="1">
      <c r="A73" s="618"/>
      <c r="B73" s="737"/>
      <c r="C73" s="737"/>
      <c r="D73" s="738"/>
      <c r="E73" s="739"/>
      <c r="F73" s="622"/>
      <c r="G73" s="622"/>
      <c r="H73" s="622"/>
      <c r="I73" s="622"/>
      <c r="J73" s="622"/>
      <c r="K73" s="622"/>
      <c r="L73" s="622"/>
      <c r="M73" s="622"/>
      <c r="N73" s="622"/>
      <c r="O73" s="622"/>
      <c r="P73" s="622"/>
      <c r="Q73" s="622"/>
      <c r="R73" s="622"/>
      <c r="S73" s="622"/>
      <c r="T73" s="740"/>
      <c r="U73" s="622"/>
      <c r="V73" s="622"/>
      <c r="W73" s="622"/>
      <c r="X73" s="622"/>
      <c r="Y73" s="622"/>
      <c r="Z73" s="622"/>
      <c r="AA73" s="622"/>
      <c r="AB73" s="174">
        <f t="shared" ref="AB73:AB103" si="36">SUM(U73:Y73)</f>
        <v>0</v>
      </c>
      <c r="AC73" s="622"/>
      <c r="AD73" s="622"/>
      <c r="AE73" s="622"/>
      <c r="AF73" s="622"/>
      <c r="AG73" s="622"/>
      <c r="AH73" s="461"/>
      <c r="AI73" s="461"/>
      <c r="AJ73" s="461"/>
      <c r="AK73" s="461"/>
      <c r="AL73" s="461"/>
      <c r="AM73" s="461"/>
      <c r="AN73" s="461"/>
      <c r="AO73" s="461"/>
      <c r="AP73" s="461"/>
      <c r="AQ73" s="281"/>
      <c r="AR73" s="281"/>
      <c r="AS73" s="281"/>
      <c r="AT73" s="281"/>
      <c r="AU73" s="281"/>
      <c r="AV73" s="281"/>
      <c r="AW73" s="281"/>
      <c r="AX73" s="281"/>
      <c r="AY73" s="180"/>
      <c r="BB73" s="180"/>
      <c r="BC73" s="180"/>
      <c r="BD73" s="180"/>
      <c r="BE73" s="180"/>
      <c r="BF73" s="180"/>
      <c r="BG73" s="180"/>
      <c r="BH73" s="180"/>
      <c r="BI73" s="180"/>
      <c r="BJ73" s="180"/>
      <c r="BK73" s="180"/>
      <c r="BL73" s="180"/>
      <c r="BM73" s="180"/>
    </row>
    <row r="74" spans="1:66" s="609" customFormat="1" ht="30" customHeight="1">
      <c r="A74" s="606"/>
      <c r="B74" s="607"/>
      <c r="C74" s="607"/>
      <c r="D74" s="608"/>
      <c r="E74" s="739" t="s">
        <v>505</v>
      </c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607"/>
      <c r="T74" s="629"/>
      <c r="U74" s="607"/>
      <c r="V74" s="607"/>
      <c r="W74" s="607"/>
      <c r="X74" s="607"/>
      <c r="Y74" s="607"/>
      <c r="Z74" s="607"/>
      <c r="AA74" s="607"/>
      <c r="AB74" s="174">
        <f t="shared" si="36"/>
        <v>0</v>
      </c>
      <c r="AC74" s="607"/>
      <c r="AD74" s="607"/>
      <c r="AE74" s="607"/>
      <c r="AF74" s="607"/>
      <c r="AG74" s="607"/>
      <c r="AH74" s="461"/>
      <c r="AI74" s="461"/>
      <c r="AJ74" s="461"/>
      <c r="AK74" s="461"/>
      <c r="AL74" s="461"/>
      <c r="AM74" s="461"/>
      <c r="AN74" s="461"/>
      <c r="AO74" s="461"/>
      <c r="AP74" s="461"/>
      <c r="AQ74" s="281"/>
      <c r="AR74" s="281"/>
      <c r="AS74" s="281"/>
      <c r="AT74" s="281"/>
      <c r="AU74" s="281"/>
      <c r="AV74" s="281"/>
      <c r="AW74" s="281"/>
      <c r="AX74" s="281"/>
      <c r="AY74" s="180"/>
      <c r="BB74" s="180"/>
      <c r="BC74" s="180"/>
      <c r="BD74" s="180"/>
      <c r="BE74" s="180"/>
      <c r="BF74" s="180"/>
      <c r="BG74" s="180"/>
      <c r="BH74" s="180"/>
      <c r="BI74" s="180"/>
      <c r="BJ74" s="180"/>
      <c r="BK74" s="180"/>
      <c r="BL74" s="180"/>
      <c r="BM74" s="180"/>
    </row>
    <row r="75" spans="1:66" s="609" customFormat="1" ht="30" customHeight="1">
      <c r="A75" s="610" t="s">
        <v>2060</v>
      </c>
      <c r="B75" s="724" t="s">
        <v>2061</v>
      </c>
      <c r="C75" s="727">
        <v>51</v>
      </c>
      <c r="D75" s="727">
        <v>2031</v>
      </c>
      <c r="E75" s="615" t="s">
        <v>359</v>
      </c>
      <c r="F75" s="174">
        <v>2700000</v>
      </c>
      <c r="G75" s="174">
        <v>2700000</v>
      </c>
      <c r="H75" s="174">
        <f>F75-G75</f>
        <v>0</v>
      </c>
      <c r="I75" s="174">
        <f>1562528+537472</f>
        <v>2100000</v>
      </c>
      <c r="J75" s="174">
        <v>500000</v>
      </c>
      <c r="K75" s="174">
        <f>F75-I75-J75</f>
        <v>100000</v>
      </c>
      <c r="L75" s="174"/>
      <c r="M75" s="174">
        <f>J75-L75</f>
        <v>500000</v>
      </c>
      <c r="N75" s="174">
        <v>500000</v>
      </c>
      <c r="O75" s="174">
        <f>M75-N75</f>
        <v>0</v>
      </c>
      <c r="P75" s="174">
        <f>O75-Q75-S75</f>
        <v>0</v>
      </c>
      <c r="Q75" s="174"/>
      <c r="R75" s="174"/>
      <c r="S75" s="174"/>
      <c r="T75" s="729" t="s">
        <v>2126</v>
      </c>
      <c r="U75" s="174"/>
      <c r="V75" s="174"/>
      <c r="W75" s="174"/>
      <c r="X75" s="174"/>
      <c r="Y75" s="174"/>
      <c r="Z75" s="174"/>
      <c r="AA75" s="174"/>
      <c r="AB75" s="174">
        <f t="shared" si="36"/>
        <v>0</v>
      </c>
      <c r="AC75" s="174">
        <f>O75-AB75</f>
        <v>0</v>
      </c>
      <c r="AD75" s="174"/>
      <c r="AE75" s="174">
        <f>AB75-AF75-AG75-AD75</f>
        <v>0</v>
      </c>
      <c r="AF75" s="174"/>
      <c r="AG75" s="174"/>
      <c r="AH75" s="461"/>
      <c r="AI75" s="461"/>
      <c r="AJ75" s="461"/>
      <c r="AK75" s="461"/>
      <c r="AL75" s="461"/>
      <c r="AM75" s="461"/>
      <c r="AN75" s="461"/>
      <c r="AO75" s="461"/>
      <c r="AP75" s="461"/>
      <c r="AQ75" s="281"/>
      <c r="AR75" s="281"/>
      <c r="AS75" s="281"/>
      <c r="AT75" s="281"/>
      <c r="AU75" s="281"/>
      <c r="AV75" s="281"/>
      <c r="AW75" s="281"/>
      <c r="AX75" s="281"/>
      <c r="AY75" s="180"/>
      <c r="BB75" s="180"/>
      <c r="BC75" s="180"/>
      <c r="BD75" s="180"/>
      <c r="BE75" s="180"/>
      <c r="BF75" s="180"/>
      <c r="BG75" s="180"/>
      <c r="BH75" s="180"/>
      <c r="BI75" s="180"/>
      <c r="BJ75" s="180"/>
      <c r="BK75" s="180"/>
      <c r="BL75" s="180"/>
      <c r="BM75" s="180"/>
    </row>
    <row r="76" spans="1:66" s="609" customFormat="1" ht="30" customHeight="1">
      <c r="A76" s="610" t="s">
        <v>2070</v>
      </c>
      <c r="B76" s="724" t="s">
        <v>2071</v>
      </c>
      <c r="C76" s="727">
        <f>C75+1</f>
        <v>52</v>
      </c>
      <c r="D76" s="727">
        <v>2060</v>
      </c>
      <c r="E76" s="615" t="s">
        <v>440</v>
      </c>
      <c r="F76" s="174">
        <f>2070229+315771-180000</f>
        <v>2206000</v>
      </c>
      <c r="G76" s="174">
        <v>2070229</v>
      </c>
      <c r="H76" s="174">
        <f>F76-G76</f>
        <v>135771</v>
      </c>
      <c r="I76" s="174">
        <v>1826000</v>
      </c>
      <c r="J76" s="174">
        <f>180000+380000-180000</f>
        <v>380000</v>
      </c>
      <c r="K76" s="174">
        <f>F76-I76-J76</f>
        <v>0</v>
      </c>
      <c r="L76" s="174"/>
      <c r="M76" s="174">
        <f>J76</f>
        <v>380000</v>
      </c>
      <c r="N76" s="174">
        <v>180000</v>
      </c>
      <c r="O76" s="174">
        <f>M76-N76</f>
        <v>200000</v>
      </c>
      <c r="P76" s="174"/>
      <c r="Q76" s="174">
        <f>O76</f>
        <v>200000</v>
      </c>
      <c r="R76" s="174"/>
      <c r="S76" s="174"/>
      <c r="T76" s="729" t="s">
        <v>2127</v>
      </c>
      <c r="U76" s="174"/>
      <c r="V76" s="174"/>
      <c r="W76" s="174">
        <v>200000</v>
      </c>
      <c r="X76" s="174"/>
      <c r="Y76" s="174"/>
      <c r="Z76" s="174"/>
      <c r="AA76" s="174"/>
      <c r="AB76" s="174">
        <f>SUM(U76:AA76)</f>
        <v>200000</v>
      </c>
      <c r="AC76" s="174">
        <f>O76-AB76</f>
        <v>0</v>
      </c>
      <c r="AD76" s="174"/>
      <c r="AE76" s="174">
        <f>AB76-AF76-AG76-AD76</f>
        <v>200000</v>
      </c>
      <c r="AF76" s="741"/>
      <c r="AG76" s="741"/>
      <c r="AH76" s="181"/>
      <c r="AI76" s="181"/>
      <c r="AJ76" s="181"/>
      <c r="AK76" s="461"/>
      <c r="AL76" s="461"/>
      <c r="AM76" s="461"/>
      <c r="AN76" s="461"/>
      <c r="AO76" s="461"/>
      <c r="AP76" s="461"/>
      <c r="AQ76" s="461"/>
      <c r="AR76" s="281"/>
      <c r="AS76" s="281"/>
      <c r="AT76" s="281"/>
      <c r="AU76" s="281"/>
      <c r="AV76" s="281"/>
      <c r="AW76" s="281"/>
      <c r="AX76" s="281"/>
      <c r="AY76" s="281"/>
      <c r="AZ76" s="180"/>
      <c r="BC76" s="180"/>
      <c r="BD76" s="180"/>
      <c r="BE76" s="180"/>
      <c r="BF76" s="180"/>
      <c r="BG76" s="180"/>
      <c r="BH76" s="180"/>
      <c r="BI76" s="180"/>
      <c r="BJ76" s="180"/>
      <c r="BK76" s="180"/>
      <c r="BL76" s="180"/>
      <c r="BM76" s="180"/>
      <c r="BN76" s="180"/>
    </row>
    <row r="77" spans="1:66" s="609" customFormat="1" ht="30" customHeight="1">
      <c r="A77" s="610" t="s">
        <v>2070</v>
      </c>
      <c r="B77" s="724" t="s">
        <v>2071</v>
      </c>
      <c r="C77" s="727">
        <f>C76+1</f>
        <v>53</v>
      </c>
      <c r="D77" s="727">
        <v>2004</v>
      </c>
      <c r="E77" s="615" t="s">
        <v>157</v>
      </c>
      <c r="F77" s="174">
        <f>995000+60000-60000</f>
        <v>995000</v>
      </c>
      <c r="G77" s="174">
        <v>995000</v>
      </c>
      <c r="H77" s="174">
        <f>F77-G77</f>
        <v>0</v>
      </c>
      <c r="I77" s="174">
        <f>676218+8782</f>
        <v>685000</v>
      </c>
      <c r="J77" s="174">
        <f>150000+220000-80000</f>
        <v>290000</v>
      </c>
      <c r="K77" s="174">
        <f>F77-I77-J77</f>
        <v>20000</v>
      </c>
      <c r="L77" s="174"/>
      <c r="M77" s="174">
        <f>J77</f>
        <v>290000</v>
      </c>
      <c r="N77" s="174">
        <v>150000</v>
      </c>
      <c r="O77" s="174">
        <f>M77-N77</f>
        <v>140000</v>
      </c>
      <c r="P77" s="174"/>
      <c r="Q77" s="174">
        <f>O77</f>
        <v>140000</v>
      </c>
      <c r="R77" s="174"/>
      <c r="S77" s="174"/>
      <c r="T77" s="729" t="s">
        <v>2128</v>
      </c>
      <c r="U77" s="174"/>
      <c r="V77" s="174"/>
      <c r="W77" s="174">
        <v>140000</v>
      </c>
      <c r="X77" s="174"/>
      <c r="Y77" s="174"/>
      <c r="Z77" s="174"/>
      <c r="AA77" s="174"/>
      <c r="AB77" s="174">
        <f>SUM(U77:AA77)</f>
        <v>140000</v>
      </c>
      <c r="AC77" s="174">
        <f>O77-AB77</f>
        <v>0</v>
      </c>
      <c r="AD77" s="174"/>
      <c r="AE77" s="174">
        <f>AB77-AF77-AG77-AD77</f>
        <v>140000</v>
      </c>
      <c r="AF77" s="741"/>
      <c r="AG77" s="741"/>
      <c r="AH77" s="181"/>
      <c r="AI77" s="181"/>
      <c r="AJ77" s="181"/>
      <c r="AK77" s="461"/>
      <c r="AL77" s="461"/>
      <c r="AM77" s="461"/>
      <c r="AN77" s="461"/>
      <c r="AO77" s="461"/>
      <c r="AP77" s="461"/>
      <c r="AQ77" s="461"/>
      <c r="AR77" s="281"/>
      <c r="AS77" s="281"/>
      <c r="AT77" s="281"/>
      <c r="AU77" s="281"/>
      <c r="AV77" s="281"/>
      <c r="AW77" s="281"/>
      <c r="AX77" s="281"/>
      <c r="AY77" s="281"/>
      <c r="AZ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0"/>
      <c r="BN77" s="180"/>
    </row>
    <row r="78" spans="1:66" s="628" customFormat="1" ht="30" customHeight="1">
      <c r="A78" s="612"/>
      <c r="B78" s="616"/>
      <c r="C78" s="732">
        <f>COUNT(C75:C77)</f>
        <v>3</v>
      </c>
      <c r="D78" s="733"/>
      <c r="E78" s="734" t="s">
        <v>506</v>
      </c>
      <c r="F78" s="622">
        <f t="shared" ref="F78:Q78" si="37">SUM(F75:F77)</f>
        <v>5901000</v>
      </c>
      <c r="G78" s="622">
        <f t="shared" si="37"/>
        <v>5765229</v>
      </c>
      <c r="H78" s="622">
        <f t="shared" si="37"/>
        <v>135771</v>
      </c>
      <c r="I78" s="622">
        <f t="shared" si="37"/>
        <v>4611000</v>
      </c>
      <c r="J78" s="622">
        <f t="shared" si="37"/>
        <v>1170000</v>
      </c>
      <c r="K78" s="622">
        <f t="shared" si="37"/>
        <v>120000</v>
      </c>
      <c r="L78" s="622">
        <f t="shared" si="37"/>
        <v>0</v>
      </c>
      <c r="M78" s="622">
        <f t="shared" si="37"/>
        <v>1170000</v>
      </c>
      <c r="N78" s="622">
        <f t="shared" si="37"/>
        <v>830000</v>
      </c>
      <c r="O78" s="622">
        <f t="shared" si="37"/>
        <v>340000</v>
      </c>
      <c r="P78" s="622">
        <f t="shared" si="37"/>
        <v>0</v>
      </c>
      <c r="Q78" s="622">
        <f t="shared" si="37"/>
        <v>340000</v>
      </c>
      <c r="R78" s="622"/>
      <c r="S78" s="622">
        <f>SUM(S75:S77)</f>
        <v>0</v>
      </c>
      <c r="T78" s="735"/>
      <c r="U78" s="622">
        <f t="shared" ref="U78:AG78" si="38">SUM(U75:U77)</f>
        <v>0</v>
      </c>
      <c r="V78" s="622">
        <f t="shared" si="38"/>
        <v>0</v>
      </c>
      <c r="W78" s="622">
        <f t="shared" si="38"/>
        <v>340000</v>
      </c>
      <c r="X78" s="622">
        <f t="shared" si="38"/>
        <v>0</v>
      </c>
      <c r="Y78" s="622">
        <f t="shared" si="38"/>
        <v>0</v>
      </c>
      <c r="Z78" s="622">
        <f t="shared" si="38"/>
        <v>0</v>
      </c>
      <c r="AA78" s="622">
        <f t="shared" si="38"/>
        <v>0</v>
      </c>
      <c r="AB78" s="622">
        <f t="shared" si="38"/>
        <v>340000</v>
      </c>
      <c r="AC78" s="622">
        <f t="shared" si="38"/>
        <v>0</v>
      </c>
      <c r="AD78" s="622">
        <f t="shared" si="38"/>
        <v>0</v>
      </c>
      <c r="AE78" s="622">
        <f t="shared" si="38"/>
        <v>340000</v>
      </c>
      <c r="AF78" s="622">
        <f t="shared" si="38"/>
        <v>0</v>
      </c>
      <c r="AG78" s="622">
        <f t="shared" si="38"/>
        <v>0</v>
      </c>
      <c r="AH78" s="736"/>
      <c r="AI78" s="736"/>
      <c r="AJ78" s="736"/>
      <c r="AK78" s="736"/>
      <c r="AL78" s="736"/>
      <c r="AM78" s="736"/>
      <c r="AN78" s="736"/>
      <c r="AO78" s="736"/>
      <c r="AP78" s="736"/>
      <c r="AQ78" s="731"/>
      <c r="AR78" s="731"/>
      <c r="AS78" s="731"/>
      <c r="AT78" s="731"/>
      <c r="AU78" s="731"/>
      <c r="AV78" s="731"/>
      <c r="AW78" s="731"/>
      <c r="AX78" s="731"/>
    </row>
    <row r="79" spans="1:66" s="609" customFormat="1" ht="30" customHeight="1">
      <c r="A79" s="618"/>
      <c r="B79" s="737"/>
      <c r="C79" s="737"/>
      <c r="D79" s="738"/>
      <c r="E79" s="739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22"/>
      <c r="S79" s="622"/>
      <c r="T79" s="740"/>
      <c r="U79" s="622"/>
      <c r="V79" s="622"/>
      <c r="W79" s="622"/>
      <c r="X79" s="622"/>
      <c r="Y79" s="622"/>
      <c r="Z79" s="622"/>
      <c r="AA79" s="622"/>
      <c r="AB79" s="174">
        <f t="shared" si="36"/>
        <v>0</v>
      </c>
      <c r="AC79" s="622"/>
      <c r="AD79" s="622"/>
      <c r="AE79" s="622"/>
      <c r="AF79" s="622"/>
      <c r="AG79" s="622"/>
      <c r="AH79" s="461"/>
      <c r="AI79" s="461"/>
      <c r="AJ79" s="461"/>
      <c r="AK79" s="461"/>
      <c r="AL79" s="461"/>
      <c r="AM79" s="461"/>
      <c r="AN79" s="461"/>
      <c r="AO79" s="461"/>
      <c r="AP79" s="461"/>
      <c r="AQ79" s="281"/>
      <c r="AR79" s="281"/>
      <c r="AS79" s="281"/>
      <c r="AT79" s="281"/>
      <c r="AU79" s="281"/>
      <c r="AV79" s="281"/>
      <c r="AW79" s="281"/>
      <c r="AX79" s="281"/>
      <c r="AY79" s="180"/>
      <c r="BB79" s="180"/>
      <c r="BC79" s="180"/>
      <c r="BD79" s="180"/>
      <c r="BE79" s="180"/>
      <c r="BF79" s="180"/>
      <c r="BG79" s="180"/>
      <c r="BH79" s="180"/>
      <c r="BI79" s="180"/>
      <c r="BJ79" s="180"/>
      <c r="BK79" s="180"/>
      <c r="BL79" s="180"/>
      <c r="BM79" s="180"/>
    </row>
    <row r="80" spans="1:66" s="609" customFormat="1" ht="30" customHeight="1">
      <c r="A80" s="606"/>
      <c r="B80" s="607"/>
      <c r="C80" s="607"/>
      <c r="D80" s="608"/>
      <c r="E80" s="739" t="s">
        <v>163</v>
      </c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607"/>
      <c r="T80" s="629"/>
      <c r="U80" s="607"/>
      <c r="V80" s="607"/>
      <c r="W80" s="607"/>
      <c r="X80" s="607"/>
      <c r="Y80" s="607"/>
      <c r="Z80" s="607"/>
      <c r="AA80" s="607"/>
      <c r="AB80" s="174">
        <f t="shared" si="36"/>
        <v>0</v>
      </c>
      <c r="AC80" s="607"/>
      <c r="AD80" s="607"/>
      <c r="AE80" s="607"/>
      <c r="AF80" s="607"/>
      <c r="AG80" s="607"/>
      <c r="AH80" s="461"/>
      <c r="AI80" s="461"/>
      <c r="AJ80" s="461"/>
      <c r="AK80" s="461"/>
      <c r="AL80" s="461"/>
      <c r="AM80" s="461"/>
      <c r="AN80" s="461"/>
      <c r="AO80" s="461"/>
      <c r="AP80" s="461"/>
      <c r="AQ80" s="281"/>
      <c r="AR80" s="281"/>
      <c r="AS80" s="281"/>
      <c r="AT80" s="281"/>
      <c r="AU80" s="281"/>
      <c r="AV80" s="281"/>
      <c r="AW80" s="281"/>
      <c r="AX80" s="281"/>
      <c r="AY80" s="180"/>
      <c r="BB80" s="180"/>
      <c r="BC80" s="180"/>
      <c r="BD80" s="180"/>
      <c r="BE80" s="180"/>
      <c r="BF80" s="180"/>
      <c r="BG80" s="180"/>
      <c r="BH80" s="180"/>
      <c r="BI80" s="180"/>
      <c r="BJ80" s="180"/>
      <c r="BK80" s="180"/>
      <c r="BL80" s="180"/>
      <c r="BM80" s="180"/>
    </row>
    <row r="81" spans="1:65" s="609" customFormat="1" ht="30" customHeight="1">
      <c r="A81" s="610" t="s">
        <v>2064</v>
      </c>
      <c r="B81" s="724" t="s">
        <v>2065</v>
      </c>
      <c r="C81" s="727">
        <v>54</v>
      </c>
      <c r="D81" s="727">
        <v>2164</v>
      </c>
      <c r="E81" s="615" t="s">
        <v>555</v>
      </c>
      <c r="F81" s="174">
        <v>300000</v>
      </c>
      <c r="G81" s="174">
        <v>300000</v>
      </c>
      <c r="H81" s="174">
        <f>F81-G81</f>
        <v>0</v>
      </c>
      <c r="I81" s="174"/>
      <c r="J81" s="174">
        <v>300000</v>
      </c>
      <c r="K81" s="174">
        <f>F81-I81-J81</f>
        <v>0</v>
      </c>
      <c r="L81" s="174"/>
      <c r="M81" s="174">
        <f>J81</f>
        <v>300000</v>
      </c>
      <c r="N81" s="174"/>
      <c r="O81" s="174">
        <f>M81-N81</f>
        <v>300000</v>
      </c>
      <c r="P81" s="174">
        <f>O81-Q81-S81</f>
        <v>0</v>
      </c>
      <c r="Q81" s="174">
        <v>300000</v>
      </c>
      <c r="R81" s="174"/>
      <c r="S81" s="174"/>
      <c r="T81" s="729" t="s">
        <v>2129</v>
      </c>
      <c r="U81" s="174"/>
      <c r="V81" s="174"/>
      <c r="W81" s="174"/>
      <c r="X81" s="174">
        <v>300000</v>
      </c>
      <c r="Y81" s="174"/>
      <c r="Z81" s="174"/>
      <c r="AA81" s="174"/>
      <c r="AB81" s="174">
        <f>SUM(U81:AA81)</f>
        <v>300000</v>
      </c>
      <c r="AC81" s="174">
        <f>O81-AB81</f>
        <v>0</v>
      </c>
      <c r="AD81" s="174"/>
      <c r="AE81" s="174">
        <f>AB81-AF81-AG81-AD81</f>
        <v>300000</v>
      </c>
      <c r="AF81" s="741"/>
      <c r="AG81" s="741"/>
      <c r="AH81" s="181"/>
      <c r="AI81" s="181"/>
      <c r="AJ81" s="461"/>
      <c r="AK81" s="461"/>
      <c r="AL81" s="461"/>
      <c r="AM81" s="461"/>
      <c r="AN81" s="461"/>
      <c r="AO81" s="461"/>
      <c r="AP81" s="461"/>
      <c r="AQ81" s="281"/>
      <c r="AR81" s="281"/>
      <c r="AS81" s="281"/>
      <c r="AT81" s="281"/>
      <c r="AU81" s="281"/>
      <c r="AV81" s="281"/>
      <c r="AW81" s="281"/>
      <c r="AX81" s="281"/>
      <c r="AY81" s="180"/>
      <c r="BB81" s="180"/>
      <c r="BC81" s="180"/>
      <c r="BD81" s="180"/>
      <c r="BE81" s="180"/>
      <c r="BF81" s="180"/>
      <c r="BG81" s="180"/>
      <c r="BH81" s="180"/>
      <c r="BI81" s="180"/>
      <c r="BJ81" s="180"/>
      <c r="BK81" s="180"/>
      <c r="BL81" s="180"/>
      <c r="BM81" s="180"/>
    </row>
    <row r="82" spans="1:65" s="628" customFormat="1" ht="30" customHeight="1">
      <c r="A82" s="612"/>
      <c r="B82" s="616"/>
      <c r="C82" s="732">
        <f>COUNT(C81)</f>
        <v>1</v>
      </c>
      <c r="D82" s="733"/>
      <c r="E82" s="734" t="s">
        <v>507</v>
      </c>
      <c r="F82" s="622">
        <f t="shared" ref="F82:Q82" si="39">SUM(F81:F81)</f>
        <v>300000</v>
      </c>
      <c r="G82" s="622">
        <f t="shared" si="39"/>
        <v>300000</v>
      </c>
      <c r="H82" s="622">
        <f t="shared" si="39"/>
        <v>0</v>
      </c>
      <c r="I82" s="622">
        <f t="shared" si="39"/>
        <v>0</v>
      </c>
      <c r="J82" s="622">
        <f t="shared" si="39"/>
        <v>300000</v>
      </c>
      <c r="K82" s="622">
        <f t="shared" si="39"/>
        <v>0</v>
      </c>
      <c r="L82" s="622">
        <f t="shared" si="39"/>
        <v>0</v>
      </c>
      <c r="M82" s="622">
        <f t="shared" si="39"/>
        <v>300000</v>
      </c>
      <c r="N82" s="622">
        <f t="shared" si="39"/>
        <v>0</v>
      </c>
      <c r="O82" s="622">
        <f t="shared" si="39"/>
        <v>300000</v>
      </c>
      <c r="P82" s="622">
        <f t="shared" si="39"/>
        <v>0</v>
      </c>
      <c r="Q82" s="622">
        <f t="shared" si="39"/>
        <v>300000</v>
      </c>
      <c r="R82" s="622"/>
      <c r="S82" s="622">
        <f>SUM(S81:S81)</f>
        <v>0</v>
      </c>
      <c r="T82" s="735"/>
      <c r="U82" s="622">
        <f t="shared" ref="U82:AG82" si="40">SUM(U81:U81)</f>
        <v>0</v>
      </c>
      <c r="V82" s="622">
        <f t="shared" si="40"/>
        <v>0</v>
      </c>
      <c r="W82" s="622">
        <f t="shared" si="40"/>
        <v>0</v>
      </c>
      <c r="X82" s="622">
        <f t="shared" si="40"/>
        <v>300000</v>
      </c>
      <c r="Y82" s="622">
        <f t="shared" si="40"/>
        <v>0</v>
      </c>
      <c r="Z82" s="622">
        <f t="shared" si="40"/>
        <v>0</v>
      </c>
      <c r="AA82" s="622">
        <f t="shared" si="40"/>
        <v>0</v>
      </c>
      <c r="AB82" s="622">
        <f t="shared" si="40"/>
        <v>300000</v>
      </c>
      <c r="AC82" s="622">
        <f t="shared" si="40"/>
        <v>0</v>
      </c>
      <c r="AD82" s="622">
        <f t="shared" si="40"/>
        <v>0</v>
      </c>
      <c r="AE82" s="622">
        <f t="shared" si="40"/>
        <v>300000</v>
      </c>
      <c r="AF82" s="622">
        <f t="shared" si="40"/>
        <v>0</v>
      </c>
      <c r="AG82" s="622">
        <f t="shared" si="40"/>
        <v>0</v>
      </c>
      <c r="AH82" s="736"/>
      <c r="AI82" s="736"/>
      <c r="AJ82" s="736"/>
      <c r="AK82" s="736"/>
      <c r="AL82" s="736"/>
      <c r="AM82" s="736"/>
      <c r="AN82" s="736"/>
      <c r="AO82" s="736"/>
      <c r="AP82" s="736"/>
      <c r="AQ82" s="731"/>
      <c r="AR82" s="731"/>
      <c r="AS82" s="731"/>
      <c r="AT82" s="731"/>
      <c r="AU82" s="731"/>
      <c r="AV82" s="731"/>
      <c r="AW82" s="731"/>
      <c r="AX82" s="731"/>
    </row>
    <row r="83" spans="1:65" s="609" customFormat="1" ht="30" customHeight="1">
      <c r="A83" s="618"/>
      <c r="B83" s="737"/>
      <c r="C83" s="737"/>
      <c r="D83" s="738"/>
      <c r="E83" s="739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22"/>
      <c r="S83" s="622"/>
      <c r="T83" s="740"/>
      <c r="U83" s="622"/>
      <c r="V83" s="622"/>
      <c r="W83" s="622"/>
      <c r="X83" s="622"/>
      <c r="Y83" s="622"/>
      <c r="Z83" s="622"/>
      <c r="AA83" s="622"/>
      <c r="AB83" s="174">
        <f t="shared" si="36"/>
        <v>0</v>
      </c>
      <c r="AC83" s="622"/>
      <c r="AD83" s="622"/>
      <c r="AE83" s="622"/>
      <c r="AF83" s="622"/>
      <c r="AG83" s="622"/>
      <c r="AH83" s="461"/>
      <c r="AI83" s="461"/>
      <c r="AJ83" s="461"/>
      <c r="AK83" s="461"/>
      <c r="AL83" s="461"/>
      <c r="AM83" s="461"/>
      <c r="AN83" s="461"/>
      <c r="AO83" s="461"/>
      <c r="AP83" s="461"/>
      <c r="AQ83" s="281"/>
      <c r="AR83" s="281"/>
      <c r="AS83" s="281"/>
      <c r="AT83" s="281"/>
      <c r="AU83" s="281"/>
      <c r="AV83" s="281"/>
      <c r="AW83" s="281"/>
      <c r="AX83" s="281"/>
      <c r="AY83" s="180"/>
      <c r="BB83" s="180"/>
      <c r="BC83" s="180"/>
      <c r="BD83" s="180"/>
      <c r="BE83" s="180"/>
      <c r="BF83" s="180"/>
      <c r="BG83" s="180"/>
      <c r="BH83" s="180"/>
      <c r="BI83" s="180"/>
      <c r="BJ83" s="180"/>
      <c r="BK83" s="180"/>
      <c r="BL83" s="180"/>
      <c r="BM83" s="180"/>
    </row>
    <row r="84" spans="1:65" s="609" customFormat="1" ht="30" customHeight="1">
      <c r="A84" s="606"/>
      <c r="B84" s="607"/>
      <c r="C84" s="607"/>
      <c r="D84" s="608"/>
      <c r="E84" s="739" t="s">
        <v>85</v>
      </c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607"/>
      <c r="T84" s="629"/>
      <c r="U84" s="607"/>
      <c r="V84" s="607"/>
      <c r="W84" s="607"/>
      <c r="X84" s="607"/>
      <c r="Y84" s="607"/>
      <c r="Z84" s="607"/>
      <c r="AA84" s="607"/>
      <c r="AB84" s="174">
        <f t="shared" si="36"/>
        <v>0</v>
      </c>
      <c r="AC84" s="607"/>
      <c r="AD84" s="607"/>
      <c r="AE84" s="607"/>
      <c r="AF84" s="607"/>
      <c r="AG84" s="607"/>
      <c r="AH84" s="461"/>
      <c r="AI84" s="461"/>
      <c r="AJ84" s="461"/>
      <c r="AK84" s="461"/>
      <c r="AL84" s="461"/>
      <c r="AM84" s="461"/>
      <c r="AN84" s="461"/>
      <c r="AO84" s="461"/>
      <c r="AP84" s="461"/>
      <c r="AQ84" s="281"/>
      <c r="AR84" s="281"/>
      <c r="AS84" s="281"/>
      <c r="AT84" s="281"/>
      <c r="AU84" s="281"/>
      <c r="AV84" s="281"/>
      <c r="AW84" s="281"/>
      <c r="AX84" s="281"/>
      <c r="AY84" s="180"/>
      <c r="BB84" s="180"/>
      <c r="BC84" s="180"/>
      <c r="BD84" s="180"/>
      <c r="BE84" s="180"/>
      <c r="BF84" s="180"/>
      <c r="BG84" s="180"/>
      <c r="BH84" s="180"/>
      <c r="BI84" s="180"/>
      <c r="BJ84" s="180"/>
      <c r="BK84" s="180"/>
      <c r="BL84" s="180"/>
      <c r="BM84" s="180"/>
    </row>
    <row r="85" spans="1:65" s="628" customFormat="1" ht="30" customHeight="1">
      <c r="A85" s="610" t="s">
        <v>2085</v>
      </c>
      <c r="B85" s="724" t="s">
        <v>2086</v>
      </c>
      <c r="C85" s="727">
        <v>55</v>
      </c>
      <c r="D85" s="743">
        <v>2226</v>
      </c>
      <c r="E85" s="615" t="s">
        <v>2130</v>
      </c>
      <c r="F85" s="174">
        <v>91304</v>
      </c>
      <c r="G85" s="174"/>
      <c r="H85" s="174">
        <f>F85-G85</f>
        <v>91304</v>
      </c>
      <c r="I85" s="174"/>
      <c r="J85" s="174">
        <v>91304</v>
      </c>
      <c r="K85" s="174">
        <f>F85-I85-J85</f>
        <v>0</v>
      </c>
      <c r="L85" s="174"/>
      <c r="M85" s="174">
        <f>J85</f>
        <v>91304</v>
      </c>
      <c r="N85" s="174"/>
      <c r="O85" s="174">
        <f>M85-N85</f>
        <v>91304</v>
      </c>
      <c r="P85" s="174">
        <f>O85-Q85-S85</f>
        <v>0</v>
      </c>
      <c r="Q85" s="174"/>
      <c r="R85" s="174"/>
      <c r="S85" s="174">
        <v>91304</v>
      </c>
      <c r="T85" s="729" t="s">
        <v>2131</v>
      </c>
      <c r="U85" s="174">
        <v>91304</v>
      </c>
      <c r="V85" s="174"/>
      <c r="W85" s="174"/>
      <c r="X85" s="174"/>
      <c r="Y85" s="174"/>
      <c r="Z85" s="174"/>
      <c r="AA85" s="174"/>
      <c r="AB85" s="174">
        <f>SUM(U85:AA85)</f>
        <v>91304</v>
      </c>
      <c r="AC85" s="174">
        <f>O85-AB85</f>
        <v>0</v>
      </c>
      <c r="AD85" s="174"/>
      <c r="AE85" s="174">
        <f>AB85-AF85-AG85-AD85</f>
        <v>0</v>
      </c>
      <c r="AF85" s="727"/>
      <c r="AG85" s="727">
        <v>91304</v>
      </c>
      <c r="AH85" s="730"/>
      <c r="AI85" s="730"/>
      <c r="AJ85" s="730"/>
      <c r="AK85" s="730"/>
      <c r="AL85" s="730"/>
      <c r="AM85" s="730"/>
      <c r="AN85" s="730"/>
      <c r="AO85" s="731"/>
      <c r="AP85" s="731"/>
      <c r="AQ85" s="731"/>
      <c r="AR85" s="731"/>
      <c r="AS85" s="731"/>
      <c r="AT85" s="731"/>
      <c r="AU85" s="731"/>
      <c r="AV85" s="731"/>
      <c r="AW85" s="611"/>
      <c r="AZ85" s="611"/>
      <c r="BA85" s="611"/>
      <c r="BB85" s="611"/>
      <c r="BC85" s="611"/>
      <c r="BD85" s="611"/>
      <c r="BE85" s="611"/>
      <c r="BF85" s="611"/>
      <c r="BG85" s="611"/>
      <c r="BH85" s="611"/>
      <c r="BI85" s="611"/>
      <c r="BJ85" s="611"/>
      <c r="BK85" s="611"/>
    </row>
    <row r="86" spans="1:65" s="628" customFormat="1" ht="30" customHeight="1">
      <c r="A86" s="612"/>
      <c r="B86" s="616"/>
      <c r="C86" s="732">
        <f>COUNT(C85)</f>
        <v>1</v>
      </c>
      <c r="D86" s="733"/>
      <c r="E86" s="734" t="s">
        <v>511</v>
      </c>
      <c r="F86" s="622">
        <f t="shared" ref="F86:Q86" si="41">SUM(F85:F85)</f>
        <v>91304</v>
      </c>
      <c r="G86" s="622">
        <f t="shared" si="41"/>
        <v>0</v>
      </c>
      <c r="H86" s="622">
        <f t="shared" si="41"/>
        <v>91304</v>
      </c>
      <c r="I86" s="622">
        <f t="shared" si="41"/>
        <v>0</v>
      </c>
      <c r="J86" s="622">
        <f t="shared" si="41"/>
        <v>91304</v>
      </c>
      <c r="K86" s="622">
        <f t="shared" si="41"/>
        <v>0</v>
      </c>
      <c r="L86" s="622">
        <f t="shared" si="41"/>
        <v>0</v>
      </c>
      <c r="M86" s="622">
        <f t="shared" si="41"/>
        <v>91304</v>
      </c>
      <c r="N86" s="622">
        <f t="shared" si="41"/>
        <v>0</v>
      </c>
      <c r="O86" s="622">
        <f t="shared" si="41"/>
        <v>91304</v>
      </c>
      <c r="P86" s="622">
        <f t="shared" si="41"/>
        <v>0</v>
      </c>
      <c r="Q86" s="622">
        <f t="shared" si="41"/>
        <v>0</v>
      </c>
      <c r="R86" s="622"/>
      <c r="S86" s="622">
        <f>SUM(S85:S85)</f>
        <v>91304</v>
      </c>
      <c r="T86" s="735"/>
      <c r="U86" s="622">
        <f t="shared" ref="U86:AG86" si="42">SUM(U85:U85)</f>
        <v>91304</v>
      </c>
      <c r="V86" s="622">
        <f t="shared" si="42"/>
        <v>0</v>
      </c>
      <c r="W86" s="622">
        <f t="shared" si="42"/>
        <v>0</v>
      </c>
      <c r="X86" s="622">
        <f t="shared" si="42"/>
        <v>0</v>
      </c>
      <c r="Y86" s="622">
        <f t="shared" si="42"/>
        <v>0</v>
      </c>
      <c r="Z86" s="622">
        <f t="shared" si="42"/>
        <v>0</v>
      </c>
      <c r="AA86" s="622">
        <f t="shared" si="42"/>
        <v>0</v>
      </c>
      <c r="AB86" s="622">
        <f t="shared" si="42"/>
        <v>91304</v>
      </c>
      <c r="AC86" s="622">
        <f t="shared" si="42"/>
        <v>0</v>
      </c>
      <c r="AD86" s="622">
        <f t="shared" si="42"/>
        <v>0</v>
      </c>
      <c r="AE86" s="622">
        <f t="shared" si="42"/>
        <v>0</v>
      </c>
      <c r="AF86" s="622">
        <f t="shared" si="42"/>
        <v>0</v>
      </c>
      <c r="AG86" s="622">
        <f t="shared" si="42"/>
        <v>91304</v>
      </c>
      <c r="AH86" s="736"/>
      <c r="AI86" s="736"/>
      <c r="AJ86" s="736"/>
      <c r="AK86" s="736"/>
      <c r="AL86" s="736"/>
      <c r="AM86" s="736"/>
      <c r="AN86" s="736"/>
      <c r="AO86" s="736"/>
      <c r="AP86" s="736"/>
      <c r="AQ86" s="731"/>
      <c r="AR86" s="731"/>
      <c r="AS86" s="731"/>
      <c r="AT86" s="731"/>
      <c r="AU86" s="731"/>
      <c r="AV86" s="731"/>
      <c r="AW86" s="731"/>
      <c r="AX86" s="731"/>
    </row>
    <row r="87" spans="1:65" s="609" customFormat="1" ht="30" customHeight="1">
      <c r="A87" s="618"/>
      <c r="B87" s="737"/>
      <c r="C87" s="737"/>
      <c r="D87" s="738"/>
      <c r="E87" s="739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22"/>
      <c r="S87" s="622"/>
      <c r="T87" s="740"/>
      <c r="U87" s="622"/>
      <c r="V87" s="622"/>
      <c r="W87" s="622"/>
      <c r="X87" s="622"/>
      <c r="Y87" s="622"/>
      <c r="Z87" s="622"/>
      <c r="AA87" s="622"/>
      <c r="AB87" s="174">
        <f t="shared" si="36"/>
        <v>0</v>
      </c>
      <c r="AC87" s="622"/>
      <c r="AD87" s="622"/>
      <c r="AE87" s="622"/>
      <c r="AF87" s="622"/>
      <c r="AG87" s="622"/>
      <c r="AH87" s="461"/>
      <c r="AI87" s="461"/>
      <c r="AJ87" s="461"/>
      <c r="AK87" s="461"/>
      <c r="AL87" s="461"/>
      <c r="AM87" s="461"/>
      <c r="AN87" s="461"/>
      <c r="AO87" s="461"/>
      <c r="AP87" s="461"/>
      <c r="AQ87" s="281"/>
      <c r="AR87" s="281"/>
      <c r="AS87" s="281"/>
      <c r="AT87" s="281"/>
      <c r="AU87" s="281"/>
      <c r="AV87" s="281"/>
      <c r="AW87" s="281"/>
      <c r="AX87" s="281"/>
      <c r="AY87" s="180"/>
      <c r="BB87" s="180"/>
      <c r="BC87" s="180"/>
      <c r="BD87" s="180"/>
      <c r="BE87" s="180"/>
      <c r="BF87" s="180"/>
      <c r="BG87" s="180"/>
      <c r="BH87" s="180"/>
      <c r="BI87" s="180"/>
      <c r="BJ87" s="180"/>
      <c r="BK87" s="180"/>
      <c r="BL87" s="180"/>
      <c r="BM87" s="180"/>
    </row>
    <row r="88" spans="1:65" s="609" customFormat="1" ht="30" hidden="1" customHeight="1">
      <c r="A88" s="606"/>
      <c r="B88" s="607"/>
      <c r="C88" s="607"/>
      <c r="D88" s="608"/>
      <c r="E88" s="739" t="s">
        <v>512</v>
      </c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607"/>
      <c r="T88" s="629"/>
      <c r="U88" s="607"/>
      <c r="V88" s="607"/>
      <c r="W88" s="607"/>
      <c r="X88" s="607"/>
      <c r="Y88" s="607"/>
      <c r="Z88" s="607"/>
      <c r="AA88" s="607"/>
      <c r="AB88" s="174">
        <f t="shared" si="36"/>
        <v>0</v>
      </c>
      <c r="AC88" s="607"/>
      <c r="AD88" s="607"/>
      <c r="AE88" s="607"/>
      <c r="AF88" s="607"/>
      <c r="AG88" s="607"/>
      <c r="AH88" s="461"/>
      <c r="AI88" s="461"/>
      <c r="AJ88" s="461"/>
      <c r="AK88" s="461"/>
      <c r="AL88" s="461"/>
      <c r="AM88" s="461"/>
      <c r="AN88" s="461"/>
      <c r="AO88" s="461"/>
      <c r="AP88" s="461"/>
      <c r="AQ88" s="281"/>
      <c r="AR88" s="281"/>
      <c r="AS88" s="281"/>
      <c r="AT88" s="281"/>
      <c r="AU88" s="281"/>
      <c r="AV88" s="281"/>
      <c r="AW88" s="281"/>
      <c r="AX88" s="281"/>
      <c r="AY88" s="180"/>
      <c r="BB88" s="180"/>
      <c r="BC88" s="180"/>
      <c r="BD88" s="180"/>
      <c r="BE88" s="180"/>
      <c r="BF88" s="180"/>
      <c r="BG88" s="180"/>
      <c r="BH88" s="180"/>
      <c r="BI88" s="180"/>
      <c r="BJ88" s="180"/>
      <c r="BK88" s="180"/>
      <c r="BL88" s="180"/>
      <c r="BM88" s="180"/>
    </row>
    <row r="89" spans="1:65" s="609" customFormat="1" ht="30" hidden="1" customHeight="1">
      <c r="A89" s="620"/>
      <c r="B89" s="724"/>
      <c r="C89" s="727"/>
      <c r="D89" s="727"/>
      <c r="E89" s="615"/>
      <c r="F89" s="174"/>
      <c r="G89" s="174"/>
      <c r="H89" s="174">
        <f>F89-G89</f>
        <v>0</v>
      </c>
      <c r="I89" s="174"/>
      <c r="J89" s="174"/>
      <c r="K89" s="174">
        <f>F89-I89-J89</f>
        <v>0</v>
      </c>
      <c r="L89" s="174"/>
      <c r="M89" s="174">
        <f>J89-L89</f>
        <v>0</v>
      </c>
      <c r="N89" s="174"/>
      <c r="O89" s="174">
        <f>M89-N89</f>
        <v>0</v>
      </c>
      <c r="P89" s="174">
        <f>O89-Q89-S89</f>
        <v>0</v>
      </c>
      <c r="Q89" s="174"/>
      <c r="R89" s="174"/>
      <c r="S89" s="174"/>
      <c r="T89" s="729"/>
      <c r="U89" s="174"/>
      <c r="V89" s="174"/>
      <c r="W89" s="174"/>
      <c r="X89" s="174"/>
      <c r="Y89" s="174"/>
      <c r="Z89" s="174"/>
      <c r="AA89" s="174"/>
      <c r="AB89" s="174">
        <f t="shared" si="36"/>
        <v>0</v>
      </c>
      <c r="AC89" s="174">
        <f>O89-AB89</f>
        <v>0</v>
      </c>
      <c r="AD89" s="174"/>
      <c r="AE89" s="174">
        <f>X89-AD89-AG89</f>
        <v>0</v>
      </c>
      <c r="AF89" s="174"/>
      <c r="AG89" s="174"/>
      <c r="AH89" s="461"/>
      <c r="AI89" s="461"/>
      <c r="AJ89" s="461"/>
      <c r="AK89" s="461"/>
      <c r="AL89" s="461"/>
      <c r="AM89" s="461"/>
      <c r="AN89" s="461"/>
      <c r="AO89" s="461"/>
      <c r="AP89" s="461"/>
      <c r="AQ89" s="281"/>
      <c r="AR89" s="281"/>
      <c r="AS89" s="281"/>
      <c r="AT89" s="281"/>
      <c r="AU89" s="281"/>
      <c r="AV89" s="281"/>
      <c r="AW89" s="281"/>
      <c r="AX89" s="281"/>
      <c r="AY89" s="180"/>
      <c r="BB89" s="180"/>
      <c r="BC89" s="180"/>
      <c r="BD89" s="180"/>
      <c r="BE89" s="180"/>
      <c r="BF89" s="180"/>
      <c r="BG89" s="180"/>
      <c r="BH89" s="180"/>
      <c r="BI89" s="180"/>
      <c r="BJ89" s="180"/>
      <c r="BK89" s="180"/>
      <c r="BL89" s="180"/>
      <c r="BM89" s="180"/>
    </row>
    <row r="90" spans="1:65" s="609" customFormat="1" ht="30" hidden="1" customHeight="1">
      <c r="A90" s="618"/>
      <c r="B90" s="737"/>
      <c r="C90" s="737">
        <f>COUNT(#REF!)</f>
        <v>0</v>
      </c>
      <c r="D90" s="738"/>
      <c r="E90" s="739" t="s">
        <v>263</v>
      </c>
      <c r="F90" s="622">
        <f>SUM(F88:F89)</f>
        <v>0</v>
      </c>
      <c r="G90" s="622">
        <f t="shared" ref="G90:AF90" si="43">SUM(G88:G89)</f>
        <v>0</v>
      </c>
      <c r="H90" s="622">
        <f t="shared" si="43"/>
        <v>0</v>
      </c>
      <c r="I90" s="622">
        <f t="shared" si="43"/>
        <v>0</v>
      </c>
      <c r="J90" s="622">
        <f t="shared" si="43"/>
        <v>0</v>
      </c>
      <c r="K90" s="622">
        <f t="shared" si="43"/>
        <v>0</v>
      </c>
      <c r="L90" s="622">
        <f t="shared" si="43"/>
        <v>0</v>
      </c>
      <c r="M90" s="622">
        <f t="shared" si="43"/>
        <v>0</v>
      </c>
      <c r="N90" s="622">
        <f t="shared" si="43"/>
        <v>0</v>
      </c>
      <c r="O90" s="622">
        <f t="shared" si="43"/>
        <v>0</v>
      </c>
      <c r="P90" s="622">
        <f t="shared" si="43"/>
        <v>0</v>
      </c>
      <c r="Q90" s="622">
        <f t="shared" si="43"/>
        <v>0</v>
      </c>
      <c r="R90" s="622"/>
      <c r="S90" s="622">
        <f t="shared" si="43"/>
        <v>0</v>
      </c>
      <c r="T90" s="740"/>
      <c r="U90" s="622">
        <f t="shared" si="43"/>
        <v>0</v>
      </c>
      <c r="V90" s="622">
        <f t="shared" si="43"/>
        <v>0</v>
      </c>
      <c r="W90" s="622">
        <f t="shared" si="43"/>
        <v>0</v>
      </c>
      <c r="X90" s="622">
        <f t="shared" si="43"/>
        <v>0</v>
      </c>
      <c r="Y90" s="622"/>
      <c r="Z90" s="622"/>
      <c r="AA90" s="622"/>
      <c r="AB90" s="174">
        <f t="shared" si="36"/>
        <v>0</v>
      </c>
      <c r="AC90" s="622">
        <f t="shared" si="43"/>
        <v>0</v>
      </c>
      <c r="AD90" s="622">
        <f t="shared" si="43"/>
        <v>0</v>
      </c>
      <c r="AE90" s="622">
        <f t="shared" si="43"/>
        <v>0</v>
      </c>
      <c r="AF90" s="622">
        <f t="shared" si="43"/>
        <v>0</v>
      </c>
      <c r="AG90" s="622">
        <f>SUM(AG88:AG89)</f>
        <v>0</v>
      </c>
      <c r="AH90" s="461"/>
      <c r="AI90" s="461"/>
      <c r="AJ90" s="461"/>
      <c r="AK90" s="461"/>
      <c r="AL90" s="461"/>
      <c r="AM90" s="461"/>
      <c r="AN90" s="461"/>
      <c r="AO90" s="461"/>
      <c r="AP90" s="461"/>
      <c r="AQ90" s="281"/>
      <c r="AR90" s="281"/>
      <c r="AS90" s="281"/>
      <c r="AT90" s="281"/>
      <c r="AU90" s="281"/>
      <c r="AV90" s="281"/>
      <c r="AW90" s="281"/>
      <c r="AX90" s="281"/>
      <c r="AY90" s="180"/>
      <c r="BB90" s="180"/>
      <c r="BC90" s="180"/>
      <c r="BD90" s="180"/>
      <c r="BE90" s="180"/>
      <c r="BF90" s="180"/>
      <c r="BG90" s="180"/>
      <c r="BH90" s="180"/>
      <c r="BI90" s="180"/>
      <c r="BJ90" s="180"/>
      <c r="BK90" s="180"/>
      <c r="BL90" s="180"/>
      <c r="BM90" s="180"/>
    </row>
    <row r="91" spans="1:65" s="609" customFormat="1" ht="30" hidden="1" customHeight="1">
      <c r="A91" s="618"/>
      <c r="B91" s="737"/>
      <c r="C91" s="737"/>
      <c r="D91" s="738"/>
      <c r="E91" s="739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22"/>
      <c r="S91" s="622"/>
      <c r="T91" s="740"/>
      <c r="U91" s="622"/>
      <c r="V91" s="622"/>
      <c r="W91" s="622"/>
      <c r="X91" s="622"/>
      <c r="Y91" s="622"/>
      <c r="Z91" s="622"/>
      <c r="AA91" s="622"/>
      <c r="AB91" s="174">
        <f t="shared" si="36"/>
        <v>0</v>
      </c>
      <c r="AC91" s="174">
        <f>O91-AB91</f>
        <v>0</v>
      </c>
      <c r="AD91" s="622"/>
      <c r="AE91" s="622"/>
      <c r="AF91" s="622"/>
      <c r="AG91" s="622"/>
      <c r="AH91" s="461"/>
      <c r="AI91" s="461"/>
      <c r="AJ91" s="461"/>
      <c r="AK91" s="461"/>
      <c r="AL91" s="461"/>
      <c r="AM91" s="461"/>
      <c r="AN91" s="461"/>
      <c r="AO91" s="461"/>
      <c r="AP91" s="461"/>
      <c r="AQ91" s="281"/>
      <c r="AR91" s="281"/>
      <c r="AS91" s="281"/>
      <c r="AT91" s="281"/>
      <c r="AU91" s="281"/>
      <c r="AV91" s="281"/>
      <c r="AW91" s="281"/>
      <c r="AX91" s="281"/>
      <c r="AY91" s="180"/>
      <c r="BB91" s="180"/>
      <c r="BC91" s="180"/>
      <c r="BD91" s="180"/>
      <c r="BE91" s="180"/>
      <c r="BF91" s="180"/>
      <c r="BG91" s="180"/>
      <c r="BH91" s="180"/>
      <c r="BI91" s="180"/>
      <c r="BJ91" s="180"/>
      <c r="BK91" s="180"/>
      <c r="BL91" s="180"/>
      <c r="BM91" s="180"/>
    </row>
    <row r="92" spans="1:65" s="609" customFormat="1" ht="30" customHeight="1">
      <c r="A92" s="606"/>
      <c r="B92" s="607"/>
      <c r="C92" s="607"/>
      <c r="D92" s="608"/>
      <c r="E92" s="739" t="s">
        <v>394</v>
      </c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607"/>
      <c r="T92" s="629"/>
      <c r="U92" s="607"/>
      <c r="V92" s="607"/>
      <c r="W92" s="607"/>
      <c r="X92" s="607"/>
      <c r="Y92" s="607"/>
      <c r="Z92" s="607"/>
      <c r="AA92" s="607"/>
      <c r="AB92" s="174">
        <f t="shared" si="36"/>
        <v>0</v>
      </c>
      <c r="AC92" s="607"/>
      <c r="AD92" s="607"/>
      <c r="AE92" s="607"/>
      <c r="AF92" s="607"/>
      <c r="AG92" s="607"/>
      <c r="AH92" s="461"/>
      <c r="AI92" s="461"/>
      <c r="AJ92" s="461"/>
      <c r="AK92" s="461"/>
      <c r="AL92" s="461"/>
      <c r="AM92" s="461"/>
      <c r="AN92" s="461"/>
      <c r="AO92" s="461"/>
      <c r="AP92" s="461"/>
      <c r="AQ92" s="281"/>
      <c r="AR92" s="281"/>
      <c r="AS92" s="281"/>
      <c r="AT92" s="281"/>
      <c r="AU92" s="281"/>
      <c r="AV92" s="281"/>
      <c r="AW92" s="281"/>
      <c r="AX92" s="281"/>
      <c r="AY92" s="180"/>
      <c r="BB92" s="180"/>
      <c r="BC92" s="180"/>
      <c r="BD92" s="180"/>
      <c r="BE92" s="180"/>
      <c r="BF92" s="180"/>
      <c r="BG92" s="180"/>
      <c r="BH92" s="180"/>
      <c r="BI92" s="180"/>
      <c r="BJ92" s="180"/>
      <c r="BK92" s="180"/>
      <c r="BL92" s="180"/>
      <c r="BM92" s="180"/>
    </row>
    <row r="93" spans="1:65" s="628" customFormat="1" ht="30" customHeight="1">
      <c r="A93" s="610" t="s">
        <v>2085</v>
      </c>
      <c r="B93" s="724" t="s">
        <v>2086</v>
      </c>
      <c r="C93" s="727">
        <v>56</v>
      </c>
      <c r="D93" s="743">
        <v>2188</v>
      </c>
      <c r="E93" s="615" t="s">
        <v>671</v>
      </c>
      <c r="F93" s="174">
        <v>4328000</v>
      </c>
      <c r="G93" s="174">
        <v>2500000</v>
      </c>
      <c r="H93" s="174">
        <f>F93-G93</f>
        <v>1828000</v>
      </c>
      <c r="I93" s="174">
        <v>2000000</v>
      </c>
      <c r="J93" s="174">
        <v>2328000</v>
      </c>
      <c r="K93" s="174">
        <f>F93-I93-J93</f>
        <v>0</v>
      </c>
      <c r="L93" s="174"/>
      <c r="M93" s="174">
        <f>J93-L93</f>
        <v>2328000</v>
      </c>
      <c r="N93" s="174">
        <v>500000</v>
      </c>
      <c r="O93" s="174">
        <f>M93-N93</f>
        <v>1828000</v>
      </c>
      <c r="P93" s="174">
        <f>O93-Q93-S93</f>
        <v>0</v>
      </c>
      <c r="Q93" s="174">
        <v>-720500</v>
      </c>
      <c r="R93" s="174"/>
      <c r="S93" s="174">
        <f>3048500-500000</f>
        <v>2548500</v>
      </c>
      <c r="T93" s="729" t="s">
        <v>2132</v>
      </c>
      <c r="U93" s="174">
        <v>1828000</v>
      </c>
      <c r="V93" s="174"/>
      <c r="W93" s="174"/>
      <c r="X93" s="174"/>
      <c r="Y93" s="174"/>
      <c r="Z93" s="174"/>
      <c r="AA93" s="174"/>
      <c r="AB93" s="174">
        <f>SUM(U93:AA93)</f>
        <v>1828000</v>
      </c>
      <c r="AC93" s="174">
        <f>O93-AB93</f>
        <v>0</v>
      </c>
      <c r="AD93" s="174"/>
      <c r="AE93" s="174">
        <f>AB93-AF93-AG93-AD93</f>
        <v>-720500</v>
      </c>
      <c r="AF93" s="607"/>
      <c r="AG93" s="174">
        <v>2548500</v>
      </c>
      <c r="AH93" s="730"/>
      <c r="AI93" s="730"/>
      <c r="AJ93" s="730"/>
      <c r="AK93" s="730"/>
      <c r="AL93" s="730"/>
      <c r="AM93" s="730"/>
      <c r="AN93" s="730"/>
      <c r="AO93" s="731"/>
      <c r="AP93" s="731"/>
      <c r="AQ93" s="731"/>
      <c r="AR93" s="731"/>
      <c r="AS93" s="731"/>
      <c r="AT93" s="731"/>
      <c r="AU93" s="731"/>
      <c r="AV93" s="731"/>
      <c r="AW93" s="611"/>
      <c r="AZ93" s="611"/>
      <c r="BA93" s="611"/>
      <c r="BB93" s="611"/>
      <c r="BC93" s="611"/>
      <c r="BD93" s="611"/>
      <c r="BE93" s="611"/>
      <c r="BF93" s="611"/>
      <c r="BG93" s="611"/>
      <c r="BH93" s="611"/>
      <c r="BI93" s="611"/>
      <c r="BJ93" s="611"/>
      <c r="BK93" s="611"/>
    </row>
    <row r="94" spans="1:65" s="628" customFormat="1" ht="30" customHeight="1">
      <c r="A94" s="612"/>
      <c r="B94" s="616"/>
      <c r="C94" s="732">
        <f>COUNT(C93)</f>
        <v>1</v>
      </c>
      <c r="D94" s="733"/>
      <c r="E94" s="734" t="s">
        <v>409</v>
      </c>
      <c r="F94" s="622">
        <f t="shared" ref="F94:Q94" si="44">SUM(F93:F93)</f>
        <v>4328000</v>
      </c>
      <c r="G94" s="622">
        <f t="shared" si="44"/>
        <v>2500000</v>
      </c>
      <c r="H94" s="622">
        <f t="shared" si="44"/>
        <v>1828000</v>
      </c>
      <c r="I94" s="622">
        <f t="shared" si="44"/>
        <v>2000000</v>
      </c>
      <c r="J94" s="622">
        <f t="shared" si="44"/>
        <v>2328000</v>
      </c>
      <c r="K94" s="622">
        <f t="shared" si="44"/>
        <v>0</v>
      </c>
      <c r="L94" s="622">
        <f t="shared" si="44"/>
        <v>0</v>
      </c>
      <c r="M94" s="622">
        <f t="shared" si="44"/>
        <v>2328000</v>
      </c>
      <c r="N94" s="622">
        <f t="shared" si="44"/>
        <v>500000</v>
      </c>
      <c r="O94" s="622">
        <f t="shared" si="44"/>
        <v>1828000</v>
      </c>
      <c r="P94" s="622">
        <f t="shared" si="44"/>
        <v>0</v>
      </c>
      <c r="Q94" s="622">
        <f t="shared" si="44"/>
        <v>-720500</v>
      </c>
      <c r="R94" s="622"/>
      <c r="S94" s="622">
        <f>SUM(S93:S93)</f>
        <v>2548500</v>
      </c>
      <c r="T94" s="735"/>
      <c r="U94" s="622">
        <f t="shared" ref="U94:AG94" si="45">SUM(U93:U93)</f>
        <v>1828000</v>
      </c>
      <c r="V94" s="622">
        <f t="shared" si="45"/>
        <v>0</v>
      </c>
      <c r="W94" s="622">
        <f t="shared" si="45"/>
        <v>0</v>
      </c>
      <c r="X94" s="622">
        <f t="shared" si="45"/>
        <v>0</v>
      </c>
      <c r="Y94" s="622">
        <f t="shared" si="45"/>
        <v>0</v>
      </c>
      <c r="Z94" s="622">
        <f t="shared" si="45"/>
        <v>0</v>
      </c>
      <c r="AA94" s="622">
        <f t="shared" si="45"/>
        <v>0</v>
      </c>
      <c r="AB94" s="622">
        <f t="shared" si="45"/>
        <v>1828000</v>
      </c>
      <c r="AC94" s="622">
        <f t="shared" si="45"/>
        <v>0</v>
      </c>
      <c r="AD94" s="622">
        <f t="shared" si="45"/>
        <v>0</v>
      </c>
      <c r="AE94" s="622">
        <f t="shared" si="45"/>
        <v>-720500</v>
      </c>
      <c r="AF94" s="622">
        <f t="shared" si="45"/>
        <v>0</v>
      </c>
      <c r="AG94" s="622">
        <f t="shared" si="45"/>
        <v>2548500</v>
      </c>
      <c r="AH94" s="736"/>
      <c r="AI94" s="736"/>
      <c r="AJ94" s="736"/>
      <c r="AK94" s="736"/>
      <c r="AL94" s="736"/>
      <c r="AM94" s="736"/>
      <c r="AN94" s="736"/>
      <c r="AO94" s="736"/>
      <c r="AP94" s="736"/>
      <c r="AQ94" s="731"/>
      <c r="AR94" s="731"/>
      <c r="AS94" s="731"/>
      <c r="AT94" s="731"/>
      <c r="AU94" s="731"/>
      <c r="AV94" s="731"/>
      <c r="AW94" s="731"/>
      <c r="AX94" s="731"/>
    </row>
    <row r="95" spans="1:65" s="609" customFormat="1" ht="30" customHeight="1">
      <c r="A95" s="618"/>
      <c r="B95" s="737"/>
      <c r="C95" s="737"/>
      <c r="D95" s="738"/>
      <c r="E95" s="739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22"/>
      <c r="S95" s="622"/>
      <c r="T95" s="740"/>
      <c r="U95" s="622"/>
      <c r="V95" s="622"/>
      <c r="W95" s="622"/>
      <c r="X95" s="622"/>
      <c r="Y95" s="622"/>
      <c r="Z95" s="622"/>
      <c r="AA95" s="622"/>
      <c r="AB95" s="174">
        <f t="shared" si="36"/>
        <v>0</v>
      </c>
      <c r="AC95" s="622"/>
      <c r="AD95" s="622"/>
      <c r="AE95" s="622"/>
      <c r="AF95" s="622"/>
      <c r="AG95" s="622"/>
      <c r="AH95" s="461"/>
      <c r="AI95" s="461"/>
      <c r="AJ95" s="461"/>
      <c r="AK95" s="461"/>
      <c r="AL95" s="461"/>
      <c r="AM95" s="461"/>
      <c r="AN95" s="461"/>
      <c r="AO95" s="461"/>
      <c r="AP95" s="461"/>
      <c r="AQ95" s="281"/>
      <c r="AR95" s="281"/>
      <c r="AS95" s="281"/>
      <c r="AT95" s="281"/>
      <c r="AU95" s="281"/>
      <c r="AV95" s="281"/>
      <c r="AW95" s="281"/>
      <c r="AX95" s="281"/>
      <c r="AY95" s="180"/>
      <c r="BB95" s="180"/>
      <c r="BC95" s="180"/>
      <c r="BD95" s="180"/>
      <c r="BE95" s="180"/>
      <c r="BF95" s="180"/>
      <c r="BG95" s="180"/>
      <c r="BH95" s="180"/>
      <c r="BI95" s="180"/>
      <c r="BJ95" s="180"/>
      <c r="BK95" s="180"/>
      <c r="BL95" s="180"/>
      <c r="BM95" s="180"/>
    </row>
    <row r="96" spans="1:65" s="609" customFormat="1" ht="30" customHeight="1">
      <c r="A96" s="606"/>
      <c r="B96" s="607"/>
      <c r="C96" s="607"/>
      <c r="D96" s="608"/>
      <c r="E96" s="739" t="s">
        <v>2133</v>
      </c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607"/>
      <c r="T96" s="629"/>
      <c r="U96" s="607"/>
      <c r="V96" s="607"/>
      <c r="W96" s="607"/>
      <c r="X96" s="607"/>
      <c r="Y96" s="607"/>
      <c r="Z96" s="607"/>
      <c r="AA96" s="607"/>
      <c r="AB96" s="174">
        <f t="shared" si="36"/>
        <v>0</v>
      </c>
      <c r="AC96" s="607"/>
      <c r="AD96" s="607"/>
      <c r="AE96" s="607"/>
      <c r="AF96" s="607"/>
      <c r="AG96" s="607"/>
      <c r="AH96" s="461"/>
      <c r="AI96" s="461"/>
      <c r="AJ96" s="461"/>
      <c r="AK96" s="461"/>
      <c r="AL96" s="461"/>
      <c r="AM96" s="461"/>
      <c r="AN96" s="461"/>
      <c r="AO96" s="461"/>
      <c r="AP96" s="461"/>
      <c r="AQ96" s="281"/>
      <c r="AR96" s="281"/>
      <c r="AS96" s="281"/>
      <c r="AT96" s="281"/>
      <c r="AU96" s="281"/>
      <c r="AV96" s="281"/>
      <c r="AW96" s="281"/>
      <c r="AX96" s="281"/>
      <c r="AY96" s="180"/>
      <c r="BB96" s="180"/>
      <c r="BC96" s="180"/>
      <c r="BD96" s="180"/>
      <c r="BE96" s="180"/>
      <c r="BF96" s="180"/>
      <c r="BG96" s="180"/>
      <c r="BH96" s="180"/>
      <c r="BI96" s="180"/>
      <c r="BJ96" s="180"/>
      <c r="BK96" s="180"/>
      <c r="BL96" s="180"/>
      <c r="BM96" s="180"/>
    </row>
    <row r="97" spans="1:66" s="609" customFormat="1" ht="30" customHeight="1">
      <c r="A97" s="610" t="s">
        <v>2070</v>
      </c>
      <c r="B97" s="724" t="s">
        <v>2071</v>
      </c>
      <c r="C97" s="727">
        <v>57</v>
      </c>
      <c r="D97" s="727">
        <v>2231</v>
      </c>
      <c r="E97" s="615" t="s">
        <v>2134</v>
      </c>
      <c r="F97" s="174">
        <v>300000</v>
      </c>
      <c r="G97" s="174"/>
      <c r="H97" s="174">
        <f>F97-G97</f>
        <v>300000</v>
      </c>
      <c r="I97" s="174"/>
      <c r="J97" s="174">
        <v>300000</v>
      </c>
      <c r="K97" s="174">
        <f>F97-I97-J97</f>
        <v>0</v>
      </c>
      <c r="L97" s="174"/>
      <c r="M97" s="174">
        <f>J97</f>
        <v>300000</v>
      </c>
      <c r="N97" s="174"/>
      <c r="O97" s="174">
        <f>M97-N97</f>
        <v>300000</v>
      </c>
      <c r="P97" s="174"/>
      <c r="Q97" s="174">
        <f>O97</f>
        <v>300000</v>
      </c>
      <c r="R97" s="174"/>
      <c r="S97" s="174"/>
      <c r="T97" s="729" t="s">
        <v>2135</v>
      </c>
      <c r="U97" s="174"/>
      <c r="V97" s="174"/>
      <c r="W97" s="174">
        <v>300000</v>
      </c>
      <c r="X97" s="174"/>
      <c r="Y97" s="174"/>
      <c r="Z97" s="174"/>
      <c r="AA97" s="174"/>
      <c r="AB97" s="174">
        <f>SUM(U97:AA97)</f>
        <v>300000</v>
      </c>
      <c r="AC97" s="174">
        <f>O97-AB97</f>
        <v>0</v>
      </c>
      <c r="AD97" s="174"/>
      <c r="AE97" s="174">
        <f>AB97-AF97-AG97-AD97</f>
        <v>300000</v>
      </c>
      <c r="AF97" s="741"/>
      <c r="AG97" s="741"/>
      <c r="AH97" s="181"/>
      <c r="AI97" s="181"/>
      <c r="AJ97" s="181"/>
      <c r="AK97" s="461"/>
      <c r="AL97" s="461"/>
      <c r="AM97" s="461"/>
      <c r="AN97" s="461"/>
      <c r="AO97" s="461"/>
      <c r="AP97" s="461"/>
      <c r="AQ97" s="461"/>
      <c r="AR97" s="281"/>
      <c r="AS97" s="281"/>
      <c r="AT97" s="281"/>
      <c r="AU97" s="281"/>
      <c r="AV97" s="281"/>
      <c r="AW97" s="281"/>
      <c r="AX97" s="281"/>
      <c r="AY97" s="281"/>
      <c r="AZ97" s="180"/>
      <c r="BC97" s="180"/>
      <c r="BD97" s="180"/>
      <c r="BE97" s="180"/>
      <c r="BF97" s="180"/>
      <c r="BG97" s="180"/>
      <c r="BH97" s="180"/>
      <c r="BI97" s="180"/>
      <c r="BJ97" s="180"/>
      <c r="BK97" s="180"/>
      <c r="BL97" s="180"/>
      <c r="BM97" s="180"/>
      <c r="BN97" s="180"/>
    </row>
    <row r="98" spans="1:66" s="628" customFormat="1" ht="30" customHeight="1">
      <c r="A98" s="612"/>
      <c r="B98" s="616"/>
      <c r="C98" s="732">
        <f>COUNT(C97)</f>
        <v>1</v>
      </c>
      <c r="D98" s="733"/>
      <c r="E98" s="734" t="s">
        <v>2136</v>
      </c>
      <c r="F98" s="622">
        <f t="shared" ref="F98:Q98" si="46">SUM(F97:F97)</f>
        <v>300000</v>
      </c>
      <c r="G98" s="622">
        <f t="shared" si="46"/>
        <v>0</v>
      </c>
      <c r="H98" s="622">
        <f t="shared" si="46"/>
        <v>300000</v>
      </c>
      <c r="I98" s="622">
        <f t="shared" si="46"/>
        <v>0</v>
      </c>
      <c r="J98" s="622">
        <f t="shared" si="46"/>
        <v>300000</v>
      </c>
      <c r="K98" s="622">
        <f t="shared" si="46"/>
        <v>0</v>
      </c>
      <c r="L98" s="622">
        <f t="shared" si="46"/>
        <v>0</v>
      </c>
      <c r="M98" s="622">
        <f t="shared" si="46"/>
        <v>300000</v>
      </c>
      <c r="N98" s="622">
        <f t="shared" si="46"/>
        <v>0</v>
      </c>
      <c r="O98" s="622">
        <f t="shared" si="46"/>
        <v>300000</v>
      </c>
      <c r="P98" s="622">
        <f t="shared" si="46"/>
        <v>0</v>
      </c>
      <c r="Q98" s="622">
        <f t="shared" si="46"/>
        <v>300000</v>
      </c>
      <c r="R98" s="622"/>
      <c r="S98" s="622">
        <f>SUM(S97:S97)</f>
        <v>0</v>
      </c>
      <c r="T98" s="735"/>
      <c r="U98" s="622">
        <f t="shared" ref="U98:AG98" si="47">SUM(U97:U97)</f>
        <v>0</v>
      </c>
      <c r="V98" s="622">
        <f t="shared" si="47"/>
        <v>0</v>
      </c>
      <c r="W98" s="622">
        <f t="shared" si="47"/>
        <v>300000</v>
      </c>
      <c r="X98" s="622">
        <f t="shared" si="47"/>
        <v>0</v>
      </c>
      <c r="Y98" s="622">
        <f t="shared" si="47"/>
        <v>0</v>
      </c>
      <c r="Z98" s="622">
        <f t="shared" si="47"/>
        <v>0</v>
      </c>
      <c r="AA98" s="622">
        <f t="shared" si="47"/>
        <v>0</v>
      </c>
      <c r="AB98" s="622">
        <f t="shared" si="47"/>
        <v>300000</v>
      </c>
      <c r="AC98" s="622">
        <f t="shared" si="47"/>
        <v>0</v>
      </c>
      <c r="AD98" s="622">
        <f t="shared" si="47"/>
        <v>0</v>
      </c>
      <c r="AE98" s="622">
        <f t="shared" si="47"/>
        <v>300000</v>
      </c>
      <c r="AF98" s="622">
        <f t="shared" si="47"/>
        <v>0</v>
      </c>
      <c r="AG98" s="622">
        <f t="shared" si="47"/>
        <v>0</v>
      </c>
      <c r="AH98" s="736"/>
      <c r="AI98" s="736"/>
      <c r="AJ98" s="736"/>
      <c r="AK98" s="736"/>
      <c r="AL98" s="736"/>
      <c r="AM98" s="736"/>
      <c r="AN98" s="736"/>
      <c r="AO98" s="736"/>
      <c r="AP98" s="736"/>
      <c r="AQ98" s="731"/>
      <c r="AR98" s="731"/>
      <c r="AS98" s="731"/>
      <c r="AT98" s="731"/>
      <c r="AU98" s="731"/>
      <c r="AV98" s="731"/>
      <c r="AW98" s="731"/>
      <c r="AX98" s="731"/>
    </row>
    <row r="99" spans="1:66" s="609" customFormat="1" ht="30" customHeight="1">
      <c r="A99" s="618"/>
      <c r="B99" s="737"/>
      <c r="C99" s="737"/>
      <c r="D99" s="738"/>
      <c r="E99" s="739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22"/>
      <c r="S99" s="622"/>
      <c r="T99" s="740"/>
      <c r="U99" s="622"/>
      <c r="V99" s="622"/>
      <c r="W99" s="622"/>
      <c r="X99" s="622"/>
      <c r="Y99" s="622"/>
      <c r="Z99" s="622"/>
      <c r="AA99" s="622"/>
      <c r="AB99" s="174">
        <f t="shared" si="36"/>
        <v>0</v>
      </c>
      <c r="AC99" s="622"/>
      <c r="AD99" s="622"/>
      <c r="AE99" s="622"/>
      <c r="AF99" s="622"/>
      <c r="AG99" s="622"/>
      <c r="AH99" s="461"/>
      <c r="AI99" s="461"/>
      <c r="AJ99" s="461"/>
      <c r="AK99" s="461"/>
      <c r="AL99" s="461"/>
      <c r="AM99" s="461"/>
      <c r="AN99" s="461"/>
      <c r="AO99" s="461"/>
      <c r="AP99" s="461"/>
      <c r="AQ99" s="281"/>
      <c r="AR99" s="281"/>
      <c r="AS99" s="281"/>
      <c r="AT99" s="281"/>
      <c r="AU99" s="281"/>
      <c r="AV99" s="281"/>
      <c r="AW99" s="281"/>
      <c r="AX99" s="281"/>
      <c r="AY99" s="180"/>
      <c r="BB99" s="180"/>
      <c r="BC99" s="180"/>
      <c r="BD99" s="180"/>
      <c r="BE99" s="180"/>
      <c r="BF99" s="180"/>
      <c r="BG99" s="180"/>
      <c r="BH99" s="180"/>
      <c r="BI99" s="180"/>
      <c r="BJ99" s="180"/>
      <c r="BK99" s="180"/>
      <c r="BL99" s="180"/>
      <c r="BM99" s="180"/>
    </row>
    <row r="100" spans="1:66" s="609" customFormat="1" ht="30" hidden="1" customHeight="1">
      <c r="A100" s="620"/>
      <c r="B100" s="607"/>
      <c r="C100" s="607"/>
      <c r="D100" s="608"/>
      <c r="E100" s="739" t="s">
        <v>252</v>
      </c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607"/>
      <c r="T100" s="629"/>
      <c r="U100" s="607"/>
      <c r="V100" s="607"/>
      <c r="W100" s="607"/>
      <c r="X100" s="607"/>
      <c r="Y100" s="607"/>
      <c r="Z100" s="607"/>
      <c r="AA100" s="607"/>
      <c r="AB100" s="174">
        <f t="shared" si="36"/>
        <v>0</v>
      </c>
      <c r="AC100" s="607"/>
      <c r="AD100" s="607"/>
      <c r="AE100" s="607"/>
      <c r="AF100" s="607"/>
      <c r="AG100" s="607"/>
      <c r="AH100" s="461"/>
      <c r="AI100" s="461"/>
      <c r="AJ100" s="461"/>
      <c r="AK100" s="461"/>
      <c r="AL100" s="461"/>
      <c r="AM100" s="461"/>
      <c r="AN100" s="461"/>
      <c r="AO100" s="461"/>
      <c r="AP100" s="461"/>
      <c r="AQ100" s="281"/>
      <c r="AR100" s="281"/>
      <c r="AS100" s="281"/>
      <c r="AT100" s="281"/>
      <c r="AU100" s="281"/>
      <c r="AV100" s="281"/>
      <c r="AW100" s="281"/>
      <c r="AX100" s="281"/>
      <c r="AY100" s="180"/>
      <c r="BB100" s="180"/>
      <c r="BC100" s="180"/>
      <c r="BD100" s="180"/>
      <c r="BE100" s="180"/>
      <c r="BF100" s="180"/>
      <c r="BG100" s="180"/>
      <c r="BH100" s="180"/>
      <c r="BI100" s="180"/>
      <c r="BJ100" s="180"/>
      <c r="BK100" s="180"/>
      <c r="BL100" s="180"/>
      <c r="BM100" s="180"/>
    </row>
    <row r="101" spans="1:66" s="609" customFormat="1" ht="30" hidden="1" customHeight="1">
      <c r="A101" s="620"/>
      <c r="B101" s="724"/>
      <c r="C101" s="727"/>
      <c r="D101" s="727"/>
      <c r="E101" s="615"/>
      <c r="F101" s="174"/>
      <c r="G101" s="174"/>
      <c r="H101" s="174">
        <f>F101-G101</f>
        <v>0</v>
      </c>
      <c r="I101" s="174"/>
      <c r="J101" s="174"/>
      <c r="K101" s="174">
        <f>F101-I101-J101</f>
        <v>0</v>
      </c>
      <c r="L101" s="174"/>
      <c r="M101" s="174">
        <f>J101-L101</f>
        <v>0</v>
      </c>
      <c r="N101" s="174"/>
      <c r="O101" s="174">
        <f>M101-N101</f>
        <v>0</v>
      </c>
      <c r="P101" s="174">
        <f>O101-Q101-S101</f>
        <v>0</v>
      </c>
      <c r="Q101" s="174"/>
      <c r="R101" s="174"/>
      <c r="S101" s="174"/>
      <c r="T101" s="729"/>
      <c r="U101" s="174"/>
      <c r="V101" s="174"/>
      <c r="W101" s="174"/>
      <c r="X101" s="174"/>
      <c r="Y101" s="174"/>
      <c r="Z101" s="174"/>
      <c r="AA101" s="174"/>
      <c r="AB101" s="174">
        <f t="shared" si="36"/>
        <v>0</v>
      </c>
      <c r="AC101" s="174">
        <f>O101-AB101</f>
        <v>0</v>
      </c>
      <c r="AD101" s="174"/>
      <c r="AE101" s="174">
        <f>X101-AD101-AG101</f>
        <v>0</v>
      </c>
      <c r="AF101" s="174"/>
      <c r="AG101" s="174"/>
      <c r="AH101" s="461"/>
      <c r="AI101" s="461"/>
      <c r="AJ101" s="461"/>
      <c r="AK101" s="461"/>
      <c r="AL101" s="461"/>
      <c r="AM101" s="461"/>
      <c r="AN101" s="461"/>
      <c r="AO101" s="461"/>
      <c r="AP101" s="461"/>
      <c r="AQ101" s="281"/>
      <c r="AR101" s="281"/>
      <c r="AS101" s="281"/>
      <c r="AT101" s="281"/>
      <c r="AU101" s="281"/>
      <c r="AV101" s="281"/>
      <c r="AW101" s="281"/>
      <c r="AX101" s="281"/>
      <c r="AY101" s="180"/>
      <c r="BB101" s="180"/>
      <c r="BC101" s="180"/>
      <c r="BD101" s="180"/>
      <c r="BE101" s="180"/>
      <c r="BF101" s="180"/>
      <c r="BG101" s="180"/>
      <c r="BH101" s="180"/>
      <c r="BI101" s="180"/>
      <c r="BJ101" s="180"/>
      <c r="BK101" s="180"/>
      <c r="BL101" s="180"/>
      <c r="BM101" s="180"/>
    </row>
    <row r="102" spans="1:66" s="609" customFormat="1" ht="30" hidden="1" customHeight="1">
      <c r="A102" s="618"/>
      <c r="B102" s="737"/>
      <c r="C102" s="737">
        <f>COUNT(#REF!)</f>
        <v>0</v>
      </c>
      <c r="D102" s="738"/>
      <c r="E102" s="739" t="s">
        <v>392</v>
      </c>
      <c r="F102" s="622">
        <f>SUM(F101)</f>
        <v>0</v>
      </c>
      <c r="G102" s="622">
        <f t="shared" ref="G102:AF102" si="48">SUM(G101)</f>
        <v>0</v>
      </c>
      <c r="H102" s="622">
        <f t="shared" si="48"/>
        <v>0</v>
      </c>
      <c r="I102" s="622">
        <f t="shared" si="48"/>
        <v>0</v>
      </c>
      <c r="J102" s="622">
        <f t="shared" si="48"/>
        <v>0</v>
      </c>
      <c r="K102" s="622">
        <f t="shared" si="48"/>
        <v>0</v>
      </c>
      <c r="L102" s="622">
        <f t="shared" si="48"/>
        <v>0</v>
      </c>
      <c r="M102" s="622">
        <f t="shared" si="48"/>
        <v>0</v>
      </c>
      <c r="N102" s="622">
        <f t="shared" si="48"/>
        <v>0</v>
      </c>
      <c r="O102" s="622">
        <f t="shared" si="48"/>
        <v>0</v>
      </c>
      <c r="P102" s="622">
        <f t="shared" si="48"/>
        <v>0</v>
      </c>
      <c r="Q102" s="622">
        <f t="shared" si="48"/>
        <v>0</v>
      </c>
      <c r="R102" s="622"/>
      <c r="S102" s="622">
        <f t="shared" si="48"/>
        <v>0</v>
      </c>
      <c r="T102" s="622"/>
      <c r="U102" s="622">
        <f t="shared" si="48"/>
        <v>0</v>
      </c>
      <c r="V102" s="622">
        <f t="shared" si="48"/>
        <v>0</v>
      </c>
      <c r="W102" s="622">
        <f t="shared" si="48"/>
        <v>0</v>
      </c>
      <c r="X102" s="622">
        <f t="shared" si="48"/>
        <v>0</v>
      </c>
      <c r="Y102" s="622"/>
      <c r="Z102" s="622"/>
      <c r="AA102" s="622"/>
      <c r="AB102" s="174">
        <f t="shared" si="36"/>
        <v>0</v>
      </c>
      <c r="AC102" s="622">
        <f t="shared" si="48"/>
        <v>0</v>
      </c>
      <c r="AD102" s="622">
        <f t="shared" si="48"/>
        <v>0</v>
      </c>
      <c r="AE102" s="622">
        <f t="shared" si="48"/>
        <v>0</v>
      </c>
      <c r="AF102" s="622">
        <f t="shared" si="48"/>
        <v>0</v>
      </c>
      <c r="AG102" s="622">
        <f>SUM(AG101)</f>
        <v>0</v>
      </c>
      <c r="AH102" s="461"/>
      <c r="AI102" s="461"/>
      <c r="AJ102" s="461"/>
      <c r="AK102" s="461"/>
      <c r="AL102" s="461"/>
      <c r="AM102" s="461"/>
      <c r="AN102" s="461"/>
      <c r="AO102" s="461"/>
      <c r="AP102" s="461"/>
      <c r="AQ102" s="281"/>
      <c r="AR102" s="281"/>
      <c r="AS102" s="281"/>
      <c r="AT102" s="281"/>
      <c r="AU102" s="281"/>
      <c r="AV102" s="281"/>
      <c r="AW102" s="281"/>
      <c r="AX102" s="281"/>
      <c r="AY102" s="180"/>
      <c r="BB102" s="180"/>
      <c r="BC102" s="180"/>
      <c r="BD102" s="180"/>
      <c r="BE102" s="180"/>
      <c r="BF102" s="180"/>
      <c r="BG102" s="180"/>
      <c r="BH102" s="180"/>
      <c r="BI102" s="180"/>
      <c r="BJ102" s="180"/>
      <c r="BK102" s="180"/>
      <c r="BL102" s="180"/>
      <c r="BM102" s="180"/>
    </row>
    <row r="103" spans="1:66" s="609" customFormat="1" ht="30" hidden="1" customHeight="1">
      <c r="A103" s="620"/>
      <c r="B103" s="724"/>
      <c r="C103" s="737"/>
      <c r="D103" s="738"/>
      <c r="E103" s="739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22"/>
      <c r="S103" s="622"/>
      <c r="T103" s="740"/>
      <c r="U103" s="622"/>
      <c r="V103" s="622"/>
      <c r="W103" s="622"/>
      <c r="X103" s="622"/>
      <c r="Y103" s="622"/>
      <c r="Z103" s="622"/>
      <c r="AA103" s="622"/>
      <c r="AB103" s="174">
        <f t="shared" si="36"/>
        <v>0</v>
      </c>
      <c r="AC103" s="622"/>
      <c r="AD103" s="622"/>
      <c r="AE103" s="622"/>
      <c r="AF103" s="622"/>
      <c r="AG103" s="622"/>
      <c r="AH103" s="461"/>
      <c r="AI103" s="461"/>
      <c r="AJ103" s="461"/>
      <c r="AK103" s="461"/>
      <c r="AL103" s="461"/>
      <c r="AM103" s="461"/>
      <c r="AN103" s="461"/>
      <c r="AO103" s="461"/>
      <c r="AP103" s="461"/>
      <c r="AQ103" s="281"/>
      <c r="AR103" s="281"/>
      <c r="AS103" s="281"/>
      <c r="AT103" s="281"/>
      <c r="AU103" s="281"/>
      <c r="AV103" s="281"/>
      <c r="AW103" s="281"/>
      <c r="AX103" s="281"/>
      <c r="AY103" s="180"/>
      <c r="BB103" s="180"/>
      <c r="BC103" s="180"/>
      <c r="BD103" s="180"/>
      <c r="BE103" s="180"/>
      <c r="BF103" s="180"/>
      <c r="BG103" s="180"/>
      <c r="BH103" s="180"/>
      <c r="BI103" s="180"/>
      <c r="BJ103" s="180"/>
      <c r="BK103" s="180"/>
      <c r="BL103" s="180"/>
      <c r="BM103" s="180"/>
    </row>
    <row r="104" spans="1:66" s="749" customFormat="1" ht="30" customHeight="1">
      <c r="A104" s="621"/>
      <c r="B104" s="744" t="s">
        <v>513</v>
      </c>
      <c r="C104" s="622">
        <f>C97</f>
        <v>57</v>
      </c>
      <c r="D104" s="732"/>
      <c r="E104" s="745" t="s">
        <v>204</v>
      </c>
      <c r="F104" s="622">
        <f>F12+F25+F56+F61+F72+F78+F82+F86+F90+F94+F98+F102</f>
        <v>765458174</v>
      </c>
      <c r="G104" s="622">
        <f t="shared" ref="G104:S104" si="49">G12+G25+G56+G61+G72+G78+G82+G86+G90+G94+G98+G102</f>
        <v>693183024</v>
      </c>
      <c r="H104" s="622">
        <f t="shared" si="49"/>
        <v>72275150</v>
      </c>
      <c r="I104" s="622">
        <f t="shared" si="49"/>
        <v>379176774</v>
      </c>
      <c r="J104" s="622">
        <f t="shared" si="49"/>
        <v>163419174</v>
      </c>
      <c r="K104" s="622">
        <f t="shared" si="49"/>
        <v>222862226</v>
      </c>
      <c r="L104" s="622">
        <f t="shared" si="49"/>
        <v>2498644</v>
      </c>
      <c r="M104" s="622">
        <f t="shared" si="49"/>
        <v>160920530</v>
      </c>
      <c r="N104" s="622">
        <f t="shared" si="49"/>
        <v>137032975</v>
      </c>
      <c r="O104" s="622">
        <f t="shared" si="49"/>
        <v>23887555</v>
      </c>
      <c r="P104" s="622">
        <f t="shared" si="49"/>
        <v>19357993</v>
      </c>
      <c r="Q104" s="622">
        <f t="shared" si="49"/>
        <v>12619431</v>
      </c>
      <c r="R104" s="622">
        <f t="shared" si="49"/>
        <v>-9000000</v>
      </c>
      <c r="S104" s="622">
        <f t="shared" si="49"/>
        <v>910131</v>
      </c>
      <c r="T104" s="622"/>
      <c r="U104" s="622">
        <f t="shared" ref="U104:AB104" si="50">U12+U25+U56+U61+U72+U78+U82+U86+U90+U94+U98+U102</f>
        <v>2399304</v>
      </c>
      <c r="V104" s="622">
        <f t="shared" si="50"/>
        <v>1700000</v>
      </c>
      <c r="W104" s="622">
        <f t="shared" si="50"/>
        <v>9931356</v>
      </c>
      <c r="X104" s="622">
        <f t="shared" si="50"/>
        <v>1520000</v>
      </c>
      <c r="Y104" s="622">
        <f t="shared" si="50"/>
        <v>2850000</v>
      </c>
      <c r="Z104" s="622">
        <f t="shared" si="50"/>
        <v>-7234907</v>
      </c>
      <c r="AA104" s="622">
        <f t="shared" si="50"/>
        <v>17761802</v>
      </c>
      <c r="AB104" s="622">
        <f t="shared" si="50"/>
        <v>28927555</v>
      </c>
      <c r="AC104" s="622">
        <f>AC12+AC25+AC56+AC61+AC72+AC78+AC82+AC86+AC90+AC94+AC98+AC102</f>
        <v>-5040000</v>
      </c>
      <c r="AD104" s="622">
        <f>AD12+AD25+AD56+AD61+AD72+AD78+AD82+AD86+AD90+AD94+AD98+AD102</f>
        <v>19357993</v>
      </c>
      <c r="AE104" s="622">
        <f>AE12+AE25+AE56+AE61+AE72+AE78+AE82+AE86+AE90+AE94+AE98+AE102</f>
        <v>12619431</v>
      </c>
      <c r="AF104" s="622">
        <f>AF12+AF25+AF56+AF61+AF72+AF78+AF82+AF86+AF90+AF94+AF98+AF102</f>
        <v>-9000000</v>
      </c>
      <c r="AG104" s="622">
        <f>AG12+AG25+AG56+AG61+AG72+AG78+AG82+AG86+AG90+AG94+AG98+AG102</f>
        <v>5950131</v>
      </c>
      <c r="AH104" s="461"/>
      <c r="AI104" s="746"/>
      <c r="AJ104" s="747"/>
      <c r="AK104" s="747"/>
      <c r="AL104" s="747"/>
      <c r="AM104" s="747"/>
      <c r="AN104" s="747"/>
      <c r="AO104" s="747"/>
      <c r="AP104" s="747"/>
      <c r="AQ104" s="748"/>
      <c r="AR104" s="748"/>
      <c r="AS104" s="748"/>
      <c r="AT104" s="748"/>
      <c r="AU104" s="748"/>
      <c r="AV104" s="748"/>
      <c r="AW104" s="748"/>
      <c r="AX104" s="748"/>
      <c r="AY104" s="623"/>
      <c r="BB104" s="623"/>
      <c r="BC104" s="623"/>
      <c r="BD104" s="623"/>
      <c r="BE104" s="623"/>
      <c r="BF104" s="623"/>
      <c r="BG104" s="623"/>
      <c r="BH104" s="623"/>
      <c r="BI104" s="623"/>
      <c r="BJ104" s="623"/>
      <c r="BK104" s="623"/>
      <c r="BL104" s="623"/>
      <c r="BM104" s="623"/>
    </row>
    <row r="105" spans="1:66" s="609" customFormat="1" ht="24" thickBot="1">
      <c r="A105" s="624"/>
      <c r="B105" s="750"/>
      <c r="C105" s="737"/>
      <c r="D105" s="738"/>
      <c r="E105" s="739"/>
      <c r="F105" s="844"/>
      <c r="G105" s="844"/>
      <c r="H105" s="844"/>
      <c r="I105" s="844"/>
      <c r="J105" s="844"/>
      <c r="K105" s="844"/>
      <c r="L105" s="844"/>
      <c r="M105" s="844"/>
      <c r="N105" s="844"/>
      <c r="O105" s="844"/>
      <c r="P105" s="844"/>
      <c r="Q105" s="844"/>
      <c r="R105" s="844"/>
      <c r="S105" s="844"/>
      <c r="T105" s="845"/>
      <c r="U105" s="844"/>
      <c r="V105" s="844"/>
      <c r="W105" s="844"/>
      <c r="X105" s="844"/>
      <c r="Y105" s="844"/>
      <c r="Z105" s="844"/>
      <c r="AA105" s="844"/>
      <c r="AB105" s="844"/>
      <c r="AC105" s="844"/>
      <c r="AD105" s="844"/>
      <c r="AE105" s="844"/>
      <c r="AF105" s="844"/>
      <c r="AG105" s="844"/>
      <c r="AH105" s="461"/>
      <c r="AI105" s="461"/>
      <c r="AJ105" s="461"/>
      <c r="AK105" s="461"/>
      <c r="AL105" s="461"/>
      <c r="AM105" s="461"/>
      <c r="AN105" s="461"/>
      <c r="AO105" s="461"/>
      <c r="AP105" s="461"/>
      <c r="AQ105" s="281"/>
      <c r="AR105" s="281"/>
      <c r="AS105" s="281"/>
      <c r="AT105" s="281"/>
      <c r="AU105" s="281"/>
      <c r="AV105" s="281"/>
      <c r="AW105" s="281"/>
      <c r="AX105" s="281"/>
      <c r="AY105" s="180"/>
      <c r="BB105" s="180"/>
      <c r="BC105" s="180"/>
      <c r="BD105" s="180"/>
      <c r="BE105" s="180"/>
      <c r="BF105" s="180"/>
      <c r="BG105" s="180"/>
      <c r="BH105" s="180"/>
      <c r="BI105" s="180"/>
      <c r="BJ105" s="180"/>
      <c r="BK105" s="180"/>
      <c r="BL105" s="180"/>
      <c r="BM105" s="180"/>
    </row>
    <row r="106" spans="1:66" s="609" customFormat="1" ht="23.25" hidden="1">
      <c r="A106" s="625"/>
      <c r="B106" s="625"/>
      <c r="C106" s="625"/>
      <c r="D106" s="751"/>
      <c r="E106" s="752"/>
      <c r="F106" s="753"/>
      <c r="G106" s="753"/>
      <c r="H106" s="753"/>
      <c r="I106" s="753"/>
      <c r="J106" s="753"/>
      <c r="K106" s="753"/>
      <c r="L106" s="753"/>
      <c r="M106" s="753"/>
      <c r="N106" s="753"/>
      <c r="O106" s="753"/>
      <c r="P106" s="753"/>
      <c r="Q106" s="753"/>
      <c r="R106" s="753"/>
      <c r="S106" s="753"/>
      <c r="T106" s="754"/>
      <c r="U106" s="753"/>
      <c r="V106" s="753"/>
      <c r="W106" s="753"/>
      <c r="X106" s="753"/>
      <c r="Y106" s="753">
        <f>SUM(U104:Y104)</f>
        <v>18400660</v>
      </c>
      <c r="Z106" s="753"/>
      <c r="AA106" s="753"/>
      <c r="AB106" s="753"/>
      <c r="AC106" s="753"/>
      <c r="AD106" s="753"/>
      <c r="AE106" s="753"/>
      <c r="AF106" s="753"/>
      <c r="AG106" s="753"/>
      <c r="AH106" s="461"/>
      <c r="AI106" s="461"/>
      <c r="AJ106" s="461"/>
      <c r="AK106" s="461"/>
      <c r="AL106" s="461"/>
      <c r="AM106" s="461"/>
      <c r="AN106" s="461"/>
      <c r="AO106" s="461"/>
      <c r="AP106" s="461"/>
      <c r="AQ106" s="281"/>
      <c r="AR106" s="281"/>
      <c r="AS106" s="281"/>
      <c r="AT106" s="281"/>
      <c r="AU106" s="281"/>
      <c r="AV106" s="281"/>
      <c r="AW106" s="281"/>
      <c r="AX106" s="281"/>
      <c r="AY106" s="180"/>
      <c r="BB106" s="180"/>
      <c r="BC106" s="180"/>
      <c r="BD106" s="180"/>
      <c r="BE106" s="180"/>
      <c r="BF106" s="180"/>
      <c r="BG106" s="180"/>
      <c r="BH106" s="180"/>
      <c r="BI106" s="180"/>
      <c r="BJ106" s="180"/>
      <c r="BK106" s="180"/>
      <c r="BL106" s="180"/>
      <c r="BM106" s="180"/>
    </row>
    <row r="107" spans="1:66" s="609" customFormat="1" ht="23.25" hidden="1">
      <c r="A107" s="625"/>
      <c r="B107" s="625"/>
      <c r="C107" s="753" t="e">
        <f>#REF!</f>
        <v>#REF!</v>
      </c>
      <c r="D107" s="751"/>
      <c r="E107" s="752" t="s">
        <v>2137</v>
      </c>
      <c r="F107" s="753" t="e">
        <f>#REF!</f>
        <v>#REF!</v>
      </c>
      <c r="G107" s="753" t="e">
        <f>#REF!</f>
        <v>#REF!</v>
      </c>
      <c r="H107" s="753" t="e">
        <f>#REF!</f>
        <v>#REF!</v>
      </c>
      <c r="I107" s="753" t="e">
        <f>#REF!</f>
        <v>#REF!</v>
      </c>
      <c r="J107" s="753" t="e">
        <f>#REF!</f>
        <v>#REF!</v>
      </c>
      <c r="K107" s="753" t="e">
        <f>#REF!</f>
        <v>#REF!</v>
      </c>
      <c r="M107" s="753" t="e">
        <f>#REF!</f>
        <v>#REF!</v>
      </c>
      <c r="N107" s="753" t="e">
        <f>#REF!</f>
        <v>#REF!</v>
      </c>
      <c r="O107" s="753" t="e">
        <f>#REF!</f>
        <v>#REF!</v>
      </c>
      <c r="P107" s="753" t="e">
        <f>#REF!</f>
        <v>#REF!</v>
      </c>
      <c r="Q107" s="753" t="e">
        <f>#REF!</f>
        <v>#REF!</v>
      </c>
      <c r="R107" s="753"/>
      <c r="S107" s="753" t="e">
        <f>#REF!</f>
        <v>#REF!</v>
      </c>
      <c r="T107" s="754"/>
      <c r="U107" s="753"/>
      <c r="V107" s="753"/>
      <c r="W107" s="753"/>
      <c r="X107" s="753"/>
      <c r="Y107" s="753"/>
      <c r="Z107" s="753"/>
      <c r="AA107" s="753"/>
      <c r="AB107" s="753"/>
      <c r="AC107" s="753"/>
      <c r="AD107" s="753"/>
      <c r="AE107" s="753"/>
      <c r="AF107" s="753"/>
      <c r="AG107" s="753"/>
      <c r="AH107" s="461"/>
      <c r="AI107" s="461"/>
      <c r="AJ107" s="461"/>
      <c r="AK107" s="461"/>
      <c r="AL107" s="461"/>
      <c r="AM107" s="461"/>
      <c r="AN107" s="461"/>
      <c r="AO107" s="461"/>
      <c r="AP107" s="461"/>
      <c r="AQ107" s="281"/>
      <c r="AR107" s="281"/>
      <c r="AS107" s="281"/>
      <c r="AT107" s="281"/>
      <c r="AU107" s="281"/>
      <c r="AV107" s="281"/>
      <c r="AW107" s="281"/>
      <c r="AX107" s="281"/>
      <c r="AY107" s="180"/>
      <c r="BB107" s="180"/>
      <c r="BC107" s="180"/>
      <c r="BD107" s="180"/>
      <c r="BE107" s="180"/>
      <c r="BF107" s="180"/>
      <c r="BG107" s="180"/>
      <c r="BH107" s="180"/>
      <c r="BI107" s="180"/>
      <c r="BJ107" s="180"/>
      <c r="BK107" s="180"/>
      <c r="BL107" s="180"/>
      <c r="BM107" s="180"/>
    </row>
    <row r="108" spans="1:66" s="609" customFormat="1" ht="23.25" hidden="1">
      <c r="A108" s="625"/>
      <c r="B108" s="625"/>
      <c r="C108" s="753" t="e">
        <f>#REF!</f>
        <v>#REF!</v>
      </c>
      <c r="D108" s="751"/>
      <c r="E108" s="752" t="s">
        <v>2138</v>
      </c>
      <c r="F108" s="753" t="e">
        <f>#REF!</f>
        <v>#REF!</v>
      </c>
      <c r="G108" s="753" t="e">
        <f>#REF!</f>
        <v>#REF!</v>
      </c>
      <c r="H108" s="753" t="e">
        <f>#REF!</f>
        <v>#REF!</v>
      </c>
      <c r="I108" s="753" t="e">
        <f>#REF!</f>
        <v>#REF!</v>
      </c>
      <c r="J108" s="753" t="e">
        <f>#REF!</f>
        <v>#REF!</v>
      </c>
      <c r="K108" s="753" t="e">
        <f>#REF!</f>
        <v>#REF!</v>
      </c>
      <c r="L108" s="753"/>
      <c r="M108" s="753" t="e">
        <f>#REF!</f>
        <v>#REF!</v>
      </c>
      <c r="N108" s="753" t="e">
        <f>#REF!</f>
        <v>#REF!</v>
      </c>
      <c r="O108" s="753" t="e">
        <f>#REF!</f>
        <v>#REF!</v>
      </c>
      <c r="P108" s="753" t="e">
        <f>#REF!</f>
        <v>#REF!</v>
      </c>
      <c r="Q108" s="753" t="e">
        <f>#REF!</f>
        <v>#REF!</v>
      </c>
      <c r="R108" s="753"/>
      <c r="S108" s="753" t="e">
        <f>#REF!</f>
        <v>#REF!</v>
      </c>
      <c r="T108" s="753"/>
      <c r="U108" s="753"/>
      <c r="V108" s="753"/>
      <c r="W108" s="753"/>
      <c r="X108" s="753"/>
      <c r="Y108" s="753"/>
      <c r="Z108" s="753"/>
      <c r="AA108" s="753"/>
      <c r="AB108" s="753"/>
      <c r="AC108" s="753"/>
      <c r="AD108" s="753"/>
      <c r="AE108" s="753"/>
      <c r="AF108" s="753"/>
      <c r="AG108" s="753"/>
      <c r="AH108" s="461"/>
      <c r="AI108" s="461"/>
      <c r="AJ108" s="461"/>
      <c r="AK108" s="461"/>
      <c r="AL108" s="461"/>
      <c r="AM108" s="461"/>
      <c r="AN108" s="461"/>
      <c r="AO108" s="461"/>
      <c r="AP108" s="461"/>
      <c r="AQ108" s="281"/>
      <c r="AR108" s="281"/>
      <c r="AS108" s="281"/>
      <c r="AT108" s="281"/>
      <c r="AU108" s="281"/>
      <c r="AV108" s="281"/>
      <c r="AW108" s="281"/>
      <c r="AX108" s="281"/>
      <c r="AY108" s="180"/>
      <c r="BB108" s="180"/>
      <c r="BC108" s="180"/>
      <c r="BD108" s="180"/>
      <c r="BE108" s="180"/>
      <c r="BF108" s="180"/>
      <c r="BG108" s="180"/>
      <c r="BH108" s="180"/>
      <c r="BI108" s="180"/>
      <c r="BJ108" s="180"/>
      <c r="BK108" s="180"/>
      <c r="BL108" s="180"/>
      <c r="BM108" s="180"/>
    </row>
    <row r="109" spans="1:66" s="609" customFormat="1" ht="23.25" hidden="1">
      <c r="A109" s="625"/>
      <c r="B109" s="625"/>
      <c r="C109" s="753" t="e">
        <f>#REF!+#REF!</f>
        <v>#REF!</v>
      </c>
      <c r="D109" s="751"/>
      <c r="E109" s="752" t="s">
        <v>2139</v>
      </c>
      <c r="F109" s="753" t="e">
        <f>#REF!+#REF!</f>
        <v>#REF!</v>
      </c>
      <c r="G109" s="753" t="e">
        <f>#REF!+#REF!</f>
        <v>#REF!</v>
      </c>
      <c r="H109" s="753" t="e">
        <f>#REF!+#REF!</f>
        <v>#REF!</v>
      </c>
      <c r="I109" s="753" t="e">
        <f>#REF!+#REF!</f>
        <v>#REF!</v>
      </c>
      <c r="J109" s="753" t="e">
        <f>#REF!+#REF!</f>
        <v>#REF!</v>
      </c>
      <c r="K109" s="753" t="e">
        <f>#REF!+#REF!</f>
        <v>#REF!</v>
      </c>
      <c r="L109" s="753" t="e">
        <f>#REF!+#REF!</f>
        <v>#REF!</v>
      </c>
      <c r="M109" s="753" t="e">
        <f>#REF!+#REF!</f>
        <v>#REF!</v>
      </c>
      <c r="N109" s="753" t="e">
        <f>#REF!+#REF!</f>
        <v>#REF!</v>
      </c>
      <c r="O109" s="753" t="e">
        <f>#REF!+#REF!</f>
        <v>#REF!</v>
      </c>
      <c r="P109" s="753" t="e">
        <f>#REF!+#REF!</f>
        <v>#REF!</v>
      </c>
      <c r="Q109" s="753" t="e">
        <f>#REF!+#REF!</f>
        <v>#REF!</v>
      </c>
      <c r="R109" s="753"/>
      <c r="S109" s="753" t="e">
        <f>#REF!+#REF!</f>
        <v>#REF!</v>
      </c>
      <c r="T109" s="753"/>
      <c r="U109" s="753"/>
      <c r="V109" s="753"/>
      <c r="W109" s="753"/>
      <c r="X109" s="753"/>
      <c r="Y109" s="753"/>
      <c r="Z109" s="753"/>
      <c r="AA109" s="753"/>
      <c r="AB109" s="753"/>
      <c r="AC109" s="753"/>
      <c r="AD109" s="753"/>
      <c r="AE109" s="753"/>
      <c r="AF109" s="753"/>
      <c r="AG109" s="753"/>
      <c r="AH109" s="461"/>
      <c r="AI109" s="461"/>
      <c r="AJ109" s="461"/>
      <c r="AK109" s="461"/>
      <c r="AL109" s="461"/>
      <c r="AM109" s="461"/>
      <c r="AN109" s="461"/>
      <c r="AO109" s="461"/>
      <c r="AP109" s="461"/>
      <c r="AQ109" s="281"/>
      <c r="AR109" s="281"/>
      <c r="AS109" s="281"/>
      <c r="AT109" s="281"/>
      <c r="AU109" s="281"/>
      <c r="AV109" s="281"/>
      <c r="AW109" s="281"/>
      <c r="AX109" s="281"/>
      <c r="AY109" s="180"/>
      <c r="BB109" s="180"/>
      <c r="BC109" s="180"/>
      <c r="BD109" s="180"/>
      <c r="BE109" s="180"/>
      <c r="BF109" s="180"/>
      <c r="BG109" s="180"/>
      <c r="BH109" s="180"/>
      <c r="BI109" s="180"/>
      <c r="BJ109" s="180"/>
      <c r="BK109" s="180"/>
      <c r="BL109" s="180"/>
      <c r="BM109" s="180"/>
    </row>
    <row r="110" spans="1:66" s="609" customFormat="1" ht="23.25" hidden="1">
      <c r="A110" s="625"/>
      <c r="B110" s="625"/>
      <c r="C110" s="753" t="e">
        <f>#REF!</f>
        <v>#REF!</v>
      </c>
      <c r="D110" s="751"/>
      <c r="E110" s="752" t="s">
        <v>2140</v>
      </c>
      <c r="F110" s="753" t="e">
        <f>#REF!</f>
        <v>#REF!</v>
      </c>
      <c r="G110" s="753" t="e">
        <f>#REF!</f>
        <v>#REF!</v>
      </c>
      <c r="H110" s="753" t="e">
        <f>#REF!</f>
        <v>#REF!</v>
      </c>
      <c r="I110" s="753" t="e">
        <f>#REF!</f>
        <v>#REF!</v>
      </c>
      <c r="J110" s="753" t="e">
        <f>#REF!</f>
        <v>#REF!</v>
      </c>
      <c r="K110" s="753" t="e">
        <f>#REF!</f>
        <v>#REF!</v>
      </c>
      <c r="L110" s="753" t="e">
        <f>#REF!</f>
        <v>#REF!</v>
      </c>
      <c r="M110" s="753" t="e">
        <f>#REF!</f>
        <v>#REF!</v>
      </c>
      <c r="N110" s="753" t="e">
        <f>#REF!</f>
        <v>#REF!</v>
      </c>
      <c r="O110" s="753" t="e">
        <f>#REF!</f>
        <v>#REF!</v>
      </c>
      <c r="P110" s="753" t="e">
        <f>#REF!</f>
        <v>#REF!</v>
      </c>
      <c r="Q110" s="753" t="e">
        <f>#REF!</f>
        <v>#REF!</v>
      </c>
      <c r="R110" s="753"/>
      <c r="S110" s="753" t="e">
        <f>#REF!</f>
        <v>#REF!</v>
      </c>
      <c r="T110" s="753"/>
      <c r="U110" s="753"/>
      <c r="V110" s="753"/>
      <c r="W110" s="753"/>
      <c r="X110" s="753"/>
      <c r="Y110" s="753"/>
      <c r="Z110" s="753"/>
      <c r="AA110" s="753"/>
      <c r="AB110" s="753"/>
      <c r="AC110" s="753"/>
      <c r="AD110" s="753"/>
      <c r="AE110" s="753"/>
      <c r="AF110" s="753"/>
      <c r="AG110" s="753"/>
      <c r="AH110" s="461"/>
      <c r="AI110" s="461"/>
      <c r="AJ110" s="461"/>
      <c r="AK110" s="461"/>
      <c r="AL110" s="461"/>
      <c r="AM110" s="461"/>
      <c r="AN110" s="461"/>
      <c r="AO110" s="461"/>
      <c r="AP110" s="461"/>
      <c r="AQ110" s="281"/>
      <c r="AR110" s="281"/>
      <c r="AS110" s="281"/>
      <c r="AT110" s="281"/>
      <c r="AU110" s="281"/>
      <c r="AV110" s="281"/>
      <c r="AW110" s="281"/>
      <c r="AX110" s="281"/>
      <c r="AY110" s="180"/>
      <c r="BB110" s="180"/>
      <c r="BC110" s="180"/>
      <c r="BD110" s="180"/>
      <c r="BE110" s="180"/>
      <c r="BF110" s="180"/>
      <c r="BG110" s="180"/>
      <c r="BH110" s="180"/>
      <c r="BI110" s="180"/>
      <c r="BJ110" s="180"/>
      <c r="BK110" s="180"/>
      <c r="BL110" s="180"/>
      <c r="BM110" s="180"/>
    </row>
    <row r="111" spans="1:66" s="609" customFormat="1" ht="23.25" hidden="1">
      <c r="A111" s="625"/>
      <c r="B111" s="625"/>
      <c r="C111" s="753" t="e">
        <f>#REF!+#REF!</f>
        <v>#REF!</v>
      </c>
      <c r="D111" s="751"/>
      <c r="E111" s="752" t="s">
        <v>2141</v>
      </c>
      <c r="F111" s="753" t="e">
        <f>#REF!+#REF!</f>
        <v>#REF!</v>
      </c>
      <c r="G111" s="753" t="e">
        <f>#REF!+#REF!</f>
        <v>#REF!</v>
      </c>
      <c r="H111" s="753" t="e">
        <f>#REF!+#REF!</f>
        <v>#REF!</v>
      </c>
      <c r="I111" s="753" t="e">
        <f>#REF!+#REF!</f>
        <v>#REF!</v>
      </c>
      <c r="J111" s="753" t="e">
        <f>#REF!+#REF!</f>
        <v>#REF!</v>
      </c>
      <c r="K111" s="753" t="e">
        <f>#REF!+#REF!</f>
        <v>#REF!</v>
      </c>
      <c r="L111" s="753" t="e">
        <f>#REF!+#REF!</f>
        <v>#REF!</v>
      </c>
      <c r="M111" s="753" t="e">
        <f>#REF!+#REF!</f>
        <v>#REF!</v>
      </c>
      <c r="N111" s="753" t="e">
        <f>#REF!+#REF!</f>
        <v>#REF!</v>
      </c>
      <c r="O111" s="753" t="e">
        <f>#REF!+#REF!</f>
        <v>#REF!</v>
      </c>
      <c r="P111" s="753" t="e">
        <f>#REF!+#REF!</f>
        <v>#REF!</v>
      </c>
      <c r="Q111" s="753" t="e">
        <f>#REF!+#REF!</f>
        <v>#REF!</v>
      </c>
      <c r="R111" s="753"/>
      <c r="S111" s="753" t="e">
        <f>#REF!+#REF!</f>
        <v>#REF!</v>
      </c>
      <c r="T111" s="753"/>
      <c r="U111" s="753"/>
      <c r="V111" s="753"/>
      <c r="W111" s="753"/>
      <c r="X111" s="753"/>
      <c r="Y111" s="753"/>
      <c r="Z111" s="753"/>
      <c r="AA111" s="753"/>
      <c r="AB111" s="753"/>
      <c r="AC111" s="753"/>
      <c r="AD111" s="753"/>
      <c r="AE111" s="753"/>
      <c r="AF111" s="753"/>
      <c r="AG111" s="753"/>
      <c r="AH111" s="461"/>
      <c r="AI111" s="461"/>
      <c r="AJ111" s="461"/>
      <c r="AK111" s="461"/>
      <c r="AL111" s="461"/>
      <c r="AM111" s="461"/>
      <c r="AN111" s="461"/>
      <c r="AO111" s="461"/>
      <c r="AP111" s="461"/>
      <c r="AQ111" s="281"/>
      <c r="AR111" s="281"/>
      <c r="AS111" s="281"/>
      <c r="AT111" s="281"/>
      <c r="AU111" s="281"/>
      <c r="AV111" s="281"/>
      <c r="AW111" s="281"/>
      <c r="AX111" s="281"/>
      <c r="AY111" s="180"/>
      <c r="BB111" s="180"/>
      <c r="BC111" s="180"/>
      <c r="BD111" s="180"/>
      <c r="BE111" s="180"/>
      <c r="BF111" s="180"/>
      <c r="BG111" s="180"/>
      <c r="BH111" s="180"/>
      <c r="BI111" s="180"/>
      <c r="BJ111" s="180"/>
      <c r="BK111" s="180"/>
      <c r="BL111" s="180"/>
      <c r="BM111" s="180"/>
    </row>
    <row r="112" spans="1:66" s="609" customFormat="1" ht="23.25" hidden="1">
      <c r="A112" s="625"/>
      <c r="B112" s="625"/>
      <c r="C112" s="753" t="e">
        <f>#REF!</f>
        <v>#REF!</v>
      </c>
      <c r="D112" s="751"/>
      <c r="E112" s="752" t="s">
        <v>2142</v>
      </c>
      <c r="F112" s="753" t="e">
        <f>#REF!</f>
        <v>#REF!</v>
      </c>
      <c r="G112" s="753" t="e">
        <f>#REF!</f>
        <v>#REF!</v>
      </c>
      <c r="H112" s="753" t="e">
        <f>#REF!</f>
        <v>#REF!</v>
      </c>
      <c r="I112" s="753" t="e">
        <f>#REF!</f>
        <v>#REF!</v>
      </c>
      <c r="J112" s="753" t="e">
        <f>#REF!</f>
        <v>#REF!</v>
      </c>
      <c r="K112" s="753" t="e">
        <f>#REF!</f>
        <v>#REF!</v>
      </c>
      <c r="L112" s="753"/>
      <c r="M112" s="753" t="e">
        <f>#REF!</f>
        <v>#REF!</v>
      </c>
      <c r="N112" s="753" t="e">
        <f>#REF!</f>
        <v>#REF!</v>
      </c>
      <c r="O112" s="753" t="e">
        <f>#REF!</f>
        <v>#REF!</v>
      </c>
      <c r="P112" s="753" t="e">
        <f>#REF!</f>
        <v>#REF!</v>
      </c>
      <c r="Q112" s="753" t="e">
        <f>#REF!</f>
        <v>#REF!</v>
      </c>
      <c r="R112" s="753"/>
      <c r="S112" s="753" t="e">
        <f>#REF!</f>
        <v>#REF!</v>
      </c>
      <c r="T112" s="753"/>
      <c r="U112" s="753"/>
      <c r="V112" s="753"/>
      <c r="W112" s="753"/>
      <c r="X112" s="753"/>
      <c r="Y112" s="753"/>
      <c r="Z112" s="753"/>
      <c r="AA112" s="753"/>
      <c r="AB112" s="753"/>
      <c r="AC112" s="753"/>
      <c r="AD112" s="753"/>
      <c r="AE112" s="753"/>
      <c r="AF112" s="753"/>
      <c r="AG112" s="753"/>
      <c r="AH112" s="461"/>
      <c r="AI112" s="461"/>
      <c r="AJ112" s="461"/>
      <c r="AK112" s="461"/>
      <c r="AL112" s="461"/>
      <c r="AM112" s="461"/>
      <c r="AN112" s="461"/>
      <c r="AO112" s="461"/>
      <c r="AP112" s="461"/>
      <c r="AQ112" s="281"/>
      <c r="AR112" s="281"/>
      <c r="AS112" s="281"/>
      <c r="AT112" s="281"/>
      <c r="AU112" s="281"/>
      <c r="AV112" s="281"/>
      <c r="AW112" s="281"/>
      <c r="AX112" s="281"/>
      <c r="AY112" s="180"/>
      <c r="BB112" s="180"/>
      <c r="BC112" s="180"/>
      <c r="BD112" s="180"/>
      <c r="BE112" s="180"/>
      <c r="BF112" s="180"/>
      <c r="BG112" s="180"/>
      <c r="BH112" s="180"/>
      <c r="BI112" s="180"/>
      <c r="BJ112" s="180"/>
      <c r="BK112" s="180"/>
      <c r="BL112" s="180"/>
      <c r="BM112" s="180"/>
    </row>
    <row r="113" spans="1:65" s="609" customFormat="1" ht="23.25" hidden="1">
      <c r="A113" s="625"/>
      <c r="B113" s="625"/>
      <c r="C113" s="753" t="e">
        <f>#REF!</f>
        <v>#REF!</v>
      </c>
      <c r="D113" s="751"/>
      <c r="E113" s="752" t="s">
        <v>2143</v>
      </c>
      <c r="F113" s="753" t="e">
        <f>#REF!</f>
        <v>#REF!</v>
      </c>
      <c r="G113" s="753" t="e">
        <f>#REF!</f>
        <v>#REF!</v>
      </c>
      <c r="H113" s="753" t="e">
        <f>#REF!</f>
        <v>#REF!</v>
      </c>
      <c r="I113" s="753" t="e">
        <f>#REF!</f>
        <v>#REF!</v>
      </c>
      <c r="J113" s="753" t="e">
        <f>#REF!</f>
        <v>#REF!</v>
      </c>
      <c r="K113" s="753" t="e">
        <f>#REF!</f>
        <v>#REF!</v>
      </c>
      <c r="L113" s="753" t="e">
        <f>#REF!</f>
        <v>#REF!</v>
      </c>
      <c r="M113" s="753" t="e">
        <f>#REF!</f>
        <v>#REF!</v>
      </c>
      <c r="N113" s="753" t="e">
        <f>#REF!</f>
        <v>#REF!</v>
      </c>
      <c r="O113" s="753" t="e">
        <f>#REF!</f>
        <v>#REF!</v>
      </c>
      <c r="P113" s="753" t="e">
        <f>#REF!</f>
        <v>#REF!</v>
      </c>
      <c r="Q113" s="753" t="e">
        <f>#REF!</f>
        <v>#REF!</v>
      </c>
      <c r="R113" s="753" t="e">
        <f>#REF!</f>
        <v>#REF!</v>
      </c>
      <c r="S113" s="753" t="e">
        <f>#REF!</f>
        <v>#REF!</v>
      </c>
      <c r="T113" s="753"/>
      <c r="U113" s="753"/>
      <c r="V113" s="753"/>
      <c r="W113" s="753"/>
      <c r="X113" s="753"/>
      <c r="Y113" s="753"/>
      <c r="Z113" s="753"/>
      <c r="AA113" s="753"/>
      <c r="AB113" s="753"/>
      <c r="AC113" s="753"/>
      <c r="AD113" s="753"/>
      <c r="AE113" s="753"/>
      <c r="AF113" s="753"/>
      <c r="AG113" s="753"/>
      <c r="AH113" s="461"/>
      <c r="AI113" s="461"/>
      <c r="AJ113" s="461"/>
      <c r="AK113" s="461"/>
      <c r="AL113" s="461"/>
      <c r="AM113" s="461"/>
      <c r="AN113" s="461"/>
      <c r="AO113" s="461"/>
      <c r="AP113" s="461"/>
      <c r="AQ113" s="281"/>
      <c r="AR113" s="281"/>
      <c r="AS113" s="281"/>
      <c r="AT113" s="281"/>
      <c r="AU113" s="281"/>
      <c r="AV113" s="281"/>
      <c r="AW113" s="281"/>
      <c r="AX113" s="281"/>
      <c r="AY113" s="180"/>
      <c r="BB113" s="180"/>
      <c r="BC113" s="180"/>
      <c r="BD113" s="180"/>
      <c r="BE113" s="180"/>
      <c r="BF113" s="180"/>
      <c r="BG113" s="180"/>
      <c r="BH113" s="180"/>
      <c r="BI113" s="180"/>
      <c r="BJ113" s="180"/>
      <c r="BK113" s="180"/>
      <c r="BL113" s="180"/>
      <c r="BM113" s="180"/>
    </row>
    <row r="114" spans="1:65" s="609" customFormat="1" ht="23.25" hidden="1">
      <c r="A114" s="625"/>
      <c r="B114" s="625"/>
      <c r="C114" s="753" t="e">
        <f>#REF!</f>
        <v>#REF!</v>
      </c>
      <c r="D114" s="751"/>
      <c r="E114" s="752" t="s">
        <v>2144</v>
      </c>
      <c r="F114" s="753" t="e">
        <f>#REF!</f>
        <v>#REF!</v>
      </c>
      <c r="G114" s="753" t="e">
        <f>#REF!</f>
        <v>#REF!</v>
      </c>
      <c r="H114" s="753" t="e">
        <f>#REF!</f>
        <v>#REF!</v>
      </c>
      <c r="I114" s="753" t="e">
        <f>#REF!</f>
        <v>#REF!</v>
      </c>
      <c r="J114" s="753" t="e">
        <f>#REF!</f>
        <v>#REF!</v>
      </c>
      <c r="K114" s="753" t="e">
        <f>#REF!</f>
        <v>#REF!</v>
      </c>
      <c r="L114" s="753" t="e">
        <f>#REF!</f>
        <v>#REF!</v>
      </c>
      <c r="M114" s="753" t="e">
        <f>#REF!</f>
        <v>#REF!</v>
      </c>
      <c r="N114" s="753" t="e">
        <f>#REF!</f>
        <v>#REF!</v>
      </c>
      <c r="O114" s="753" t="e">
        <f>#REF!</f>
        <v>#REF!</v>
      </c>
      <c r="P114" s="753" t="e">
        <f>#REF!</f>
        <v>#REF!</v>
      </c>
      <c r="Q114" s="753" t="e">
        <f>#REF!</f>
        <v>#REF!</v>
      </c>
      <c r="R114" s="753" t="e">
        <f>#REF!</f>
        <v>#REF!</v>
      </c>
      <c r="S114" s="753" t="e">
        <f>#REF!</f>
        <v>#REF!</v>
      </c>
      <c r="T114" s="753"/>
      <c r="U114" s="753"/>
      <c r="V114" s="753"/>
      <c r="W114" s="753"/>
      <c r="X114" s="753"/>
      <c r="Y114" s="753"/>
      <c r="Z114" s="753"/>
      <c r="AA114" s="753"/>
      <c r="AB114" s="753"/>
      <c r="AC114" s="753"/>
      <c r="AD114" s="753"/>
      <c r="AE114" s="753"/>
      <c r="AF114" s="753"/>
      <c r="AG114" s="753"/>
      <c r="AH114" s="461"/>
      <c r="AI114" s="461"/>
      <c r="AJ114" s="461"/>
      <c r="AK114" s="461"/>
      <c r="AL114" s="461"/>
      <c r="AM114" s="461"/>
      <c r="AN114" s="461"/>
      <c r="AO114" s="461"/>
      <c r="AP114" s="461"/>
      <c r="AQ114" s="281"/>
      <c r="AR114" s="281"/>
      <c r="AS114" s="281"/>
      <c r="AT114" s="281"/>
      <c r="AU114" s="281"/>
      <c r="AV114" s="281"/>
      <c r="AW114" s="281"/>
      <c r="AX114" s="281"/>
      <c r="AY114" s="180"/>
      <c r="BB114" s="180"/>
      <c r="BC114" s="180"/>
      <c r="BD114" s="180"/>
      <c r="BE114" s="180"/>
      <c r="BF114" s="180"/>
      <c r="BG114" s="180"/>
      <c r="BH114" s="180"/>
      <c r="BI114" s="180"/>
      <c r="BJ114" s="180"/>
      <c r="BK114" s="180"/>
      <c r="BL114" s="180"/>
      <c r="BM114" s="180"/>
    </row>
    <row r="115" spans="1:65" s="760" customFormat="1" ht="23.25" hidden="1">
      <c r="A115" s="626"/>
      <c r="B115" s="626"/>
      <c r="C115" s="755" t="e">
        <f>#REF!</f>
        <v>#REF!</v>
      </c>
      <c r="D115" s="756"/>
      <c r="E115" s="757" t="s">
        <v>2145</v>
      </c>
      <c r="F115" s="755" t="e">
        <f>#REF!</f>
        <v>#REF!</v>
      </c>
      <c r="G115" s="755" t="e">
        <f>#REF!</f>
        <v>#REF!</v>
      </c>
      <c r="H115" s="755" t="e">
        <f>#REF!</f>
        <v>#REF!</v>
      </c>
      <c r="I115" s="755" t="e">
        <f>#REF!</f>
        <v>#REF!</v>
      </c>
      <c r="J115" s="755" t="e">
        <f>#REF!</f>
        <v>#REF!</v>
      </c>
      <c r="K115" s="755" t="e">
        <f>#REF!</f>
        <v>#REF!</v>
      </c>
      <c r="L115" s="755" t="e">
        <f>#REF!</f>
        <v>#REF!</v>
      </c>
      <c r="M115" s="755" t="e">
        <f>#REF!</f>
        <v>#REF!</v>
      </c>
      <c r="N115" s="755" t="e">
        <f>#REF!</f>
        <v>#REF!</v>
      </c>
      <c r="O115" s="755" t="e">
        <f>#REF!</f>
        <v>#REF!</v>
      </c>
      <c r="P115" s="755" t="e">
        <f>#REF!</f>
        <v>#REF!</v>
      </c>
      <c r="Q115" s="755" t="e">
        <f>#REF!</f>
        <v>#REF!</v>
      </c>
      <c r="R115" s="755" t="e">
        <f>#REF!</f>
        <v>#REF!</v>
      </c>
      <c r="S115" s="755" t="e">
        <f>#REF!</f>
        <v>#REF!</v>
      </c>
      <c r="T115" s="755"/>
      <c r="U115" s="755"/>
      <c r="V115" s="755"/>
      <c r="W115" s="755"/>
      <c r="X115" s="755"/>
      <c r="Y115" s="755"/>
      <c r="Z115" s="755"/>
      <c r="AA115" s="755"/>
      <c r="AB115" s="755"/>
      <c r="AC115" s="755"/>
      <c r="AD115" s="755"/>
      <c r="AE115" s="755"/>
      <c r="AF115" s="755"/>
      <c r="AG115" s="755"/>
      <c r="AH115" s="758"/>
      <c r="AI115" s="758"/>
      <c r="AJ115" s="758"/>
      <c r="AK115" s="758"/>
      <c r="AL115" s="758"/>
      <c r="AM115" s="758"/>
      <c r="AN115" s="758"/>
      <c r="AO115" s="758"/>
      <c r="AP115" s="758"/>
      <c r="AQ115" s="759"/>
      <c r="AR115" s="759"/>
      <c r="AS115" s="759"/>
      <c r="AT115" s="759"/>
      <c r="AU115" s="759"/>
      <c r="AV115" s="759"/>
      <c r="AW115" s="759"/>
      <c r="AX115" s="759"/>
      <c r="AY115" s="627"/>
      <c r="BB115" s="627"/>
      <c r="BC115" s="627"/>
      <c r="BD115" s="627"/>
      <c r="BE115" s="627"/>
      <c r="BF115" s="627"/>
      <c r="BG115" s="627"/>
      <c r="BH115" s="627"/>
      <c r="BI115" s="627"/>
      <c r="BJ115" s="627"/>
      <c r="BK115" s="627"/>
      <c r="BL115" s="627"/>
      <c r="BM115" s="627"/>
    </row>
    <row r="116" spans="1:65" s="609" customFormat="1" ht="23.25" hidden="1">
      <c r="A116" s="625"/>
      <c r="B116" s="625"/>
      <c r="C116" s="753" t="e">
        <f>SUM(C107:C115)</f>
        <v>#REF!</v>
      </c>
      <c r="D116" s="751"/>
      <c r="E116" s="752" t="s">
        <v>94</v>
      </c>
      <c r="F116" s="753" t="e">
        <f>SUM(F107:F115)</f>
        <v>#REF!</v>
      </c>
      <c r="G116" s="753" t="e">
        <f t="shared" ref="G116:S116" si="51">SUM(G107:G115)</f>
        <v>#REF!</v>
      </c>
      <c r="H116" s="753" t="e">
        <f t="shared" si="51"/>
        <v>#REF!</v>
      </c>
      <c r="I116" s="753" t="e">
        <f t="shared" si="51"/>
        <v>#REF!</v>
      </c>
      <c r="J116" s="753" t="e">
        <f t="shared" si="51"/>
        <v>#REF!</v>
      </c>
      <c r="K116" s="753" t="e">
        <f t="shared" si="51"/>
        <v>#REF!</v>
      </c>
      <c r="L116" s="753" t="e">
        <f t="shared" si="51"/>
        <v>#REF!</v>
      </c>
      <c r="M116" s="753" t="e">
        <f t="shared" si="51"/>
        <v>#REF!</v>
      </c>
      <c r="N116" s="753" t="e">
        <f t="shared" si="51"/>
        <v>#REF!</v>
      </c>
      <c r="O116" s="753" t="e">
        <f t="shared" si="51"/>
        <v>#REF!</v>
      </c>
      <c r="P116" s="753" t="e">
        <f t="shared" si="51"/>
        <v>#REF!</v>
      </c>
      <c r="Q116" s="753" t="e">
        <f t="shared" si="51"/>
        <v>#REF!</v>
      </c>
      <c r="R116" s="753" t="e">
        <f t="shared" si="51"/>
        <v>#REF!</v>
      </c>
      <c r="S116" s="753" t="e">
        <f t="shared" si="51"/>
        <v>#REF!</v>
      </c>
      <c r="T116" s="753"/>
      <c r="U116" s="753"/>
      <c r="V116" s="753"/>
      <c r="W116" s="753"/>
      <c r="X116" s="753"/>
      <c r="Y116" s="753"/>
      <c r="Z116" s="753"/>
      <c r="AA116" s="753"/>
      <c r="AB116" s="753"/>
      <c r="AC116" s="753"/>
      <c r="AD116" s="753"/>
      <c r="AE116" s="753"/>
      <c r="AF116" s="753"/>
      <c r="AG116" s="753"/>
      <c r="AH116" s="461"/>
      <c r="AI116" s="461"/>
      <c r="AJ116" s="461"/>
      <c r="AK116" s="461"/>
      <c r="AL116" s="461"/>
      <c r="AM116" s="461"/>
      <c r="AN116" s="461"/>
      <c r="AO116" s="461"/>
      <c r="AP116" s="461"/>
      <c r="AQ116" s="281"/>
      <c r="AR116" s="281"/>
      <c r="AS116" s="281"/>
      <c r="AT116" s="281"/>
      <c r="AU116" s="281"/>
      <c r="AV116" s="281"/>
      <c r="AW116" s="281"/>
      <c r="AX116" s="281"/>
      <c r="AY116" s="180"/>
      <c r="BB116" s="180"/>
      <c r="BC116" s="180"/>
      <c r="BD116" s="180"/>
      <c r="BE116" s="180"/>
      <c r="BF116" s="180"/>
      <c r="BG116" s="180"/>
      <c r="BH116" s="180"/>
      <c r="BI116" s="180"/>
      <c r="BJ116" s="180"/>
      <c r="BK116" s="180"/>
      <c r="BL116" s="180"/>
      <c r="BM116" s="180"/>
    </row>
    <row r="117" spans="1:65" s="609" customFormat="1" ht="23.25" hidden="1">
      <c r="A117" s="625"/>
      <c r="B117" s="625"/>
      <c r="C117" s="753" t="e">
        <f>C104-C116</f>
        <v>#REF!</v>
      </c>
      <c r="D117" s="751"/>
      <c r="E117" s="752" t="s">
        <v>1910</v>
      </c>
      <c r="F117" s="753" t="e">
        <f t="shared" ref="F117:S117" si="52">F104-F116</f>
        <v>#REF!</v>
      </c>
      <c r="G117" s="753" t="e">
        <f t="shared" si="52"/>
        <v>#REF!</v>
      </c>
      <c r="H117" s="753" t="e">
        <f t="shared" si="52"/>
        <v>#REF!</v>
      </c>
      <c r="I117" s="753" t="e">
        <f t="shared" si="52"/>
        <v>#REF!</v>
      </c>
      <c r="J117" s="753" t="e">
        <f t="shared" si="52"/>
        <v>#REF!</v>
      </c>
      <c r="K117" s="753" t="e">
        <f t="shared" si="52"/>
        <v>#REF!</v>
      </c>
      <c r="L117" s="753" t="e">
        <f t="shared" si="52"/>
        <v>#REF!</v>
      </c>
      <c r="M117" s="753" t="e">
        <f t="shared" si="52"/>
        <v>#REF!</v>
      </c>
      <c r="N117" s="753" t="e">
        <f t="shared" si="52"/>
        <v>#REF!</v>
      </c>
      <c r="O117" s="753" t="e">
        <f t="shared" si="52"/>
        <v>#REF!</v>
      </c>
      <c r="P117" s="753" t="e">
        <f t="shared" si="52"/>
        <v>#REF!</v>
      </c>
      <c r="Q117" s="753" t="e">
        <f t="shared" si="52"/>
        <v>#REF!</v>
      </c>
      <c r="R117" s="753"/>
      <c r="S117" s="753" t="e">
        <f t="shared" si="52"/>
        <v>#REF!</v>
      </c>
      <c r="T117" s="753"/>
      <c r="U117" s="753"/>
      <c r="V117" s="753"/>
      <c r="W117" s="753"/>
      <c r="X117" s="753"/>
      <c r="Y117" s="753"/>
      <c r="Z117" s="753"/>
      <c r="AA117" s="753"/>
      <c r="AB117" s="753"/>
      <c r="AC117" s="753"/>
      <c r="AD117" s="753"/>
      <c r="AE117" s="753"/>
      <c r="AF117" s="753"/>
      <c r="AG117" s="753"/>
      <c r="AH117" s="461"/>
      <c r="AI117" s="461"/>
      <c r="AJ117" s="461"/>
      <c r="AK117" s="461"/>
      <c r="AL117" s="461"/>
      <c r="AM117" s="461"/>
      <c r="AN117" s="461"/>
      <c r="AO117" s="461"/>
      <c r="AP117" s="461"/>
      <c r="AQ117" s="281"/>
      <c r="AR117" s="281"/>
      <c r="AS117" s="281"/>
      <c r="AT117" s="281"/>
      <c r="AU117" s="281"/>
      <c r="AV117" s="281"/>
      <c r="AW117" s="281"/>
      <c r="AX117" s="281"/>
      <c r="AY117" s="180"/>
      <c r="BB117" s="180"/>
      <c r="BC117" s="180"/>
      <c r="BD117" s="180"/>
      <c r="BE117" s="180"/>
      <c r="BF117" s="180"/>
      <c r="BG117" s="180"/>
      <c r="BH117" s="180"/>
      <c r="BI117" s="180"/>
      <c r="BJ117" s="180"/>
      <c r="BK117" s="180"/>
      <c r="BL117" s="180"/>
      <c r="BM117" s="180"/>
    </row>
    <row r="118" spans="1:65" s="609" customFormat="1" ht="23.25" hidden="1">
      <c r="A118" s="625"/>
      <c r="B118" s="625"/>
      <c r="C118" s="753"/>
      <c r="D118" s="751"/>
      <c r="E118" s="752"/>
      <c r="F118" s="753"/>
      <c r="G118" s="753"/>
      <c r="H118" s="753"/>
      <c r="I118" s="753" t="s">
        <v>2146</v>
      </c>
      <c r="J118" s="753"/>
      <c r="K118" s="753"/>
      <c r="L118" s="753"/>
      <c r="M118" s="753"/>
      <c r="N118" s="753"/>
      <c r="O118" s="753"/>
      <c r="P118" s="753"/>
      <c r="Q118" s="753"/>
      <c r="R118" s="753"/>
      <c r="S118" s="753"/>
      <c r="T118" s="753"/>
      <c r="U118" s="753"/>
      <c r="V118" s="753"/>
      <c r="W118" s="753"/>
      <c r="X118" s="753"/>
      <c r="Y118" s="753"/>
      <c r="Z118" s="753"/>
      <c r="AA118" s="753"/>
      <c r="AB118" s="753"/>
      <c r="AC118" s="753"/>
      <c r="AD118" s="753"/>
      <c r="AE118" s="753"/>
      <c r="AF118" s="753"/>
      <c r="AG118" s="753"/>
      <c r="AH118" s="461"/>
      <c r="AI118" s="461"/>
      <c r="AJ118" s="461"/>
      <c r="AK118" s="461"/>
      <c r="AL118" s="461"/>
      <c r="AM118" s="461"/>
      <c r="AN118" s="461"/>
      <c r="AO118" s="461"/>
      <c r="AP118" s="461"/>
      <c r="AQ118" s="281"/>
      <c r="AR118" s="281"/>
      <c r="AS118" s="281"/>
      <c r="AT118" s="281"/>
      <c r="AU118" s="281"/>
      <c r="AV118" s="281"/>
      <c r="AW118" s="281"/>
      <c r="AX118" s="281"/>
      <c r="AY118" s="180"/>
      <c r="BB118" s="180"/>
      <c r="BC118" s="180"/>
      <c r="BD118" s="180"/>
      <c r="BE118" s="180"/>
      <c r="BF118" s="180"/>
      <c r="BG118" s="180"/>
      <c r="BH118" s="180"/>
      <c r="BI118" s="180"/>
      <c r="BJ118" s="180"/>
      <c r="BK118" s="180"/>
      <c r="BL118" s="180"/>
      <c r="BM118" s="180"/>
    </row>
    <row r="119" spans="1:65" ht="23.25">
      <c r="C119" s="180"/>
      <c r="D119" s="716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  <c r="R119" s="180"/>
      <c r="S119" s="180"/>
      <c r="T119" s="717"/>
      <c r="U119" s="180"/>
      <c r="V119" s="180"/>
      <c r="W119" s="180"/>
      <c r="X119" s="180"/>
      <c r="Y119" s="180"/>
      <c r="Z119" s="180"/>
      <c r="AA119" s="180"/>
      <c r="AB119" s="180"/>
      <c r="AC119" s="180"/>
      <c r="AD119" s="180"/>
      <c r="AE119" s="180"/>
      <c r="AF119" s="180"/>
      <c r="AG119" s="180"/>
      <c r="AI119" s="461"/>
      <c r="AJ119" s="461"/>
      <c r="AK119" s="461"/>
      <c r="AL119" s="461"/>
      <c r="AM119" s="461"/>
      <c r="AN119" s="461"/>
      <c r="AO119" s="461"/>
      <c r="AP119" s="461"/>
      <c r="AQ119" s="281"/>
      <c r="AR119" s="281"/>
      <c r="AS119" s="281"/>
      <c r="AT119" s="281"/>
      <c r="AU119" s="281"/>
      <c r="AV119" s="281"/>
      <c r="AW119" s="281"/>
      <c r="AX119" s="281"/>
      <c r="AY119" s="180"/>
      <c r="AZ119" s="180"/>
      <c r="BA119" s="180"/>
      <c r="BB119" s="180"/>
      <c r="BC119" s="180"/>
      <c r="BD119" s="180"/>
      <c r="BE119" s="180"/>
      <c r="BF119" s="180"/>
      <c r="BG119" s="180"/>
      <c r="BH119" s="180"/>
      <c r="BI119" s="180"/>
      <c r="BJ119" s="180"/>
      <c r="BK119" s="180"/>
      <c r="BL119" s="180"/>
      <c r="BM119" s="180"/>
    </row>
    <row r="120" spans="1:65">
      <c r="AA120" s="761"/>
    </row>
  </sheetData>
  <mergeCells count="3">
    <mergeCell ref="F4:K4"/>
    <mergeCell ref="L4:S4"/>
    <mergeCell ref="AD4:AG4"/>
  </mergeCells>
  <printOptions horizontalCentered="1"/>
  <pageMargins left="0" right="0" top="1.3779527559055118" bottom="0.55118110236220474" header="0.9055118110236221" footer="0.31496062992125984"/>
  <pageSetup paperSize="9" scale="85" fitToWidth="0" fitToHeight="0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126"/>
  <sheetViews>
    <sheetView rightToLeft="1" zoomScaleNormal="100" workbookViewId="0">
      <selection activeCell="C55" sqref="C55"/>
    </sheetView>
  </sheetViews>
  <sheetFormatPr defaultColWidth="9.140625" defaultRowHeight="15"/>
  <cols>
    <col min="1" max="1" width="9.5703125" style="262" customWidth="1"/>
    <col min="2" max="2" width="48.28515625" style="170" customWidth="1"/>
    <col min="3" max="3" width="18.7109375" style="155" customWidth="1"/>
    <col min="4" max="4" width="21.5703125" style="188" customWidth="1"/>
    <col min="5" max="5" width="5" style="188" customWidth="1"/>
    <col min="6" max="6" width="29.42578125" style="188" customWidth="1"/>
    <col min="7" max="7" width="12.7109375" style="188" customWidth="1"/>
    <col min="8" max="16384" width="9.140625" style="194"/>
  </cols>
  <sheetData>
    <row r="2" spans="1:7" ht="18.75">
      <c r="A2" s="189" t="s">
        <v>295</v>
      </c>
      <c r="B2" s="322"/>
      <c r="C2" s="182"/>
      <c r="F2" s="194"/>
      <c r="G2" s="194"/>
    </row>
    <row r="3" spans="1:7" ht="18.75">
      <c r="A3" s="189" t="s">
        <v>2406</v>
      </c>
      <c r="B3" s="1"/>
      <c r="C3" s="188"/>
      <c r="F3" s="194"/>
      <c r="G3" s="194"/>
    </row>
    <row r="4" spans="1:7" ht="18.75">
      <c r="A4" s="257"/>
      <c r="B4" s="290"/>
      <c r="C4" s="257"/>
    </row>
    <row r="5" spans="1:7" ht="19.899999999999999" customHeight="1">
      <c r="A5" s="15" t="s">
        <v>1</v>
      </c>
      <c r="B5" s="15" t="s">
        <v>2</v>
      </c>
      <c r="C5" s="15" t="s">
        <v>3</v>
      </c>
    </row>
    <row r="6" spans="1:7" s="464" customFormat="1" ht="19.899999999999999" customHeight="1">
      <c r="A6" s="267">
        <v>1912</v>
      </c>
      <c r="B6" s="160" t="s">
        <v>857</v>
      </c>
      <c r="C6" s="847">
        <v>310000000</v>
      </c>
      <c r="D6" s="188"/>
      <c r="E6" s="188"/>
      <c r="F6" s="188"/>
      <c r="G6" s="188"/>
    </row>
    <row r="7" spans="1:7" s="464" customFormat="1" ht="19.899999999999999" customHeight="1">
      <c r="A7" s="267">
        <v>1909</v>
      </c>
      <c r="B7" s="160" t="s">
        <v>856</v>
      </c>
      <c r="C7" s="847">
        <v>184500000</v>
      </c>
      <c r="D7" s="188"/>
      <c r="E7" s="188"/>
      <c r="F7" s="188"/>
      <c r="G7" s="188"/>
    </row>
    <row r="8" spans="1:7" s="464" customFormat="1" ht="19.899999999999999" customHeight="1">
      <c r="A8" s="30">
        <v>1547</v>
      </c>
      <c r="B8" s="3" t="s">
        <v>526</v>
      </c>
      <c r="C8" s="4">
        <v>144000000</v>
      </c>
      <c r="D8" s="188"/>
      <c r="E8" s="188"/>
      <c r="F8" s="188"/>
      <c r="G8" s="188"/>
    </row>
    <row r="9" spans="1:7" s="464" customFormat="1" ht="19.899999999999999" customHeight="1">
      <c r="A9" s="267">
        <v>1919</v>
      </c>
      <c r="B9" s="160" t="s">
        <v>120</v>
      </c>
      <c r="C9" s="847">
        <v>135100000</v>
      </c>
      <c r="D9" s="188"/>
      <c r="E9" s="188"/>
      <c r="F9" s="188"/>
      <c r="G9" s="188"/>
    </row>
    <row r="10" spans="1:7" s="464" customFormat="1" ht="19.899999999999999" customHeight="1">
      <c r="A10" s="267">
        <v>1961</v>
      </c>
      <c r="B10" s="160" t="s">
        <v>147</v>
      </c>
      <c r="C10" s="161">
        <v>128000000</v>
      </c>
      <c r="D10" s="188"/>
      <c r="E10" s="188"/>
      <c r="F10" s="188"/>
      <c r="G10" s="188"/>
    </row>
    <row r="11" spans="1:7" s="464" customFormat="1" ht="19.899999999999999" customHeight="1">
      <c r="A11" s="267">
        <v>382</v>
      </c>
      <c r="B11" s="160" t="s">
        <v>853</v>
      </c>
      <c r="C11" s="161">
        <v>111381330</v>
      </c>
      <c r="D11" s="188"/>
      <c r="E11" s="188"/>
      <c r="F11" s="188"/>
      <c r="G11" s="188"/>
    </row>
    <row r="12" spans="1:7" s="464" customFormat="1" ht="19.899999999999999" customHeight="1">
      <c r="A12" s="160">
        <v>1312</v>
      </c>
      <c r="B12" s="160" t="s">
        <v>34</v>
      </c>
      <c r="C12" s="161">
        <v>105231000</v>
      </c>
      <c r="D12" s="188"/>
      <c r="E12" s="188"/>
      <c r="F12" s="188"/>
      <c r="G12" s="188"/>
    </row>
    <row r="13" spans="1:7" s="464" customFormat="1" ht="19.899999999999999" customHeight="1">
      <c r="A13" s="160">
        <v>1827</v>
      </c>
      <c r="B13" s="160" t="s">
        <v>855</v>
      </c>
      <c r="C13" s="161">
        <v>100000000</v>
      </c>
      <c r="D13" s="188"/>
      <c r="E13" s="188"/>
      <c r="F13" s="188"/>
      <c r="G13" s="188"/>
    </row>
    <row r="14" spans="1:7" s="464" customFormat="1" ht="19.899999999999999" customHeight="1">
      <c r="A14" s="160">
        <v>532</v>
      </c>
      <c r="B14" s="160" t="s">
        <v>75</v>
      </c>
      <c r="C14" s="161">
        <v>80090000</v>
      </c>
      <c r="D14" s="188"/>
      <c r="E14" s="188"/>
      <c r="F14" s="188"/>
      <c r="G14" s="188"/>
    </row>
    <row r="15" spans="1:7" s="464" customFormat="1" ht="19.899999999999999" customHeight="1">
      <c r="A15" s="30">
        <v>2011</v>
      </c>
      <c r="B15" s="3" t="s">
        <v>2408</v>
      </c>
      <c r="C15" s="4">
        <v>80000000</v>
      </c>
      <c r="D15" s="188"/>
      <c r="E15" s="188"/>
      <c r="F15" s="188"/>
      <c r="G15" s="188"/>
    </row>
    <row r="16" spans="1:7" s="464" customFormat="1" ht="19.899999999999999" customHeight="1">
      <c r="A16" s="267">
        <v>2201</v>
      </c>
      <c r="B16" s="160" t="s">
        <v>710</v>
      </c>
      <c r="C16" s="161">
        <v>80000000</v>
      </c>
      <c r="D16" s="188"/>
      <c r="E16" s="188"/>
      <c r="F16" s="188"/>
      <c r="G16" s="188"/>
    </row>
    <row r="17" spans="1:7" s="464" customFormat="1" ht="19.899999999999999" customHeight="1">
      <c r="A17" s="30">
        <v>2097</v>
      </c>
      <c r="B17" s="3" t="s">
        <v>332</v>
      </c>
      <c r="C17" s="4">
        <v>79000000</v>
      </c>
      <c r="D17" s="188"/>
      <c r="E17" s="188"/>
      <c r="F17" s="188"/>
      <c r="G17" s="188"/>
    </row>
    <row r="18" spans="1:7" s="464" customFormat="1" ht="19.899999999999999" customHeight="1">
      <c r="A18" s="267">
        <v>1443</v>
      </c>
      <c r="B18" s="160" t="s">
        <v>80</v>
      </c>
      <c r="C18" s="161">
        <v>78500000</v>
      </c>
      <c r="D18" s="188"/>
      <c r="E18" s="188"/>
      <c r="F18" s="188"/>
      <c r="G18" s="188"/>
    </row>
    <row r="19" spans="1:7" s="464" customFormat="1" ht="19.899999999999999" customHeight="1">
      <c r="A19" s="160">
        <v>576</v>
      </c>
      <c r="B19" s="160" t="s">
        <v>76</v>
      </c>
      <c r="C19" s="161">
        <v>76913000</v>
      </c>
      <c r="D19" s="188"/>
      <c r="E19" s="188"/>
      <c r="F19" s="188"/>
      <c r="G19" s="188"/>
    </row>
    <row r="20" spans="1:7" s="464" customFormat="1" ht="19.899999999999999" customHeight="1">
      <c r="A20" s="30">
        <v>1657</v>
      </c>
      <c r="B20" s="3" t="s">
        <v>27</v>
      </c>
      <c r="C20" s="4">
        <v>60000000</v>
      </c>
      <c r="D20" s="188"/>
      <c r="E20" s="188"/>
      <c r="F20" s="188"/>
      <c r="G20" s="188"/>
    </row>
    <row r="21" spans="1:7" s="464" customFormat="1" ht="19.899999999999999" customHeight="1">
      <c r="A21" s="267">
        <v>1834</v>
      </c>
      <c r="B21" s="160" t="s">
        <v>110</v>
      </c>
      <c r="C21" s="161">
        <v>60000000</v>
      </c>
      <c r="D21" s="188"/>
      <c r="E21" s="188"/>
      <c r="F21" s="188"/>
      <c r="G21" s="188"/>
    </row>
    <row r="22" spans="1:7" s="464" customFormat="1" ht="19.899999999999999" customHeight="1">
      <c r="A22" s="160">
        <v>1957</v>
      </c>
      <c r="B22" s="160" t="s">
        <v>325</v>
      </c>
      <c r="C22" s="161">
        <v>60000000</v>
      </c>
      <c r="D22" s="188"/>
      <c r="E22" s="188"/>
      <c r="F22" s="188"/>
      <c r="G22" s="188"/>
    </row>
    <row r="23" spans="1:7" s="464" customFormat="1" ht="19.899999999999999" customHeight="1">
      <c r="A23" s="30">
        <v>634</v>
      </c>
      <c r="B23" s="3" t="s">
        <v>430</v>
      </c>
      <c r="C23" s="4">
        <v>55650000</v>
      </c>
      <c r="D23" s="188"/>
      <c r="E23" s="188"/>
      <c r="F23" s="188"/>
      <c r="G23" s="188"/>
    </row>
    <row r="24" spans="1:7" s="464" customFormat="1" ht="19.899999999999999" customHeight="1">
      <c r="A24" s="30">
        <v>2015</v>
      </c>
      <c r="B24" s="3" t="s">
        <v>2256</v>
      </c>
      <c r="C24" s="4">
        <v>54000000</v>
      </c>
      <c r="D24" s="188"/>
      <c r="E24" s="188"/>
      <c r="F24" s="188"/>
      <c r="G24" s="188"/>
    </row>
    <row r="25" spans="1:7" s="464" customFormat="1" ht="19.899999999999999" customHeight="1">
      <c r="A25" s="3">
        <v>2151</v>
      </c>
      <c r="B25" s="3" t="s">
        <v>530</v>
      </c>
      <c r="C25" s="4">
        <v>54000000</v>
      </c>
      <c r="D25" s="188"/>
      <c r="E25" s="188"/>
      <c r="F25" s="188"/>
      <c r="G25" s="188"/>
    </row>
    <row r="26" spans="1:7" s="464" customFormat="1" ht="19.899999999999999" customHeight="1">
      <c r="A26" s="3">
        <v>1835</v>
      </c>
      <c r="B26" s="3" t="s">
        <v>432</v>
      </c>
      <c r="C26" s="4">
        <v>51500000</v>
      </c>
      <c r="D26" s="188"/>
      <c r="E26" s="188"/>
      <c r="F26" s="188"/>
      <c r="G26" s="188"/>
    </row>
    <row r="27" spans="1:7" s="464" customFormat="1" ht="19.899999999999999" customHeight="1">
      <c r="A27" s="3">
        <v>1207</v>
      </c>
      <c r="B27" s="3" t="s">
        <v>78</v>
      </c>
      <c r="C27" s="4">
        <v>50650000</v>
      </c>
      <c r="D27" s="188"/>
      <c r="E27" s="188"/>
      <c r="F27" s="188"/>
      <c r="G27" s="188"/>
    </row>
    <row r="28" spans="1:7" s="464" customFormat="1" ht="19.899999999999999" customHeight="1">
      <c r="A28" s="30">
        <v>1588</v>
      </c>
      <c r="B28" s="3" t="s">
        <v>25</v>
      </c>
      <c r="C28" s="4">
        <v>50500000</v>
      </c>
      <c r="D28" s="188"/>
      <c r="E28" s="188"/>
      <c r="F28" s="188"/>
      <c r="G28" s="188"/>
    </row>
    <row r="29" spans="1:7" s="464" customFormat="1" ht="19.899999999999999" customHeight="1">
      <c r="A29" s="267">
        <v>2209</v>
      </c>
      <c r="B29" s="160" t="s">
        <v>717</v>
      </c>
      <c r="C29" s="161">
        <v>46500000</v>
      </c>
      <c r="D29" s="188"/>
      <c r="E29" s="188"/>
      <c r="F29" s="188"/>
      <c r="G29" s="188"/>
    </row>
    <row r="30" spans="1:7" s="464" customFormat="1" ht="19.899999999999999" customHeight="1">
      <c r="A30" s="30">
        <v>1238</v>
      </c>
      <c r="B30" s="3" t="s">
        <v>2407</v>
      </c>
      <c r="C30" s="4">
        <v>40500000</v>
      </c>
      <c r="D30" s="188"/>
      <c r="E30" s="188"/>
      <c r="F30" s="188"/>
      <c r="G30" s="188"/>
    </row>
    <row r="31" spans="1:7" s="464" customFormat="1" ht="19.899999999999999" customHeight="1">
      <c r="A31" s="160">
        <v>1375</v>
      </c>
      <c r="B31" s="160" t="s">
        <v>431</v>
      </c>
      <c r="C31" s="161">
        <v>40150000</v>
      </c>
      <c r="D31" s="188"/>
      <c r="E31" s="188"/>
      <c r="F31" s="188"/>
      <c r="G31" s="188"/>
    </row>
    <row r="32" spans="1:7" s="464" customFormat="1" ht="19.899999999999999" customHeight="1">
      <c r="A32" s="30">
        <v>2185</v>
      </c>
      <c r="B32" s="3" t="s">
        <v>630</v>
      </c>
      <c r="C32" s="4">
        <v>40000000</v>
      </c>
      <c r="D32" s="188"/>
      <c r="E32" s="188"/>
      <c r="F32" s="188"/>
      <c r="G32" s="188"/>
    </row>
    <row r="33" spans="1:7" s="464" customFormat="1" ht="19.899999999999999" customHeight="1">
      <c r="A33" s="160">
        <v>2017</v>
      </c>
      <c r="B33" s="160" t="s">
        <v>2409</v>
      </c>
      <c r="C33" s="161">
        <v>37100000</v>
      </c>
      <c r="D33" s="188"/>
      <c r="E33" s="188"/>
      <c r="F33" s="188"/>
      <c r="G33" s="188"/>
    </row>
    <row r="34" spans="1:7" s="464" customFormat="1" ht="19.899999999999999" customHeight="1">
      <c r="A34" s="267">
        <v>1965</v>
      </c>
      <c r="B34" s="160" t="s">
        <v>337</v>
      </c>
      <c r="C34" s="847">
        <v>35000000</v>
      </c>
      <c r="D34" s="188"/>
      <c r="E34" s="188"/>
      <c r="F34" s="188"/>
      <c r="G34" s="188"/>
    </row>
    <row r="35" spans="1:7" s="464" customFormat="1" ht="19.899999999999999" customHeight="1">
      <c r="A35" s="267">
        <v>1911</v>
      </c>
      <c r="B35" s="160" t="s">
        <v>335</v>
      </c>
      <c r="C35" s="847">
        <v>29050000</v>
      </c>
      <c r="D35" s="188"/>
      <c r="E35" s="188"/>
      <c r="F35" s="188"/>
      <c r="G35" s="188"/>
    </row>
    <row r="36" spans="1:7" s="464" customFormat="1" ht="19.899999999999999" customHeight="1">
      <c r="A36" s="30">
        <v>1833</v>
      </c>
      <c r="B36" s="3" t="s">
        <v>118</v>
      </c>
      <c r="C36" s="4">
        <v>29000000</v>
      </c>
      <c r="D36" s="188"/>
      <c r="E36" s="188"/>
      <c r="F36" s="188"/>
      <c r="G36" s="188"/>
    </row>
    <row r="37" spans="1:7" s="464" customFormat="1" ht="19.899999999999999" customHeight="1">
      <c r="A37" s="267">
        <v>1615</v>
      </c>
      <c r="B37" s="160" t="s">
        <v>114</v>
      </c>
      <c r="C37" s="161">
        <v>27700000</v>
      </c>
      <c r="D37" s="188"/>
      <c r="E37" s="188"/>
      <c r="F37" s="188"/>
      <c r="G37" s="188"/>
    </row>
    <row r="38" spans="1:7" s="464" customFormat="1" ht="19.899999999999999" customHeight="1">
      <c r="A38" s="160">
        <v>1357</v>
      </c>
      <c r="B38" s="160" t="s">
        <v>46</v>
      </c>
      <c r="C38" s="161">
        <v>25000000</v>
      </c>
      <c r="D38" s="188"/>
      <c r="E38" s="188"/>
      <c r="F38" s="188"/>
      <c r="G38" s="188"/>
    </row>
    <row r="39" spans="1:7" s="464" customFormat="1" ht="19.899999999999999" customHeight="1">
      <c r="A39" s="267">
        <v>1960</v>
      </c>
      <c r="B39" s="160" t="s">
        <v>336</v>
      </c>
      <c r="C39" s="847">
        <v>24710000</v>
      </c>
      <c r="D39" s="188"/>
      <c r="E39" s="188"/>
      <c r="F39" s="188"/>
      <c r="G39" s="188"/>
    </row>
    <row r="40" spans="1:7" s="464" customFormat="1" ht="19.899999999999999" customHeight="1">
      <c r="A40" s="30">
        <v>2101</v>
      </c>
      <c r="B40" s="3" t="s">
        <v>854</v>
      </c>
      <c r="C40" s="4">
        <v>24200000</v>
      </c>
      <c r="D40" s="188"/>
      <c r="E40" s="188"/>
      <c r="F40" s="188"/>
      <c r="G40" s="188"/>
    </row>
    <row r="41" spans="1:7" s="464" customFormat="1" ht="19.899999999999999" customHeight="1">
      <c r="A41" s="160">
        <v>2150</v>
      </c>
      <c r="B41" s="160" t="s">
        <v>2414</v>
      </c>
      <c r="C41" s="161">
        <v>23500000</v>
      </c>
      <c r="D41" s="188"/>
      <c r="E41" s="188"/>
      <c r="F41" s="188"/>
      <c r="G41" s="188"/>
    </row>
    <row r="42" spans="1:7" s="464" customFormat="1" ht="19.899999999999999" customHeight="1">
      <c r="A42" s="160">
        <v>2196</v>
      </c>
      <c r="B42" s="160" t="s">
        <v>742</v>
      </c>
      <c r="C42" s="161">
        <v>21135000</v>
      </c>
      <c r="D42" s="188"/>
      <c r="E42" s="188"/>
      <c r="F42" s="188"/>
      <c r="G42" s="188"/>
    </row>
    <row r="43" spans="1:7" s="464" customFormat="1" ht="19.899999999999999" customHeight="1">
      <c r="A43" s="160">
        <v>2175</v>
      </c>
      <c r="B43" s="160" t="s">
        <v>627</v>
      </c>
      <c r="C43" s="161">
        <v>21000000</v>
      </c>
      <c r="D43" s="188"/>
      <c r="E43" s="188"/>
      <c r="F43" s="188"/>
      <c r="G43" s="188"/>
    </row>
    <row r="44" spans="1:7" s="464" customFormat="1" ht="19.899999999999999" customHeight="1">
      <c r="A44" s="267">
        <v>1962</v>
      </c>
      <c r="B44" s="160" t="s">
        <v>148</v>
      </c>
      <c r="C44" s="847">
        <v>20000000</v>
      </c>
      <c r="D44" s="188"/>
      <c r="E44" s="188"/>
      <c r="F44" s="188"/>
      <c r="G44" s="188"/>
    </row>
    <row r="45" spans="1:7" s="464" customFormat="1" ht="19.899999999999999" customHeight="1">
      <c r="A45" s="267">
        <v>1908</v>
      </c>
      <c r="B45" s="160" t="s">
        <v>136</v>
      </c>
      <c r="C45" s="847">
        <v>19054496</v>
      </c>
      <c r="D45" s="188"/>
      <c r="E45" s="188"/>
      <c r="F45" s="188"/>
      <c r="G45" s="188"/>
    </row>
    <row r="46" spans="1:7" s="464" customFormat="1" ht="19.899999999999999" customHeight="1">
      <c r="A46" s="160">
        <v>1322</v>
      </c>
      <c r="B46" s="160" t="s">
        <v>35</v>
      </c>
      <c r="C46" s="161">
        <v>18500000</v>
      </c>
      <c r="D46" s="188"/>
      <c r="E46" s="188"/>
      <c r="F46" s="188"/>
      <c r="G46" s="188"/>
    </row>
    <row r="47" spans="1:7" s="464" customFormat="1" ht="19.899999999999999" customHeight="1">
      <c r="A47" s="160">
        <v>20011</v>
      </c>
      <c r="B47" s="160" t="s">
        <v>1795</v>
      </c>
      <c r="C47" s="161">
        <v>18500000</v>
      </c>
      <c r="D47" s="188"/>
      <c r="E47" s="188"/>
      <c r="F47" s="188"/>
      <c r="G47" s="188"/>
    </row>
    <row r="48" spans="1:7" s="464" customFormat="1" ht="19.899999999999999" customHeight="1">
      <c r="A48" s="160">
        <v>1819</v>
      </c>
      <c r="B48" s="160" t="s">
        <v>481</v>
      </c>
      <c r="C48" s="161">
        <v>18000000</v>
      </c>
      <c r="D48" s="188"/>
      <c r="E48" s="188"/>
      <c r="F48" s="188"/>
      <c r="G48" s="188"/>
    </row>
    <row r="49" spans="1:7" s="464" customFormat="1" ht="19.899999999999999" customHeight="1">
      <c r="A49" s="3">
        <v>1670</v>
      </c>
      <c r="B49" s="3" t="s">
        <v>101</v>
      </c>
      <c r="C49" s="4">
        <v>17800000</v>
      </c>
      <c r="D49" s="188"/>
      <c r="E49" s="188"/>
      <c r="F49" s="188"/>
      <c r="G49" s="188"/>
    </row>
    <row r="50" spans="1:7" s="464" customFormat="1" ht="19.899999999999999" customHeight="1">
      <c r="A50" s="160">
        <v>2024</v>
      </c>
      <c r="B50" s="160" t="s">
        <v>329</v>
      </c>
      <c r="C50" s="161">
        <v>16300000</v>
      </c>
      <c r="D50" s="188"/>
      <c r="E50" s="188"/>
      <c r="F50" s="188"/>
      <c r="G50" s="188"/>
    </row>
    <row r="51" spans="1:7" s="464" customFormat="1" ht="19.899999999999999" customHeight="1">
      <c r="A51" s="160">
        <v>2198</v>
      </c>
      <c r="B51" s="160" t="s">
        <v>744</v>
      </c>
      <c r="C51" s="161">
        <v>16030000</v>
      </c>
      <c r="D51" s="188"/>
      <c r="E51" s="188"/>
      <c r="F51" s="188"/>
      <c r="G51" s="188"/>
    </row>
    <row r="52" spans="1:7" s="464" customFormat="1" ht="19.899999999999999" customHeight="1">
      <c r="A52" s="160">
        <v>2110</v>
      </c>
      <c r="B52" s="160" t="s">
        <v>314</v>
      </c>
      <c r="C52" s="161">
        <v>16000000</v>
      </c>
      <c r="D52" s="188"/>
      <c r="E52" s="188"/>
      <c r="F52" s="188"/>
      <c r="G52" s="188"/>
    </row>
    <row r="53" spans="1:7" s="464" customFormat="1" ht="19.899999999999999" customHeight="1">
      <c r="A53" s="30">
        <v>2152</v>
      </c>
      <c r="B53" s="160" t="s">
        <v>531</v>
      </c>
      <c r="C53" s="161">
        <v>16000000</v>
      </c>
      <c r="D53" s="188"/>
      <c r="E53" s="188"/>
      <c r="F53" s="188"/>
      <c r="G53" s="188"/>
    </row>
    <row r="54" spans="1:7" s="464" customFormat="1" ht="19.899999999999999" customHeight="1">
      <c r="A54" s="267">
        <v>2205</v>
      </c>
      <c r="B54" s="160" t="s">
        <v>647</v>
      </c>
      <c r="C54" s="161">
        <v>16000000</v>
      </c>
      <c r="D54" s="188"/>
      <c r="E54" s="188"/>
      <c r="F54" s="188"/>
      <c r="G54" s="188"/>
    </row>
    <row r="55" spans="1:7" s="464" customFormat="1" ht="19.899999999999999" customHeight="1">
      <c r="A55" s="160">
        <v>2111</v>
      </c>
      <c r="B55" s="160" t="s">
        <v>315</v>
      </c>
      <c r="C55" s="161">
        <v>15200000</v>
      </c>
      <c r="D55" s="188"/>
      <c r="E55" s="188"/>
      <c r="F55" s="188"/>
      <c r="G55" s="188"/>
    </row>
    <row r="56" spans="1:7" s="464" customFormat="1" ht="19.899999999999999" customHeight="1">
      <c r="A56" s="160">
        <v>2197</v>
      </c>
      <c r="B56" s="160" t="s">
        <v>743</v>
      </c>
      <c r="C56" s="161">
        <v>15160000</v>
      </c>
      <c r="D56" s="188"/>
      <c r="E56" s="188"/>
      <c r="F56" s="188"/>
      <c r="G56" s="188"/>
    </row>
    <row r="57" spans="1:7" s="464" customFormat="1" ht="19.899999999999999" customHeight="1">
      <c r="A57" s="160">
        <v>1539</v>
      </c>
      <c r="B57" s="160" t="s">
        <v>39</v>
      </c>
      <c r="C57" s="161">
        <v>15150000</v>
      </c>
      <c r="D57" s="188"/>
      <c r="E57" s="188"/>
      <c r="F57" s="188"/>
      <c r="G57" s="188"/>
    </row>
    <row r="58" spans="1:7" ht="19.899999999999999" hidden="1" customHeight="1">
      <c r="A58" s="30">
        <v>2106</v>
      </c>
      <c r="B58" s="160" t="s">
        <v>476</v>
      </c>
      <c r="C58" s="161">
        <v>15000000</v>
      </c>
    </row>
    <row r="59" spans="1:7" ht="19.899999999999999" hidden="1" customHeight="1">
      <c r="A59" s="160">
        <v>1882</v>
      </c>
      <c r="B59" s="160" t="s">
        <v>112</v>
      </c>
      <c r="C59" s="161">
        <v>14300000</v>
      </c>
    </row>
    <row r="60" spans="1:7" ht="19.899999999999999" hidden="1" customHeight="1">
      <c r="A60" s="160">
        <v>2022</v>
      </c>
      <c r="B60" s="160" t="s">
        <v>2410</v>
      </c>
      <c r="C60" s="161">
        <v>14000000</v>
      </c>
    </row>
    <row r="61" spans="1:7" ht="19.899999999999999" hidden="1" customHeight="1">
      <c r="A61" s="267">
        <v>2191</v>
      </c>
      <c r="B61" s="160" t="s">
        <v>737</v>
      </c>
      <c r="C61" s="161">
        <v>14000000</v>
      </c>
    </row>
    <row r="62" spans="1:7" ht="19.899999999999999" hidden="1" customHeight="1">
      <c r="A62" s="160">
        <v>2009</v>
      </c>
      <c r="B62" s="160" t="s">
        <v>267</v>
      </c>
      <c r="C62" s="161">
        <v>13700000</v>
      </c>
    </row>
    <row r="63" spans="1:7" ht="19.899999999999999" hidden="1" customHeight="1">
      <c r="A63" s="267">
        <v>2099</v>
      </c>
      <c r="B63" s="160" t="s">
        <v>333</v>
      </c>
      <c r="C63" s="161">
        <v>12000000</v>
      </c>
    </row>
    <row r="64" spans="1:7" ht="19.899999999999999" hidden="1" customHeight="1">
      <c r="A64" s="160">
        <v>2073</v>
      </c>
      <c r="B64" s="160" t="s">
        <v>2412</v>
      </c>
      <c r="C64" s="161">
        <v>11350000</v>
      </c>
    </row>
    <row r="65" spans="1:3" ht="19.899999999999999" hidden="1" customHeight="1">
      <c r="A65" s="267">
        <v>1446</v>
      </c>
      <c r="B65" s="160" t="s">
        <v>154</v>
      </c>
      <c r="C65" s="161">
        <v>11250000</v>
      </c>
    </row>
    <row r="66" spans="1:3" ht="19.899999999999999" hidden="1" customHeight="1">
      <c r="A66" s="30">
        <v>1921</v>
      </c>
      <c r="B66" s="3" t="s">
        <v>121</v>
      </c>
      <c r="C66" s="4">
        <v>9716000</v>
      </c>
    </row>
    <row r="67" spans="1:3" ht="19.899999999999999" hidden="1" customHeight="1">
      <c r="A67" s="160">
        <v>2174</v>
      </c>
      <c r="B67" s="160" t="s">
        <v>626</v>
      </c>
      <c r="C67" s="161">
        <v>9548992</v>
      </c>
    </row>
    <row r="68" spans="1:3" ht="19.899999999999999" hidden="1" customHeight="1">
      <c r="A68" s="267">
        <v>2021</v>
      </c>
      <c r="B68" s="160" t="s">
        <v>268</v>
      </c>
      <c r="C68" s="161">
        <v>8200000</v>
      </c>
    </row>
    <row r="69" spans="1:3" ht="19.899999999999999" hidden="1" customHeight="1">
      <c r="A69" s="267">
        <v>1914</v>
      </c>
      <c r="B69" s="277" t="s">
        <v>135</v>
      </c>
      <c r="C69" s="846">
        <v>8100000</v>
      </c>
    </row>
    <row r="70" spans="1:3" ht="19.899999999999999" hidden="1" customHeight="1">
      <c r="A70" s="267">
        <v>2186</v>
      </c>
      <c r="B70" s="277" t="s">
        <v>631</v>
      </c>
      <c r="C70" s="846">
        <v>8100000</v>
      </c>
    </row>
    <row r="71" spans="1:3" ht="19.899999999999999" hidden="1" customHeight="1">
      <c r="A71" s="160">
        <v>2010</v>
      </c>
      <c r="B71" s="160" t="s">
        <v>310</v>
      </c>
      <c r="C71" s="161">
        <v>8000000</v>
      </c>
    </row>
    <row r="72" spans="1:3" ht="19.899999999999999" hidden="1" customHeight="1">
      <c r="A72" s="160">
        <v>1896</v>
      </c>
      <c r="B72" s="160" t="s">
        <v>433</v>
      </c>
      <c r="C72" s="161">
        <v>7800000</v>
      </c>
    </row>
    <row r="73" spans="1:3" ht="19.899999999999999" hidden="1" customHeight="1">
      <c r="A73" s="267">
        <v>2023</v>
      </c>
      <c r="B73" s="160" t="s">
        <v>2411</v>
      </c>
      <c r="C73" s="161">
        <v>7340000</v>
      </c>
    </row>
    <row r="74" spans="1:3" ht="19.899999999999999" hidden="1" customHeight="1">
      <c r="A74" s="267">
        <v>1614</v>
      </c>
      <c r="B74" s="160" t="s">
        <v>323</v>
      </c>
      <c r="C74" s="161">
        <v>7200000</v>
      </c>
    </row>
    <row r="75" spans="1:3" ht="19.899999999999999" hidden="1" customHeight="1">
      <c r="A75" s="30">
        <v>2213</v>
      </c>
      <c r="B75" s="3" t="s">
        <v>665</v>
      </c>
      <c r="C75" s="4">
        <v>7100000</v>
      </c>
    </row>
    <row r="76" spans="1:3" ht="19.899999999999999" hidden="1" customHeight="1">
      <c r="A76" s="267"/>
      <c r="B76" s="160" t="s">
        <v>1790</v>
      </c>
      <c r="C76" s="161">
        <v>7000000</v>
      </c>
    </row>
    <row r="77" spans="1:3" ht="19.899999999999999" hidden="1" customHeight="1">
      <c r="A77" s="30"/>
      <c r="B77" s="3" t="s">
        <v>1799</v>
      </c>
      <c r="C77" s="4">
        <v>7000000</v>
      </c>
    </row>
    <row r="78" spans="1:3" ht="19.899999999999999" hidden="1" customHeight="1">
      <c r="A78" s="160">
        <v>2018</v>
      </c>
      <c r="B78" s="160" t="s">
        <v>327</v>
      </c>
      <c r="C78" s="161">
        <v>6600000</v>
      </c>
    </row>
    <row r="79" spans="1:3" ht="19.899999999999999" hidden="1" customHeight="1">
      <c r="A79" s="160">
        <v>2064</v>
      </c>
      <c r="B79" s="160" t="s">
        <v>264</v>
      </c>
      <c r="C79" s="161">
        <v>6281000</v>
      </c>
    </row>
    <row r="80" spans="1:3" ht="19.899999999999999" hidden="1" customHeight="1">
      <c r="A80" s="160">
        <v>1845</v>
      </c>
      <c r="B80" s="160" t="s">
        <v>119</v>
      </c>
      <c r="C80" s="161">
        <v>6000000</v>
      </c>
    </row>
    <row r="81" spans="1:3" ht="19.899999999999999" hidden="1" customHeight="1">
      <c r="A81" s="267">
        <v>1298</v>
      </c>
      <c r="B81" s="160" t="s">
        <v>33</v>
      </c>
      <c r="C81" s="161">
        <v>5600000</v>
      </c>
    </row>
    <row r="82" spans="1:3" ht="19.899999999999999" hidden="1" customHeight="1">
      <c r="A82" s="267">
        <v>2147</v>
      </c>
      <c r="B82" s="160" t="s">
        <v>529</v>
      </c>
      <c r="C82" s="161">
        <v>5500000</v>
      </c>
    </row>
    <row r="83" spans="1:3" ht="19.899999999999999" hidden="1" customHeight="1">
      <c r="A83" s="267">
        <v>1953</v>
      </c>
      <c r="B83" s="160" t="s">
        <v>434</v>
      </c>
      <c r="C83" s="161">
        <v>5300000</v>
      </c>
    </row>
    <row r="84" spans="1:3" ht="19.899999999999999" hidden="1" customHeight="1">
      <c r="A84" s="3">
        <v>1067</v>
      </c>
      <c r="B84" s="3" t="s">
        <v>77</v>
      </c>
      <c r="C84" s="4">
        <v>4725000</v>
      </c>
    </row>
    <row r="85" spans="1:3" ht="19.899999999999999" hidden="1" customHeight="1">
      <c r="A85" s="3">
        <v>1998</v>
      </c>
      <c r="B85" s="3" t="s">
        <v>262</v>
      </c>
      <c r="C85" s="4">
        <v>4630000</v>
      </c>
    </row>
    <row r="86" spans="1:3" ht="19.899999999999999" hidden="1" customHeight="1">
      <c r="A86" s="160">
        <v>1693</v>
      </c>
      <c r="B86" s="160" t="s">
        <v>116</v>
      </c>
      <c r="C86" s="161">
        <v>4500000</v>
      </c>
    </row>
    <row r="87" spans="1:3" ht="19.899999999999999" hidden="1" customHeight="1">
      <c r="A87" s="160">
        <v>1904</v>
      </c>
      <c r="B87" s="160" t="s">
        <v>113</v>
      </c>
      <c r="C87" s="161">
        <v>4500000</v>
      </c>
    </row>
    <row r="88" spans="1:3" ht="19.899999999999999" hidden="1" customHeight="1">
      <c r="A88" s="30">
        <v>1972</v>
      </c>
      <c r="B88" s="3" t="s">
        <v>326</v>
      </c>
      <c r="C88" s="4">
        <v>4420000</v>
      </c>
    </row>
    <row r="89" spans="1:3" ht="19.899999999999999" hidden="1" customHeight="1">
      <c r="A89" s="30">
        <v>2078</v>
      </c>
      <c r="B89" s="3" t="s">
        <v>311</v>
      </c>
      <c r="C89" s="4">
        <v>4200000</v>
      </c>
    </row>
    <row r="90" spans="1:3" ht="19.899999999999999" hidden="1" customHeight="1">
      <c r="A90" s="160">
        <v>2103</v>
      </c>
      <c r="B90" s="160" t="s">
        <v>382</v>
      </c>
      <c r="C90" s="161">
        <v>4200000</v>
      </c>
    </row>
    <row r="91" spans="1:3" ht="19.899999999999999" hidden="1" customHeight="1">
      <c r="A91" s="267">
        <v>2206</v>
      </c>
      <c r="B91" s="160" t="s">
        <v>714</v>
      </c>
      <c r="C91" s="161">
        <v>4000000</v>
      </c>
    </row>
    <row r="92" spans="1:3" ht="19.899999999999999" hidden="1" customHeight="1">
      <c r="A92" s="267">
        <v>1905</v>
      </c>
      <c r="B92" s="277" t="s">
        <v>117</v>
      </c>
      <c r="C92" s="846">
        <v>3366000</v>
      </c>
    </row>
    <row r="93" spans="1:3" ht="19.899999999999999" hidden="1" customHeight="1">
      <c r="A93" s="30">
        <v>1314</v>
      </c>
      <c r="B93" s="160" t="s">
        <v>45</v>
      </c>
      <c r="C93" s="161">
        <v>3200000</v>
      </c>
    </row>
    <row r="94" spans="1:3" ht="19.899999999999999" hidden="1" customHeight="1">
      <c r="A94" s="267">
        <v>2079</v>
      </c>
      <c r="B94" s="160" t="s">
        <v>331</v>
      </c>
      <c r="C94" s="161">
        <v>3100000</v>
      </c>
    </row>
    <row r="95" spans="1:3" ht="19.899999999999999" hidden="1" customHeight="1">
      <c r="A95" s="267">
        <v>2115</v>
      </c>
      <c r="B95" s="160" t="s">
        <v>317</v>
      </c>
      <c r="C95" s="161">
        <v>3100000</v>
      </c>
    </row>
    <row r="96" spans="1:3" ht="19.899999999999999" hidden="1" customHeight="1">
      <c r="A96" s="160">
        <v>2118</v>
      </c>
      <c r="B96" s="289" t="s">
        <v>318</v>
      </c>
      <c r="C96" s="161">
        <v>2600000</v>
      </c>
    </row>
    <row r="97" spans="1:3" ht="19.899999999999999" hidden="1" customHeight="1">
      <c r="A97" s="160">
        <v>2008</v>
      </c>
      <c r="B97" s="160" t="s">
        <v>309</v>
      </c>
      <c r="C97" s="161">
        <v>2500000</v>
      </c>
    </row>
    <row r="98" spans="1:3" ht="19.899999999999999" hidden="1" customHeight="1">
      <c r="A98" s="267">
        <v>2119</v>
      </c>
      <c r="B98" s="160" t="s">
        <v>319</v>
      </c>
      <c r="C98" s="161">
        <v>2500000</v>
      </c>
    </row>
    <row r="99" spans="1:3" ht="19.899999999999999" hidden="1" customHeight="1">
      <c r="A99" s="160">
        <v>2182</v>
      </c>
      <c r="B99" s="160" t="s">
        <v>629</v>
      </c>
      <c r="C99" s="161">
        <v>2500000</v>
      </c>
    </row>
    <row r="100" spans="1:3" ht="19.899999999999999" hidden="1" customHeight="1">
      <c r="A100" s="160">
        <v>1723</v>
      </c>
      <c r="B100" s="160" t="s">
        <v>28</v>
      </c>
      <c r="C100" s="161">
        <v>2442857</v>
      </c>
    </row>
    <row r="101" spans="1:3" ht="19.899999999999999" hidden="1" customHeight="1">
      <c r="A101" s="267">
        <v>2076</v>
      </c>
      <c r="B101" s="160" t="s">
        <v>330</v>
      </c>
      <c r="C101" s="161">
        <v>2350000</v>
      </c>
    </row>
    <row r="102" spans="1:3" ht="19.899999999999999" hidden="1" customHeight="1">
      <c r="A102" s="160">
        <v>2127</v>
      </c>
      <c r="B102" s="160" t="s">
        <v>498</v>
      </c>
      <c r="C102" s="161">
        <v>2259000</v>
      </c>
    </row>
    <row r="103" spans="1:3" ht="19.899999999999999" hidden="1" customHeight="1">
      <c r="A103" s="160">
        <v>1954</v>
      </c>
      <c r="B103" s="160" t="s">
        <v>137</v>
      </c>
      <c r="C103" s="161">
        <v>2000000</v>
      </c>
    </row>
    <row r="104" spans="1:3" ht="19.899999999999999" hidden="1" customHeight="1">
      <c r="A104" s="30">
        <v>2109</v>
      </c>
      <c r="B104" s="3" t="s">
        <v>313</v>
      </c>
      <c r="C104" s="4">
        <v>2000000</v>
      </c>
    </row>
    <row r="105" spans="1:3" ht="19.899999999999999" hidden="1" customHeight="1">
      <c r="A105" s="267">
        <v>2149</v>
      </c>
      <c r="B105" s="160" t="s">
        <v>2413</v>
      </c>
      <c r="C105" s="161">
        <v>2000000</v>
      </c>
    </row>
    <row r="106" spans="1:3" ht="19.899999999999999" hidden="1" customHeight="1">
      <c r="A106" s="267"/>
      <c r="B106" s="160" t="s">
        <v>1812</v>
      </c>
      <c r="C106" s="161">
        <v>2000000</v>
      </c>
    </row>
    <row r="107" spans="1:3" ht="19.899999999999999" hidden="1" customHeight="1">
      <c r="A107" s="160">
        <v>2126</v>
      </c>
      <c r="B107" s="160" t="s">
        <v>496</v>
      </c>
      <c r="C107" s="161">
        <v>1975000</v>
      </c>
    </row>
    <row r="108" spans="1:3" ht="19.899999999999999" hidden="1" customHeight="1">
      <c r="A108" s="160">
        <v>2102</v>
      </c>
      <c r="B108" s="160" t="s">
        <v>334</v>
      </c>
      <c r="C108" s="161">
        <v>1750000</v>
      </c>
    </row>
    <row r="109" spans="1:3" ht="19.899999999999999" hidden="1" customHeight="1">
      <c r="A109" s="160">
        <v>1773</v>
      </c>
      <c r="B109" s="160" t="s">
        <v>102</v>
      </c>
      <c r="C109" s="161">
        <v>1500000</v>
      </c>
    </row>
    <row r="110" spans="1:3" ht="19.899999999999999" hidden="1" customHeight="1">
      <c r="A110" s="160">
        <v>2002</v>
      </c>
      <c r="B110" s="160" t="s">
        <v>167</v>
      </c>
      <c r="C110" s="161">
        <v>1500000</v>
      </c>
    </row>
    <row r="111" spans="1:3" ht="19.899999999999999" hidden="1" customHeight="1">
      <c r="A111" s="160">
        <v>2153</v>
      </c>
      <c r="B111" s="289" t="s">
        <v>579</v>
      </c>
      <c r="C111" s="161">
        <v>1000000</v>
      </c>
    </row>
    <row r="112" spans="1:3" ht="19.899999999999999" hidden="1" customHeight="1">
      <c r="A112" s="30">
        <v>2180</v>
      </c>
      <c r="B112" s="160" t="s">
        <v>628</v>
      </c>
      <c r="C112" s="161">
        <v>1000000</v>
      </c>
    </row>
    <row r="113" spans="1:7" s="418" customFormat="1" ht="19.899999999999999" hidden="1" customHeight="1">
      <c r="A113" s="3">
        <v>2202</v>
      </c>
      <c r="B113" s="3" t="s">
        <v>711</v>
      </c>
      <c r="C113" s="4">
        <v>1000000</v>
      </c>
      <c r="D113" s="188"/>
      <c r="E113" s="188"/>
      <c r="F113" s="188"/>
      <c r="G113" s="188"/>
    </row>
    <row r="114" spans="1:7" ht="19.899999999999999" hidden="1" customHeight="1">
      <c r="A114" s="160">
        <v>2203</v>
      </c>
      <c r="B114" s="160" t="s">
        <v>2415</v>
      </c>
      <c r="C114" s="161">
        <v>1000000</v>
      </c>
    </row>
    <row r="115" spans="1:7" ht="19.899999999999999" hidden="1" customHeight="1">
      <c r="A115" s="160">
        <v>2220</v>
      </c>
      <c r="B115" s="160" t="s">
        <v>685</v>
      </c>
      <c r="C115" s="161">
        <v>1000000</v>
      </c>
    </row>
    <row r="116" spans="1:7" ht="19.899999999999999" hidden="1" customHeight="1">
      <c r="A116" s="267">
        <v>2204</v>
      </c>
      <c r="B116" s="160" t="s">
        <v>713</v>
      </c>
      <c r="C116" s="161">
        <v>800000</v>
      </c>
    </row>
    <row r="117" spans="1:7" ht="19.899999999999999" hidden="1" customHeight="1">
      <c r="A117" s="160">
        <v>2194</v>
      </c>
      <c r="B117" s="160" t="s">
        <v>740</v>
      </c>
      <c r="C117" s="161">
        <v>700000</v>
      </c>
    </row>
    <row r="118" spans="1:7" ht="19.899999999999999" hidden="1" customHeight="1">
      <c r="A118" s="30"/>
      <c r="B118" s="160" t="s">
        <v>2232</v>
      </c>
      <c r="C118" s="161">
        <v>700000</v>
      </c>
    </row>
    <row r="119" spans="1:7" ht="19.899999999999999" hidden="1" customHeight="1">
      <c r="A119" s="160">
        <v>2130</v>
      </c>
      <c r="B119" s="160" t="s">
        <v>525</v>
      </c>
      <c r="C119" s="161">
        <v>500000</v>
      </c>
    </row>
    <row r="120" spans="1:7" ht="19.899999999999999" hidden="1" customHeight="1">
      <c r="A120" s="267">
        <v>2207</v>
      </c>
      <c r="B120" s="160" t="s">
        <v>715</v>
      </c>
      <c r="C120" s="161">
        <v>500000</v>
      </c>
    </row>
    <row r="121" spans="1:7" ht="19.899999999999999" hidden="1" customHeight="1">
      <c r="A121" s="160">
        <v>2208</v>
      </c>
      <c r="B121" s="160" t="s">
        <v>716</v>
      </c>
      <c r="C121" s="161">
        <v>500000</v>
      </c>
    </row>
    <row r="122" spans="1:7" ht="19.899999999999999" hidden="1" customHeight="1">
      <c r="A122" s="30"/>
      <c r="B122" s="160" t="s">
        <v>1804</v>
      </c>
      <c r="C122" s="161">
        <v>500000</v>
      </c>
    </row>
    <row r="123" spans="1:7" ht="19.899999999999999" hidden="1" customHeight="1">
      <c r="A123" s="160"/>
      <c r="B123" s="160" t="s">
        <v>2233</v>
      </c>
      <c r="C123" s="161">
        <v>500000</v>
      </c>
    </row>
    <row r="124" spans="1:7" ht="19.899999999999999" hidden="1" customHeight="1">
      <c r="A124" s="267"/>
      <c r="B124" s="160" t="s">
        <v>1808</v>
      </c>
      <c r="C124" s="161">
        <v>200000</v>
      </c>
    </row>
    <row r="125" spans="1:7" ht="19.899999999999999" hidden="1" customHeight="1">
      <c r="A125" s="30"/>
      <c r="B125" s="160" t="s">
        <v>2230</v>
      </c>
      <c r="C125" s="161">
        <v>150000</v>
      </c>
    </row>
    <row r="126" spans="1:7" s="464" customFormat="1" ht="19.899999999999999" hidden="1" customHeight="1">
      <c r="A126" s="267"/>
      <c r="B126" s="160"/>
      <c r="C126" s="847">
        <f>SUM(C6:C125)</f>
        <v>3217108675</v>
      </c>
      <c r="D126" s="188"/>
      <c r="E126" s="188"/>
      <c r="F126" s="188"/>
      <c r="G126" s="188"/>
    </row>
  </sheetData>
  <sortState ref="A6:G125">
    <sortCondition descending="1" ref="C6:C125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P20"/>
  <sheetViews>
    <sheetView showZeros="0" rightToLeft="1" workbookViewId="0">
      <selection activeCell="C55" sqref="C55"/>
    </sheetView>
  </sheetViews>
  <sheetFormatPr defaultColWidth="9.140625" defaultRowHeight="14.25"/>
  <cols>
    <col min="1" max="3" width="4.140625" style="87" customWidth="1"/>
    <col min="4" max="4" width="33" style="87" customWidth="1"/>
    <col min="5" max="8" width="12.140625" style="87" customWidth="1"/>
    <col min="9" max="9" width="7.85546875" style="87" customWidth="1"/>
    <col min="10" max="10" width="9.140625" style="87" hidden="1" customWidth="1"/>
    <col min="11" max="16384" width="9.140625" style="87"/>
  </cols>
  <sheetData>
    <row r="5" spans="1:16" ht="15.75">
      <c r="A5" s="89">
        <v>3.4</v>
      </c>
      <c r="C5" s="89" t="s">
        <v>649</v>
      </c>
    </row>
    <row r="6" spans="1:16" ht="16.5" thickBot="1">
      <c r="A6" s="89"/>
      <c r="H6" s="89"/>
      <c r="I6" s="89"/>
      <c r="J6" s="89"/>
      <c r="K6" s="89"/>
      <c r="N6" s="89"/>
      <c r="O6" s="89"/>
      <c r="P6" s="89"/>
    </row>
    <row r="7" spans="1:16" ht="20.100000000000001" customHeight="1">
      <c r="A7" s="89"/>
      <c r="C7" s="108" t="s">
        <v>650</v>
      </c>
      <c r="D7" s="109"/>
      <c r="E7" s="110"/>
      <c r="F7" s="111" t="s">
        <v>1893</v>
      </c>
      <c r="G7" s="112" t="s">
        <v>2304</v>
      </c>
      <c r="N7" s="89"/>
      <c r="O7" s="89"/>
      <c r="P7" s="89"/>
    </row>
    <row r="8" spans="1:16" ht="20.100000000000001" customHeight="1">
      <c r="A8" s="89"/>
      <c r="C8" s="113" t="s">
        <v>414</v>
      </c>
      <c r="D8" s="114"/>
      <c r="E8" s="115"/>
      <c r="F8" s="116">
        <f>'ריכוז אגפים'!$S7/1000</f>
        <v>9580</v>
      </c>
      <c r="G8" s="117">
        <v>18930</v>
      </c>
      <c r="J8" s="248">
        <f t="shared" ref="J8:J16" si="0">F8/$F$17</f>
        <v>2.0169716755235937E-2</v>
      </c>
      <c r="N8" s="89"/>
      <c r="O8" s="89"/>
      <c r="P8" s="89"/>
    </row>
    <row r="9" spans="1:16" ht="20.100000000000001" customHeight="1">
      <c r="A9" s="89"/>
      <c r="C9" s="113" t="s">
        <v>208</v>
      </c>
      <c r="D9" s="119"/>
      <c r="E9" s="115"/>
      <c r="F9" s="116">
        <f>'ריכוז אגפים'!$S8/1000</f>
        <v>347501.46899999998</v>
      </c>
      <c r="G9" s="117">
        <v>316092.03899999999</v>
      </c>
      <c r="J9" s="248">
        <f t="shared" si="0"/>
        <v>0.73162903984951988</v>
      </c>
      <c r="N9" s="89"/>
      <c r="O9" s="89"/>
      <c r="P9" s="89"/>
    </row>
    <row r="10" spans="1:16" ht="20.100000000000001" customHeight="1">
      <c r="A10" s="89"/>
      <c r="C10" s="113" t="s">
        <v>1137</v>
      </c>
      <c r="D10" s="114"/>
      <c r="E10" s="115"/>
      <c r="F10" s="116">
        <f>'ריכוז אגפים'!$S9/1000</f>
        <v>84296.766000000003</v>
      </c>
      <c r="G10" s="117">
        <f>67581.3+27235+1776.275</f>
        <v>96592.574999999997</v>
      </c>
      <c r="J10" s="248">
        <f t="shared" si="0"/>
        <v>0.1774782769939878</v>
      </c>
      <c r="N10" s="89"/>
      <c r="O10" s="89"/>
      <c r="P10" s="89"/>
    </row>
    <row r="11" spans="1:16" ht="20.100000000000001" customHeight="1">
      <c r="A11" s="89"/>
      <c r="C11" s="113" t="s">
        <v>168</v>
      </c>
      <c r="D11" s="119"/>
      <c r="E11" s="115"/>
      <c r="F11" s="116">
        <f>'ריכוז אגפים'!$S10/1000</f>
        <v>6216</v>
      </c>
      <c r="G11" s="117">
        <v>6320</v>
      </c>
      <c r="J11" s="248">
        <f t="shared" si="0"/>
        <v>1.3087156508407785E-2</v>
      </c>
      <c r="N11" s="89"/>
      <c r="O11" s="89"/>
      <c r="P11" s="89"/>
    </row>
    <row r="12" spans="1:16" ht="20.100000000000001" customHeight="1">
      <c r="A12" s="89"/>
      <c r="C12" s="113" t="s">
        <v>381</v>
      </c>
      <c r="D12" s="119"/>
      <c r="E12" s="115"/>
      <c r="F12" s="116">
        <f>'ריכוז אגפים'!$S11/1000</f>
        <v>2970</v>
      </c>
      <c r="G12" s="117">
        <v>2570</v>
      </c>
      <c r="J12" s="248">
        <f t="shared" si="0"/>
        <v>6.2530332738048779E-3</v>
      </c>
      <c r="N12" s="89"/>
      <c r="O12" s="89"/>
      <c r="P12" s="89"/>
    </row>
    <row r="13" spans="1:16" ht="20.100000000000001" customHeight="1">
      <c r="A13" s="89"/>
      <c r="C13" s="113" t="s">
        <v>93</v>
      </c>
      <c r="D13" s="114"/>
      <c r="E13" s="115"/>
      <c r="F13" s="116">
        <f>'ריכוז אגפים'!$S12/1000</f>
        <v>410</v>
      </c>
      <c r="G13" s="117">
        <v>1000</v>
      </c>
      <c r="J13" s="248">
        <f t="shared" si="0"/>
        <v>8.6321334756228954E-4</v>
      </c>
      <c r="N13" s="89"/>
      <c r="O13" s="89"/>
      <c r="P13" s="89"/>
    </row>
    <row r="14" spans="1:16" ht="20.100000000000001" customHeight="1">
      <c r="A14" s="89"/>
      <c r="C14" s="120" t="s">
        <v>288</v>
      </c>
      <c r="D14" s="121"/>
      <c r="E14" s="122"/>
      <c r="F14" s="116">
        <f>'ריכוז אגפים'!$S13/1000</f>
        <v>14650</v>
      </c>
      <c r="G14" s="117">
        <v>8450</v>
      </c>
      <c r="J14" s="248">
        <f t="shared" si="0"/>
        <v>3.0844086687286689E-2</v>
      </c>
      <c r="M14" s="123"/>
      <c r="N14" s="89"/>
      <c r="O14" s="89"/>
      <c r="P14" s="89"/>
    </row>
    <row r="15" spans="1:16" ht="20.100000000000001" customHeight="1">
      <c r="A15" s="89"/>
      <c r="C15" s="113" t="s">
        <v>393</v>
      </c>
      <c r="D15" s="114"/>
      <c r="E15" s="115"/>
      <c r="F15" s="116">
        <f>'ריכוז אגפים'!$S14/1000</f>
        <v>1090</v>
      </c>
      <c r="G15" s="117">
        <v>2040</v>
      </c>
      <c r="J15" s="248">
        <f t="shared" si="0"/>
        <v>2.2948842654704773E-3</v>
      </c>
      <c r="N15" s="89"/>
      <c r="O15" s="89"/>
      <c r="P15" s="89"/>
    </row>
    <row r="16" spans="1:16" ht="20.100000000000001" customHeight="1">
      <c r="A16" s="89"/>
      <c r="C16" s="113" t="s">
        <v>104</v>
      </c>
      <c r="D16" s="114"/>
      <c r="E16" s="115"/>
      <c r="F16" s="116">
        <f>'ריכוז אגפים'!$S15/1000</f>
        <v>8255.2510000000002</v>
      </c>
      <c r="G16" s="117">
        <v>3891.4569999999999</v>
      </c>
      <c r="J16" s="248">
        <f t="shared" si="0"/>
        <v>1.7380592318724242E-2</v>
      </c>
      <c r="N16" s="89"/>
      <c r="O16" s="89"/>
      <c r="P16" s="89"/>
    </row>
    <row r="17" spans="1:16" ht="20.100000000000001" customHeight="1" thickBot="1">
      <c r="A17" s="89"/>
      <c r="C17" s="124" t="s">
        <v>94</v>
      </c>
      <c r="D17" s="125"/>
      <c r="E17" s="126"/>
      <c r="F17" s="183">
        <f>SUM(F8:F16)</f>
        <v>474969.48599999998</v>
      </c>
      <c r="G17" s="184">
        <f>SUM(G8:G16)</f>
        <v>455886.071</v>
      </c>
      <c r="J17" s="128">
        <f>SUM(J8:J16)</f>
        <v>1</v>
      </c>
      <c r="N17" s="89"/>
      <c r="O17" s="89"/>
      <c r="P17" s="89"/>
    </row>
    <row r="18" spans="1:16" ht="18">
      <c r="A18" s="89"/>
      <c r="C18" s="90"/>
      <c r="D18" s="89"/>
      <c r="F18" s="101"/>
      <c r="G18" s="101"/>
      <c r="N18" s="89"/>
      <c r="O18" s="89"/>
      <c r="P18" s="89"/>
    </row>
    <row r="19" spans="1:16" ht="15.75">
      <c r="A19" s="95"/>
      <c r="B19" s="95"/>
      <c r="C19" s="95" t="s">
        <v>220</v>
      </c>
      <c r="D19" s="89" t="s">
        <v>2305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</row>
    <row r="20" spans="1:16" ht="15.75">
      <c r="D20" s="89" t="s">
        <v>2431</v>
      </c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P21"/>
  <sheetViews>
    <sheetView showZeros="0" rightToLeft="1" zoomScaleNormal="100" workbookViewId="0">
      <selection activeCell="C55" sqref="C55"/>
    </sheetView>
  </sheetViews>
  <sheetFormatPr defaultColWidth="9.140625" defaultRowHeight="14.25"/>
  <cols>
    <col min="1" max="3" width="4.140625" style="87" customWidth="1"/>
    <col min="4" max="4" width="33" style="87" customWidth="1"/>
    <col min="5" max="8" width="12.140625" style="87" customWidth="1"/>
    <col min="9" max="9" width="7.85546875" style="87" customWidth="1"/>
    <col min="10" max="10" width="9.140625" style="87" hidden="1" customWidth="1"/>
    <col min="11" max="16384" width="9.140625" style="87"/>
  </cols>
  <sheetData>
    <row r="4" spans="1:16" ht="12.75" customHeight="1">
      <c r="A4" s="89"/>
      <c r="C4" s="129"/>
      <c r="D4" s="93"/>
      <c r="E4" s="130"/>
      <c r="F4" s="131"/>
      <c r="G4" s="131"/>
      <c r="N4" s="89"/>
      <c r="O4" s="89"/>
      <c r="P4" s="89"/>
    </row>
    <row r="5" spans="1:16" ht="15.75">
      <c r="A5" s="89">
        <v>3.5</v>
      </c>
      <c r="C5" s="89" t="s">
        <v>209</v>
      </c>
    </row>
    <row r="6" spans="1:16" ht="16.5" thickBot="1">
      <c r="A6" s="89"/>
      <c r="H6" s="89"/>
      <c r="I6" s="89"/>
      <c r="J6" s="89"/>
      <c r="K6" s="89"/>
      <c r="N6" s="89"/>
      <c r="O6" s="89"/>
      <c r="P6" s="89"/>
    </row>
    <row r="7" spans="1:16" ht="20.100000000000001" customHeight="1">
      <c r="A7" s="89"/>
      <c r="C7" s="108" t="s">
        <v>210</v>
      </c>
      <c r="D7" s="186"/>
      <c r="E7" s="110"/>
      <c r="F7" s="111" t="s">
        <v>1893</v>
      </c>
      <c r="G7" s="132" t="s">
        <v>648</v>
      </c>
      <c r="J7" s="118"/>
      <c r="M7" s="89"/>
      <c r="N7" s="89"/>
      <c r="O7" s="89"/>
    </row>
    <row r="8" spans="1:16" ht="20.100000000000001" customHeight="1">
      <c r="A8" s="89"/>
      <c r="C8" s="113" t="s">
        <v>211</v>
      </c>
      <c r="D8" s="113"/>
      <c r="E8" s="115"/>
      <c r="F8" s="116">
        <f>'תקציב 2022 קרנות הרשות'!C21</f>
        <v>230670</v>
      </c>
      <c r="G8" s="117">
        <v>250594</v>
      </c>
      <c r="J8" s="248">
        <f>F8/$F$14</f>
        <v>0.48565225067655599</v>
      </c>
      <c r="M8" s="89"/>
      <c r="N8" s="89"/>
      <c r="O8" s="89"/>
    </row>
    <row r="9" spans="1:16" ht="20.100000000000001" customHeight="1">
      <c r="A9" s="89"/>
      <c r="C9" s="113" t="s">
        <v>14</v>
      </c>
      <c r="D9" s="113"/>
      <c r="E9" s="115"/>
      <c r="F9" s="116">
        <f>'תקציב 2022 קרנות הרשות'!D21</f>
        <v>60000</v>
      </c>
      <c r="G9" s="117">
        <v>46000</v>
      </c>
      <c r="J9" s="248">
        <f>F9/$F$14</f>
        <v>0.12632390445482014</v>
      </c>
      <c r="M9" s="89"/>
      <c r="N9" s="89"/>
      <c r="O9" s="89"/>
    </row>
    <row r="10" spans="1:16" ht="20.100000000000001" hidden="1" customHeight="1">
      <c r="A10" s="89"/>
      <c r="C10" s="113" t="s">
        <v>15</v>
      </c>
      <c r="D10" s="113"/>
      <c r="E10" s="115"/>
      <c r="F10" s="116"/>
      <c r="G10" s="117"/>
      <c r="J10" s="248">
        <f>F10/$F$14</f>
        <v>0</v>
      </c>
      <c r="M10" s="89"/>
      <c r="N10" s="89"/>
      <c r="O10" s="89"/>
    </row>
    <row r="11" spans="1:16" ht="20.100000000000001" customHeight="1">
      <c r="A11" s="89"/>
      <c r="C11" s="113" t="s">
        <v>266</v>
      </c>
      <c r="D11" s="120"/>
      <c r="E11" s="122"/>
      <c r="F11" s="116">
        <v>9000</v>
      </c>
      <c r="G11" s="117">
        <v>18000</v>
      </c>
      <c r="J11" s="248">
        <f>F11/$F$14</f>
        <v>1.8948585668223019E-2</v>
      </c>
      <c r="M11" s="89"/>
      <c r="N11" s="89"/>
      <c r="O11" s="89"/>
    </row>
    <row r="12" spans="1:16" ht="20.100000000000001" customHeight="1">
      <c r="A12" s="89"/>
      <c r="C12" s="113" t="s">
        <v>749</v>
      </c>
      <c r="D12" s="120"/>
      <c r="E12" s="122"/>
      <c r="F12" s="116">
        <v>7100</v>
      </c>
      <c r="G12" s="117">
        <v>7100</v>
      </c>
      <c r="J12" s="248"/>
      <c r="M12" s="89"/>
      <c r="N12" s="89"/>
      <c r="O12" s="89"/>
    </row>
    <row r="13" spans="1:16" ht="20.100000000000001" customHeight="1">
      <c r="A13" s="89"/>
      <c r="C13" s="113" t="s">
        <v>212</v>
      </c>
      <c r="D13" s="199"/>
      <c r="E13" s="134"/>
      <c r="F13" s="116">
        <f>'תקציב 2022 מקורות אחרים'!F14</f>
        <v>168199.48624999999</v>
      </c>
      <c r="G13" s="117">
        <v>134192</v>
      </c>
      <c r="J13" s="248">
        <f>F13/$F$14</f>
        <v>0.35412693050658051</v>
      </c>
      <c r="L13" s="123"/>
      <c r="M13" s="89"/>
      <c r="N13" s="89"/>
      <c r="O13" s="89"/>
    </row>
    <row r="14" spans="1:16" ht="20.100000000000001" customHeight="1" thickBot="1">
      <c r="A14" s="89"/>
      <c r="C14" s="185" t="s">
        <v>94</v>
      </c>
      <c r="D14" s="187"/>
      <c r="E14" s="126"/>
      <c r="F14" s="183">
        <f>SUM(F8:F13)</f>
        <v>474969.48624999996</v>
      </c>
      <c r="G14" s="184">
        <f>SUM(G8:G13)</f>
        <v>455886</v>
      </c>
      <c r="J14" s="249">
        <f>SUM(J8:J13)</f>
        <v>0.98505167130617965</v>
      </c>
      <c r="M14" s="89"/>
      <c r="N14" s="89"/>
      <c r="O14" s="89"/>
    </row>
    <row r="15" spans="1:16" ht="18">
      <c r="A15" s="89"/>
      <c r="C15" s="90"/>
      <c r="D15" s="89"/>
      <c r="F15" s="101"/>
      <c r="G15" s="101"/>
      <c r="N15" s="89"/>
      <c r="O15" s="89"/>
      <c r="P15" s="89"/>
    </row>
    <row r="16" spans="1:16" ht="15.75">
      <c r="A16" s="89"/>
      <c r="M16" s="89"/>
      <c r="N16" s="89"/>
      <c r="O16" s="89"/>
      <c r="P16" s="89"/>
    </row>
    <row r="17" spans="1:16" ht="15.75">
      <c r="A17" s="89"/>
      <c r="M17" s="89"/>
      <c r="N17" s="89"/>
      <c r="O17" s="89"/>
      <c r="P17" s="89"/>
    </row>
    <row r="18" spans="1:16" ht="15.75">
      <c r="A18" s="89"/>
      <c r="B18" s="95"/>
      <c r="C18" s="95"/>
      <c r="D18" s="95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</row>
    <row r="19" spans="1:16" ht="15.75">
      <c r="A19" s="95"/>
      <c r="B19" s="95"/>
      <c r="C19" s="95"/>
      <c r="D19" s="95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</row>
    <row r="20" spans="1:16" ht="15.75"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</row>
    <row r="21" spans="1:16" ht="15.75"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4"/>
  <sheetViews>
    <sheetView showZeros="0" rightToLeft="1" workbookViewId="0">
      <selection activeCell="C55" sqref="C55"/>
    </sheetView>
  </sheetViews>
  <sheetFormatPr defaultRowHeight="15.75"/>
  <cols>
    <col min="1" max="1" width="3.42578125" style="66" customWidth="1"/>
    <col min="2" max="2" width="37.28515625" style="66" bestFit="1" customWidth="1"/>
    <col min="3" max="3" width="16.42578125" style="68" bestFit="1" customWidth="1"/>
    <col min="4" max="4" width="19.85546875" style="68" bestFit="1" customWidth="1"/>
    <col min="5" max="5" width="13.42578125" style="68" customWidth="1"/>
    <col min="6" max="6" width="16.42578125" style="68" bestFit="1" customWidth="1"/>
    <col min="7" max="7" width="19.85546875" style="68" bestFit="1" customWidth="1"/>
    <col min="8" max="8" width="12.42578125" style="68" customWidth="1"/>
    <col min="9" max="10" width="9.140625" style="66"/>
    <col min="11" max="15" width="8.85546875" style="66" customWidth="1"/>
    <col min="16" max="16" width="10.28515625" style="66" customWidth="1"/>
    <col min="17" max="256" width="9.140625" style="66"/>
    <col min="257" max="257" width="3.42578125" style="66" customWidth="1"/>
    <col min="258" max="258" width="37.28515625" style="66" bestFit="1" customWidth="1"/>
    <col min="259" max="259" width="16.42578125" style="66" bestFit="1" customWidth="1"/>
    <col min="260" max="260" width="19.85546875" style="66" bestFit="1" customWidth="1"/>
    <col min="261" max="261" width="13.42578125" style="66" customWidth="1"/>
    <col min="262" max="262" width="16.42578125" style="66" bestFit="1" customWidth="1"/>
    <col min="263" max="263" width="19.85546875" style="66" bestFit="1" customWidth="1"/>
    <col min="264" max="264" width="12.42578125" style="66" customWidth="1"/>
    <col min="265" max="512" width="9.140625" style="66"/>
    <col min="513" max="513" width="3.42578125" style="66" customWidth="1"/>
    <col min="514" max="514" width="37.28515625" style="66" bestFit="1" customWidth="1"/>
    <col min="515" max="515" width="16.42578125" style="66" bestFit="1" customWidth="1"/>
    <col min="516" max="516" width="19.85546875" style="66" bestFit="1" customWidth="1"/>
    <col min="517" max="517" width="13.42578125" style="66" customWidth="1"/>
    <col min="518" max="518" width="16.42578125" style="66" bestFit="1" customWidth="1"/>
    <col min="519" max="519" width="19.85546875" style="66" bestFit="1" customWidth="1"/>
    <col min="520" max="520" width="12.42578125" style="66" customWidth="1"/>
    <col min="521" max="768" width="9.140625" style="66"/>
    <col min="769" max="769" width="3.42578125" style="66" customWidth="1"/>
    <col min="770" max="770" width="37.28515625" style="66" bestFit="1" customWidth="1"/>
    <col min="771" max="771" width="16.42578125" style="66" bestFit="1" customWidth="1"/>
    <col min="772" max="772" width="19.85546875" style="66" bestFit="1" customWidth="1"/>
    <col min="773" max="773" width="13.42578125" style="66" customWidth="1"/>
    <col min="774" max="774" width="16.42578125" style="66" bestFit="1" customWidth="1"/>
    <col min="775" max="775" width="19.85546875" style="66" bestFit="1" customWidth="1"/>
    <col min="776" max="776" width="12.42578125" style="66" customWidth="1"/>
    <col min="777" max="1024" width="9.140625" style="66"/>
    <col min="1025" max="1025" width="3.42578125" style="66" customWidth="1"/>
    <col min="1026" max="1026" width="37.28515625" style="66" bestFit="1" customWidth="1"/>
    <col min="1027" max="1027" width="16.42578125" style="66" bestFit="1" customWidth="1"/>
    <col min="1028" max="1028" width="19.85546875" style="66" bestFit="1" customWidth="1"/>
    <col min="1029" max="1029" width="13.42578125" style="66" customWidth="1"/>
    <col min="1030" max="1030" width="16.42578125" style="66" bestFit="1" customWidth="1"/>
    <col min="1031" max="1031" width="19.85546875" style="66" bestFit="1" customWidth="1"/>
    <col min="1032" max="1032" width="12.42578125" style="66" customWidth="1"/>
    <col min="1033" max="1280" width="9.140625" style="66"/>
    <col min="1281" max="1281" width="3.42578125" style="66" customWidth="1"/>
    <col min="1282" max="1282" width="37.28515625" style="66" bestFit="1" customWidth="1"/>
    <col min="1283" max="1283" width="16.42578125" style="66" bestFit="1" customWidth="1"/>
    <col min="1284" max="1284" width="19.85546875" style="66" bestFit="1" customWidth="1"/>
    <col min="1285" max="1285" width="13.42578125" style="66" customWidth="1"/>
    <col min="1286" max="1286" width="16.42578125" style="66" bestFit="1" customWidth="1"/>
    <col min="1287" max="1287" width="19.85546875" style="66" bestFit="1" customWidth="1"/>
    <col min="1288" max="1288" width="12.42578125" style="66" customWidth="1"/>
    <col min="1289" max="1536" width="9.140625" style="66"/>
    <col min="1537" max="1537" width="3.42578125" style="66" customWidth="1"/>
    <col min="1538" max="1538" width="37.28515625" style="66" bestFit="1" customWidth="1"/>
    <col min="1539" max="1539" width="16.42578125" style="66" bestFit="1" customWidth="1"/>
    <col min="1540" max="1540" width="19.85546875" style="66" bestFit="1" customWidth="1"/>
    <col min="1541" max="1541" width="13.42578125" style="66" customWidth="1"/>
    <col min="1542" max="1542" width="16.42578125" style="66" bestFit="1" customWidth="1"/>
    <col min="1543" max="1543" width="19.85546875" style="66" bestFit="1" customWidth="1"/>
    <col min="1544" max="1544" width="12.42578125" style="66" customWidth="1"/>
    <col min="1545" max="1792" width="9.140625" style="66"/>
    <col min="1793" max="1793" width="3.42578125" style="66" customWidth="1"/>
    <col min="1794" max="1794" width="37.28515625" style="66" bestFit="1" customWidth="1"/>
    <col min="1795" max="1795" width="16.42578125" style="66" bestFit="1" customWidth="1"/>
    <col min="1796" max="1796" width="19.85546875" style="66" bestFit="1" customWidth="1"/>
    <col min="1797" max="1797" width="13.42578125" style="66" customWidth="1"/>
    <col min="1798" max="1798" width="16.42578125" style="66" bestFit="1" customWidth="1"/>
    <col min="1799" max="1799" width="19.85546875" style="66" bestFit="1" customWidth="1"/>
    <col min="1800" max="1800" width="12.42578125" style="66" customWidth="1"/>
    <col min="1801" max="2048" width="9.140625" style="66"/>
    <col min="2049" max="2049" width="3.42578125" style="66" customWidth="1"/>
    <col min="2050" max="2050" width="37.28515625" style="66" bestFit="1" customWidth="1"/>
    <col min="2051" max="2051" width="16.42578125" style="66" bestFit="1" customWidth="1"/>
    <col min="2052" max="2052" width="19.85546875" style="66" bestFit="1" customWidth="1"/>
    <col min="2053" max="2053" width="13.42578125" style="66" customWidth="1"/>
    <col min="2054" max="2054" width="16.42578125" style="66" bestFit="1" customWidth="1"/>
    <col min="2055" max="2055" width="19.85546875" style="66" bestFit="1" customWidth="1"/>
    <col min="2056" max="2056" width="12.42578125" style="66" customWidth="1"/>
    <col min="2057" max="2304" width="9.140625" style="66"/>
    <col min="2305" max="2305" width="3.42578125" style="66" customWidth="1"/>
    <col min="2306" max="2306" width="37.28515625" style="66" bestFit="1" customWidth="1"/>
    <col min="2307" max="2307" width="16.42578125" style="66" bestFit="1" customWidth="1"/>
    <col min="2308" max="2308" width="19.85546875" style="66" bestFit="1" customWidth="1"/>
    <col min="2309" max="2309" width="13.42578125" style="66" customWidth="1"/>
    <col min="2310" max="2310" width="16.42578125" style="66" bestFit="1" customWidth="1"/>
    <col min="2311" max="2311" width="19.85546875" style="66" bestFit="1" customWidth="1"/>
    <col min="2312" max="2312" width="12.42578125" style="66" customWidth="1"/>
    <col min="2313" max="2560" width="9.140625" style="66"/>
    <col min="2561" max="2561" width="3.42578125" style="66" customWidth="1"/>
    <col min="2562" max="2562" width="37.28515625" style="66" bestFit="1" customWidth="1"/>
    <col min="2563" max="2563" width="16.42578125" style="66" bestFit="1" customWidth="1"/>
    <col min="2564" max="2564" width="19.85546875" style="66" bestFit="1" customWidth="1"/>
    <col min="2565" max="2565" width="13.42578125" style="66" customWidth="1"/>
    <col min="2566" max="2566" width="16.42578125" style="66" bestFit="1" customWidth="1"/>
    <col min="2567" max="2567" width="19.85546875" style="66" bestFit="1" customWidth="1"/>
    <col min="2568" max="2568" width="12.42578125" style="66" customWidth="1"/>
    <col min="2569" max="2816" width="9.140625" style="66"/>
    <col min="2817" max="2817" width="3.42578125" style="66" customWidth="1"/>
    <col min="2818" max="2818" width="37.28515625" style="66" bestFit="1" customWidth="1"/>
    <col min="2819" max="2819" width="16.42578125" style="66" bestFit="1" customWidth="1"/>
    <col min="2820" max="2820" width="19.85546875" style="66" bestFit="1" customWidth="1"/>
    <col min="2821" max="2821" width="13.42578125" style="66" customWidth="1"/>
    <col min="2822" max="2822" width="16.42578125" style="66" bestFit="1" customWidth="1"/>
    <col min="2823" max="2823" width="19.85546875" style="66" bestFit="1" customWidth="1"/>
    <col min="2824" max="2824" width="12.42578125" style="66" customWidth="1"/>
    <col min="2825" max="3072" width="9.140625" style="66"/>
    <col min="3073" max="3073" width="3.42578125" style="66" customWidth="1"/>
    <col min="3074" max="3074" width="37.28515625" style="66" bestFit="1" customWidth="1"/>
    <col min="3075" max="3075" width="16.42578125" style="66" bestFit="1" customWidth="1"/>
    <col min="3076" max="3076" width="19.85546875" style="66" bestFit="1" customWidth="1"/>
    <col min="3077" max="3077" width="13.42578125" style="66" customWidth="1"/>
    <col min="3078" max="3078" width="16.42578125" style="66" bestFit="1" customWidth="1"/>
    <col min="3079" max="3079" width="19.85546875" style="66" bestFit="1" customWidth="1"/>
    <col min="3080" max="3080" width="12.42578125" style="66" customWidth="1"/>
    <col min="3081" max="3328" width="9.140625" style="66"/>
    <col min="3329" max="3329" width="3.42578125" style="66" customWidth="1"/>
    <col min="3330" max="3330" width="37.28515625" style="66" bestFit="1" customWidth="1"/>
    <col min="3331" max="3331" width="16.42578125" style="66" bestFit="1" customWidth="1"/>
    <col min="3332" max="3332" width="19.85546875" style="66" bestFit="1" customWidth="1"/>
    <col min="3333" max="3333" width="13.42578125" style="66" customWidth="1"/>
    <col min="3334" max="3334" width="16.42578125" style="66" bestFit="1" customWidth="1"/>
    <col min="3335" max="3335" width="19.85546875" style="66" bestFit="1" customWidth="1"/>
    <col min="3336" max="3336" width="12.42578125" style="66" customWidth="1"/>
    <col min="3337" max="3584" width="9.140625" style="66"/>
    <col min="3585" max="3585" width="3.42578125" style="66" customWidth="1"/>
    <col min="3586" max="3586" width="37.28515625" style="66" bestFit="1" customWidth="1"/>
    <col min="3587" max="3587" width="16.42578125" style="66" bestFit="1" customWidth="1"/>
    <col min="3588" max="3588" width="19.85546875" style="66" bestFit="1" customWidth="1"/>
    <col min="3589" max="3589" width="13.42578125" style="66" customWidth="1"/>
    <col min="3590" max="3590" width="16.42578125" style="66" bestFit="1" customWidth="1"/>
    <col min="3591" max="3591" width="19.85546875" style="66" bestFit="1" customWidth="1"/>
    <col min="3592" max="3592" width="12.42578125" style="66" customWidth="1"/>
    <col min="3593" max="3840" width="9.140625" style="66"/>
    <col min="3841" max="3841" width="3.42578125" style="66" customWidth="1"/>
    <col min="3842" max="3842" width="37.28515625" style="66" bestFit="1" customWidth="1"/>
    <col min="3843" max="3843" width="16.42578125" style="66" bestFit="1" customWidth="1"/>
    <col min="3844" max="3844" width="19.85546875" style="66" bestFit="1" customWidth="1"/>
    <col min="3845" max="3845" width="13.42578125" style="66" customWidth="1"/>
    <col min="3846" max="3846" width="16.42578125" style="66" bestFit="1" customWidth="1"/>
    <col min="3847" max="3847" width="19.85546875" style="66" bestFit="1" customWidth="1"/>
    <col min="3848" max="3848" width="12.42578125" style="66" customWidth="1"/>
    <col min="3849" max="4096" width="9.140625" style="66"/>
    <col min="4097" max="4097" width="3.42578125" style="66" customWidth="1"/>
    <col min="4098" max="4098" width="37.28515625" style="66" bestFit="1" customWidth="1"/>
    <col min="4099" max="4099" width="16.42578125" style="66" bestFit="1" customWidth="1"/>
    <col min="4100" max="4100" width="19.85546875" style="66" bestFit="1" customWidth="1"/>
    <col min="4101" max="4101" width="13.42578125" style="66" customWidth="1"/>
    <col min="4102" max="4102" width="16.42578125" style="66" bestFit="1" customWidth="1"/>
    <col min="4103" max="4103" width="19.85546875" style="66" bestFit="1" customWidth="1"/>
    <col min="4104" max="4104" width="12.42578125" style="66" customWidth="1"/>
    <col min="4105" max="4352" width="9.140625" style="66"/>
    <col min="4353" max="4353" width="3.42578125" style="66" customWidth="1"/>
    <col min="4354" max="4354" width="37.28515625" style="66" bestFit="1" customWidth="1"/>
    <col min="4355" max="4355" width="16.42578125" style="66" bestFit="1" customWidth="1"/>
    <col min="4356" max="4356" width="19.85546875" style="66" bestFit="1" customWidth="1"/>
    <col min="4357" max="4357" width="13.42578125" style="66" customWidth="1"/>
    <col min="4358" max="4358" width="16.42578125" style="66" bestFit="1" customWidth="1"/>
    <col min="4359" max="4359" width="19.85546875" style="66" bestFit="1" customWidth="1"/>
    <col min="4360" max="4360" width="12.42578125" style="66" customWidth="1"/>
    <col min="4361" max="4608" width="9.140625" style="66"/>
    <col min="4609" max="4609" width="3.42578125" style="66" customWidth="1"/>
    <col min="4610" max="4610" width="37.28515625" style="66" bestFit="1" customWidth="1"/>
    <col min="4611" max="4611" width="16.42578125" style="66" bestFit="1" customWidth="1"/>
    <col min="4612" max="4612" width="19.85546875" style="66" bestFit="1" customWidth="1"/>
    <col min="4613" max="4613" width="13.42578125" style="66" customWidth="1"/>
    <col min="4614" max="4614" width="16.42578125" style="66" bestFit="1" customWidth="1"/>
    <col min="4615" max="4615" width="19.85546875" style="66" bestFit="1" customWidth="1"/>
    <col min="4616" max="4616" width="12.42578125" style="66" customWidth="1"/>
    <col min="4617" max="4864" width="9.140625" style="66"/>
    <col min="4865" max="4865" width="3.42578125" style="66" customWidth="1"/>
    <col min="4866" max="4866" width="37.28515625" style="66" bestFit="1" customWidth="1"/>
    <col min="4867" max="4867" width="16.42578125" style="66" bestFit="1" customWidth="1"/>
    <col min="4868" max="4868" width="19.85546875" style="66" bestFit="1" customWidth="1"/>
    <col min="4869" max="4869" width="13.42578125" style="66" customWidth="1"/>
    <col min="4870" max="4870" width="16.42578125" style="66" bestFit="1" customWidth="1"/>
    <col min="4871" max="4871" width="19.85546875" style="66" bestFit="1" customWidth="1"/>
    <col min="4872" max="4872" width="12.42578125" style="66" customWidth="1"/>
    <col min="4873" max="5120" width="9.140625" style="66"/>
    <col min="5121" max="5121" width="3.42578125" style="66" customWidth="1"/>
    <col min="5122" max="5122" width="37.28515625" style="66" bestFit="1" customWidth="1"/>
    <col min="5123" max="5123" width="16.42578125" style="66" bestFit="1" customWidth="1"/>
    <col min="5124" max="5124" width="19.85546875" style="66" bestFit="1" customWidth="1"/>
    <col min="5125" max="5125" width="13.42578125" style="66" customWidth="1"/>
    <col min="5126" max="5126" width="16.42578125" style="66" bestFit="1" customWidth="1"/>
    <col min="5127" max="5127" width="19.85546875" style="66" bestFit="1" customWidth="1"/>
    <col min="5128" max="5128" width="12.42578125" style="66" customWidth="1"/>
    <col min="5129" max="5376" width="9.140625" style="66"/>
    <col min="5377" max="5377" width="3.42578125" style="66" customWidth="1"/>
    <col min="5378" max="5378" width="37.28515625" style="66" bestFit="1" customWidth="1"/>
    <col min="5379" max="5379" width="16.42578125" style="66" bestFit="1" customWidth="1"/>
    <col min="5380" max="5380" width="19.85546875" style="66" bestFit="1" customWidth="1"/>
    <col min="5381" max="5381" width="13.42578125" style="66" customWidth="1"/>
    <col min="5382" max="5382" width="16.42578125" style="66" bestFit="1" customWidth="1"/>
    <col min="5383" max="5383" width="19.85546875" style="66" bestFit="1" customWidth="1"/>
    <col min="5384" max="5384" width="12.42578125" style="66" customWidth="1"/>
    <col min="5385" max="5632" width="9.140625" style="66"/>
    <col min="5633" max="5633" width="3.42578125" style="66" customWidth="1"/>
    <col min="5634" max="5634" width="37.28515625" style="66" bestFit="1" customWidth="1"/>
    <col min="5635" max="5635" width="16.42578125" style="66" bestFit="1" customWidth="1"/>
    <col min="5636" max="5636" width="19.85546875" style="66" bestFit="1" customWidth="1"/>
    <col min="5637" max="5637" width="13.42578125" style="66" customWidth="1"/>
    <col min="5638" max="5638" width="16.42578125" style="66" bestFit="1" customWidth="1"/>
    <col min="5639" max="5639" width="19.85546875" style="66" bestFit="1" customWidth="1"/>
    <col min="5640" max="5640" width="12.42578125" style="66" customWidth="1"/>
    <col min="5641" max="5888" width="9.140625" style="66"/>
    <col min="5889" max="5889" width="3.42578125" style="66" customWidth="1"/>
    <col min="5890" max="5890" width="37.28515625" style="66" bestFit="1" customWidth="1"/>
    <col min="5891" max="5891" width="16.42578125" style="66" bestFit="1" customWidth="1"/>
    <col min="5892" max="5892" width="19.85546875" style="66" bestFit="1" customWidth="1"/>
    <col min="5893" max="5893" width="13.42578125" style="66" customWidth="1"/>
    <col min="5894" max="5894" width="16.42578125" style="66" bestFit="1" customWidth="1"/>
    <col min="5895" max="5895" width="19.85546875" style="66" bestFit="1" customWidth="1"/>
    <col min="5896" max="5896" width="12.42578125" style="66" customWidth="1"/>
    <col min="5897" max="6144" width="9.140625" style="66"/>
    <col min="6145" max="6145" width="3.42578125" style="66" customWidth="1"/>
    <col min="6146" max="6146" width="37.28515625" style="66" bestFit="1" customWidth="1"/>
    <col min="6147" max="6147" width="16.42578125" style="66" bestFit="1" customWidth="1"/>
    <col min="6148" max="6148" width="19.85546875" style="66" bestFit="1" customWidth="1"/>
    <col min="6149" max="6149" width="13.42578125" style="66" customWidth="1"/>
    <col min="6150" max="6150" width="16.42578125" style="66" bestFit="1" customWidth="1"/>
    <col min="6151" max="6151" width="19.85546875" style="66" bestFit="1" customWidth="1"/>
    <col min="6152" max="6152" width="12.42578125" style="66" customWidth="1"/>
    <col min="6153" max="6400" width="9.140625" style="66"/>
    <col min="6401" max="6401" width="3.42578125" style="66" customWidth="1"/>
    <col min="6402" max="6402" width="37.28515625" style="66" bestFit="1" customWidth="1"/>
    <col min="6403" max="6403" width="16.42578125" style="66" bestFit="1" customWidth="1"/>
    <col min="6404" max="6404" width="19.85546875" style="66" bestFit="1" customWidth="1"/>
    <col min="6405" max="6405" width="13.42578125" style="66" customWidth="1"/>
    <col min="6406" max="6406" width="16.42578125" style="66" bestFit="1" customWidth="1"/>
    <col min="6407" max="6407" width="19.85546875" style="66" bestFit="1" customWidth="1"/>
    <col min="6408" max="6408" width="12.42578125" style="66" customWidth="1"/>
    <col min="6409" max="6656" width="9.140625" style="66"/>
    <col min="6657" max="6657" width="3.42578125" style="66" customWidth="1"/>
    <col min="6658" max="6658" width="37.28515625" style="66" bestFit="1" customWidth="1"/>
    <col min="6659" max="6659" width="16.42578125" style="66" bestFit="1" customWidth="1"/>
    <col min="6660" max="6660" width="19.85546875" style="66" bestFit="1" customWidth="1"/>
    <col min="6661" max="6661" width="13.42578125" style="66" customWidth="1"/>
    <col min="6662" max="6662" width="16.42578125" style="66" bestFit="1" customWidth="1"/>
    <col min="6663" max="6663" width="19.85546875" style="66" bestFit="1" customWidth="1"/>
    <col min="6664" max="6664" width="12.42578125" style="66" customWidth="1"/>
    <col min="6665" max="6912" width="9.140625" style="66"/>
    <col min="6913" max="6913" width="3.42578125" style="66" customWidth="1"/>
    <col min="6914" max="6914" width="37.28515625" style="66" bestFit="1" customWidth="1"/>
    <col min="6915" max="6915" width="16.42578125" style="66" bestFit="1" customWidth="1"/>
    <col min="6916" max="6916" width="19.85546875" style="66" bestFit="1" customWidth="1"/>
    <col min="6917" max="6917" width="13.42578125" style="66" customWidth="1"/>
    <col min="6918" max="6918" width="16.42578125" style="66" bestFit="1" customWidth="1"/>
    <col min="6919" max="6919" width="19.85546875" style="66" bestFit="1" customWidth="1"/>
    <col min="6920" max="6920" width="12.42578125" style="66" customWidth="1"/>
    <col min="6921" max="7168" width="9.140625" style="66"/>
    <col min="7169" max="7169" width="3.42578125" style="66" customWidth="1"/>
    <col min="7170" max="7170" width="37.28515625" style="66" bestFit="1" customWidth="1"/>
    <col min="7171" max="7171" width="16.42578125" style="66" bestFit="1" customWidth="1"/>
    <col min="7172" max="7172" width="19.85546875" style="66" bestFit="1" customWidth="1"/>
    <col min="7173" max="7173" width="13.42578125" style="66" customWidth="1"/>
    <col min="7174" max="7174" width="16.42578125" style="66" bestFit="1" customWidth="1"/>
    <col min="7175" max="7175" width="19.85546875" style="66" bestFit="1" customWidth="1"/>
    <col min="7176" max="7176" width="12.42578125" style="66" customWidth="1"/>
    <col min="7177" max="7424" width="9.140625" style="66"/>
    <col min="7425" max="7425" width="3.42578125" style="66" customWidth="1"/>
    <col min="7426" max="7426" width="37.28515625" style="66" bestFit="1" customWidth="1"/>
    <col min="7427" max="7427" width="16.42578125" style="66" bestFit="1" customWidth="1"/>
    <col min="7428" max="7428" width="19.85546875" style="66" bestFit="1" customWidth="1"/>
    <col min="7429" max="7429" width="13.42578125" style="66" customWidth="1"/>
    <col min="7430" max="7430" width="16.42578125" style="66" bestFit="1" customWidth="1"/>
    <col min="7431" max="7431" width="19.85546875" style="66" bestFit="1" customWidth="1"/>
    <col min="7432" max="7432" width="12.42578125" style="66" customWidth="1"/>
    <col min="7433" max="7680" width="9.140625" style="66"/>
    <col min="7681" max="7681" width="3.42578125" style="66" customWidth="1"/>
    <col min="7682" max="7682" width="37.28515625" style="66" bestFit="1" customWidth="1"/>
    <col min="7683" max="7683" width="16.42578125" style="66" bestFit="1" customWidth="1"/>
    <col min="7684" max="7684" width="19.85546875" style="66" bestFit="1" customWidth="1"/>
    <col min="7685" max="7685" width="13.42578125" style="66" customWidth="1"/>
    <col min="7686" max="7686" width="16.42578125" style="66" bestFit="1" customWidth="1"/>
    <col min="7687" max="7687" width="19.85546875" style="66" bestFit="1" customWidth="1"/>
    <col min="7688" max="7688" width="12.42578125" style="66" customWidth="1"/>
    <col min="7689" max="7936" width="9.140625" style="66"/>
    <col min="7937" max="7937" width="3.42578125" style="66" customWidth="1"/>
    <col min="7938" max="7938" width="37.28515625" style="66" bestFit="1" customWidth="1"/>
    <col min="7939" max="7939" width="16.42578125" style="66" bestFit="1" customWidth="1"/>
    <col min="7940" max="7940" width="19.85546875" style="66" bestFit="1" customWidth="1"/>
    <col min="7941" max="7941" width="13.42578125" style="66" customWidth="1"/>
    <col min="7942" max="7942" width="16.42578125" style="66" bestFit="1" customWidth="1"/>
    <col min="7943" max="7943" width="19.85546875" style="66" bestFit="1" customWidth="1"/>
    <col min="7944" max="7944" width="12.42578125" style="66" customWidth="1"/>
    <col min="7945" max="8192" width="9.140625" style="66"/>
    <col min="8193" max="8193" width="3.42578125" style="66" customWidth="1"/>
    <col min="8194" max="8194" width="37.28515625" style="66" bestFit="1" customWidth="1"/>
    <col min="8195" max="8195" width="16.42578125" style="66" bestFit="1" customWidth="1"/>
    <col min="8196" max="8196" width="19.85546875" style="66" bestFit="1" customWidth="1"/>
    <col min="8197" max="8197" width="13.42578125" style="66" customWidth="1"/>
    <col min="8198" max="8198" width="16.42578125" style="66" bestFit="1" customWidth="1"/>
    <col min="8199" max="8199" width="19.85546875" style="66" bestFit="1" customWidth="1"/>
    <col min="8200" max="8200" width="12.42578125" style="66" customWidth="1"/>
    <col min="8201" max="8448" width="9.140625" style="66"/>
    <col min="8449" max="8449" width="3.42578125" style="66" customWidth="1"/>
    <col min="8450" max="8450" width="37.28515625" style="66" bestFit="1" customWidth="1"/>
    <col min="8451" max="8451" width="16.42578125" style="66" bestFit="1" customWidth="1"/>
    <col min="8452" max="8452" width="19.85546875" style="66" bestFit="1" customWidth="1"/>
    <col min="8453" max="8453" width="13.42578125" style="66" customWidth="1"/>
    <col min="8454" max="8454" width="16.42578125" style="66" bestFit="1" customWidth="1"/>
    <col min="8455" max="8455" width="19.85546875" style="66" bestFit="1" customWidth="1"/>
    <col min="8456" max="8456" width="12.42578125" style="66" customWidth="1"/>
    <col min="8457" max="8704" width="9.140625" style="66"/>
    <col min="8705" max="8705" width="3.42578125" style="66" customWidth="1"/>
    <col min="8706" max="8706" width="37.28515625" style="66" bestFit="1" customWidth="1"/>
    <col min="8707" max="8707" width="16.42578125" style="66" bestFit="1" customWidth="1"/>
    <col min="8708" max="8708" width="19.85546875" style="66" bestFit="1" customWidth="1"/>
    <col min="8709" max="8709" width="13.42578125" style="66" customWidth="1"/>
    <col min="8710" max="8710" width="16.42578125" style="66" bestFit="1" customWidth="1"/>
    <col min="8711" max="8711" width="19.85546875" style="66" bestFit="1" customWidth="1"/>
    <col min="8712" max="8712" width="12.42578125" style="66" customWidth="1"/>
    <col min="8713" max="8960" width="9.140625" style="66"/>
    <col min="8961" max="8961" width="3.42578125" style="66" customWidth="1"/>
    <col min="8962" max="8962" width="37.28515625" style="66" bestFit="1" customWidth="1"/>
    <col min="8963" max="8963" width="16.42578125" style="66" bestFit="1" customWidth="1"/>
    <col min="8964" max="8964" width="19.85546875" style="66" bestFit="1" customWidth="1"/>
    <col min="8965" max="8965" width="13.42578125" style="66" customWidth="1"/>
    <col min="8966" max="8966" width="16.42578125" style="66" bestFit="1" customWidth="1"/>
    <col min="8967" max="8967" width="19.85546875" style="66" bestFit="1" customWidth="1"/>
    <col min="8968" max="8968" width="12.42578125" style="66" customWidth="1"/>
    <col min="8969" max="9216" width="9.140625" style="66"/>
    <col min="9217" max="9217" width="3.42578125" style="66" customWidth="1"/>
    <col min="9218" max="9218" width="37.28515625" style="66" bestFit="1" customWidth="1"/>
    <col min="9219" max="9219" width="16.42578125" style="66" bestFit="1" customWidth="1"/>
    <col min="9220" max="9220" width="19.85546875" style="66" bestFit="1" customWidth="1"/>
    <col min="9221" max="9221" width="13.42578125" style="66" customWidth="1"/>
    <col min="9222" max="9222" width="16.42578125" style="66" bestFit="1" customWidth="1"/>
    <col min="9223" max="9223" width="19.85546875" style="66" bestFit="1" customWidth="1"/>
    <col min="9224" max="9224" width="12.42578125" style="66" customWidth="1"/>
    <col min="9225" max="9472" width="9.140625" style="66"/>
    <col min="9473" max="9473" width="3.42578125" style="66" customWidth="1"/>
    <col min="9474" max="9474" width="37.28515625" style="66" bestFit="1" customWidth="1"/>
    <col min="9475" max="9475" width="16.42578125" style="66" bestFit="1" customWidth="1"/>
    <col min="9476" max="9476" width="19.85546875" style="66" bestFit="1" customWidth="1"/>
    <col min="9477" max="9477" width="13.42578125" style="66" customWidth="1"/>
    <col min="9478" max="9478" width="16.42578125" style="66" bestFit="1" customWidth="1"/>
    <col min="9479" max="9479" width="19.85546875" style="66" bestFit="1" customWidth="1"/>
    <col min="9480" max="9480" width="12.42578125" style="66" customWidth="1"/>
    <col min="9481" max="9728" width="9.140625" style="66"/>
    <col min="9729" max="9729" width="3.42578125" style="66" customWidth="1"/>
    <col min="9730" max="9730" width="37.28515625" style="66" bestFit="1" customWidth="1"/>
    <col min="9731" max="9731" width="16.42578125" style="66" bestFit="1" customWidth="1"/>
    <col min="9732" max="9732" width="19.85546875" style="66" bestFit="1" customWidth="1"/>
    <col min="9733" max="9733" width="13.42578125" style="66" customWidth="1"/>
    <col min="9734" max="9734" width="16.42578125" style="66" bestFit="1" customWidth="1"/>
    <col min="9735" max="9735" width="19.85546875" style="66" bestFit="1" customWidth="1"/>
    <col min="9736" max="9736" width="12.42578125" style="66" customWidth="1"/>
    <col min="9737" max="9984" width="9.140625" style="66"/>
    <col min="9985" max="9985" width="3.42578125" style="66" customWidth="1"/>
    <col min="9986" max="9986" width="37.28515625" style="66" bestFit="1" customWidth="1"/>
    <col min="9987" max="9987" width="16.42578125" style="66" bestFit="1" customWidth="1"/>
    <col min="9988" max="9988" width="19.85546875" style="66" bestFit="1" customWidth="1"/>
    <col min="9989" max="9989" width="13.42578125" style="66" customWidth="1"/>
    <col min="9990" max="9990" width="16.42578125" style="66" bestFit="1" customWidth="1"/>
    <col min="9991" max="9991" width="19.85546875" style="66" bestFit="1" customWidth="1"/>
    <col min="9992" max="9992" width="12.42578125" style="66" customWidth="1"/>
    <col min="9993" max="10240" width="9.140625" style="66"/>
    <col min="10241" max="10241" width="3.42578125" style="66" customWidth="1"/>
    <col min="10242" max="10242" width="37.28515625" style="66" bestFit="1" customWidth="1"/>
    <col min="10243" max="10243" width="16.42578125" style="66" bestFit="1" customWidth="1"/>
    <col min="10244" max="10244" width="19.85546875" style="66" bestFit="1" customWidth="1"/>
    <col min="10245" max="10245" width="13.42578125" style="66" customWidth="1"/>
    <col min="10246" max="10246" width="16.42578125" style="66" bestFit="1" customWidth="1"/>
    <col min="10247" max="10247" width="19.85546875" style="66" bestFit="1" customWidth="1"/>
    <col min="10248" max="10248" width="12.42578125" style="66" customWidth="1"/>
    <col min="10249" max="10496" width="9.140625" style="66"/>
    <col min="10497" max="10497" width="3.42578125" style="66" customWidth="1"/>
    <col min="10498" max="10498" width="37.28515625" style="66" bestFit="1" customWidth="1"/>
    <col min="10499" max="10499" width="16.42578125" style="66" bestFit="1" customWidth="1"/>
    <col min="10500" max="10500" width="19.85546875" style="66" bestFit="1" customWidth="1"/>
    <col min="10501" max="10501" width="13.42578125" style="66" customWidth="1"/>
    <col min="10502" max="10502" width="16.42578125" style="66" bestFit="1" customWidth="1"/>
    <col min="10503" max="10503" width="19.85546875" style="66" bestFit="1" customWidth="1"/>
    <col min="10504" max="10504" width="12.42578125" style="66" customWidth="1"/>
    <col min="10505" max="10752" width="9.140625" style="66"/>
    <col min="10753" max="10753" width="3.42578125" style="66" customWidth="1"/>
    <col min="10754" max="10754" width="37.28515625" style="66" bestFit="1" customWidth="1"/>
    <col min="10755" max="10755" width="16.42578125" style="66" bestFit="1" customWidth="1"/>
    <col min="10756" max="10756" width="19.85546875" style="66" bestFit="1" customWidth="1"/>
    <col min="10757" max="10757" width="13.42578125" style="66" customWidth="1"/>
    <col min="10758" max="10758" width="16.42578125" style="66" bestFit="1" customWidth="1"/>
    <col min="10759" max="10759" width="19.85546875" style="66" bestFit="1" customWidth="1"/>
    <col min="10760" max="10760" width="12.42578125" style="66" customWidth="1"/>
    <col min="10761" max="11008" width="9.140625" style="66"/>
    <col min="11009" max="11009" width="3.42578125" style="66" customWidth="1"/>
    <col min="11010" max="11010" width="37.28515625" style="66" bestFit="1" customWidth="1"/>
    <col min="11011" max="11011" width="16.42578125" style="66" bestFit="1" customWidth="1"/>
    <col min="11012" max="11012" width="19.85546875" style="66" bestFit="1" customWidth="1"/>
    <col min="11013" max="11013" width="13.42578125" style="66" customWidth="1"/>
    <col min="11014" max="11014" width="16.42578125" style="66" bestFit="1" customWidth="1"/>
    <col min="11015" max="11015" width="19.85546875" style="66" bestFit="1" customWidth="1"/>
    <col min="11016" max="11016" width="12.42578125" style="66" customWidth="1"/>
    <col min="11017" max="11264" width="9.140625" style="66"/>
    <col min="11265" max="11265" width="3.42578125" style="66" customWidth="1"/>
    <col min="11266" max="11266" width="37.28515625" style="66" bestFit="1" customWidth="1"/>
    <col min="11267" max="11267" width="16.42578125" style="66" bestFit="1" customWidth="1"/>
    <col min="11268" max="11268" width="19.85546875" style="66" bestFit="1" customWidth="1"/>
    <col min="11269" max="11269" width="13.42578125" style="66" customWidth="1"/>
    <col min="11270" max="11270" width="16.42578125" style="66" bestFit="1" customWidth="1"/>
    <col min="11271" max="11271" width="19.85546875" style="66" bestFit="1" customWidth="1"/>
    <col min="11272" max="11272" width="12.42578125" style="66" customWidth="1"/>
    <col min="11273" max="11520" width="9.140625" style="66"/>
    <col min="11521" max="11521" width="3.42578125" style="66" customWidth="1"/>
    <col min="11522" max="11522" width="37.28515625" style="66" bestFit="1" customWidth="1"/>
    <col min="11523" max="11523" width="16.42578125" style="66" bestFit="1" customWidth="1"/>
    <col min="11524" max="11524" width="19.85546875" style="66" bestFit="1" customWidth="1"/>
    <col min="11525" max="11525" width="13.42578125" style="66" customWidth="1"/>
    <col min="11526" max="11526" width="16.42578125" style="66" bestFit="1" customWidth="1"/>
    <col min="11527" max="11527" width="19.85546875" style="66" bestFit="1" customWidth="1"/>
    <col min="11528" max="11528" width="12.42578125" style="66" customWidth="1"/>
    <col min="11529" max="11776" width="9.140625" style="66"/>
    <col min="11777" max="11777" width="3.42578125" style="66" customWidth="1"/>
    <col min="11778" max="11778" width="37.28515625" style="66" bestFit="1" customWidth="1"/>
    <col min="11779" max="11779" width="16.42578125" style="66" bestFit="1" customWidth="1"/>
    <col min="11780" max="11780" width="19.85546875" style="66" bestFit="1" customWidth="1"/>
    <col min="11781" max="11781" width="13.42578125" style="66" customWidth="1"/>
    <col min="11782" max="11782" width="16.42578125" style="66" bestFit="1" customWidth="1"/>
    <col min="11783" max="11783" width="19.85546875" style="66" bestFit="1" customWidth="1"/>
    <col min="11784" max="11784" width="12.42578125" style="66" customWidth="1"/>
    <col min="11785" max="12032" width="9.140625" style="66"/>
    <col min="12033" max="12033" width="3.42578125" style="66" customWidth="1"/>
    <col min="12034" max="12034" width="37.28515625" style="66" bestFit="1" customWidth="1"/>
    <col min="12035" max="12035" width="16.42578125" style="66" bestFit="1" customWidth="1"/>
    <col min="12036" max="12036" width="19.85546875" style="66" bestFit="1" customWidth="1"/>
    <col min="12037" max="12037" width="13.42578125" style="66" customWidth="1"/>
    <col min="12038" max="12038" width="16.42578125" style="66" bestFit="1" customWidth="1"/>
    <col min="12039" max="12039" width="19.85546875" style="66" bestFit="1" customWidth="1"/>
    <col min="12040" max="12040" width="12.42578125" style="66" customWidth="1"/>
    <col min="12041" max="12288" width="9.140625" style="66"/>
    <col min="12289" max="12289" width="3.42578125" style="66" customWidth="1"/>
    <col min="12290" max="12290" width="37.28515625" style="66" bestFit="1" customWidth="1"/>
    <col min="12291" max="12291" width="16.42578125" style="66" bestFit="1" customWidth="1"/>
    <col min="12292" max="12292" width="19.85546875" style="66" bestFit="1" customWidth="1"/>
    <col min="12293" max="12293" width="13.42578125" style="66" customWidth="1"/>
    <col min="12294" max="12294" width="16.42578125" style="66" bestFit="1" customWidth="1"/>
    <col min="12295" max="12295" width="19.85546875" style="66" bestFit="1" customWidth="1"/>
    <col min="12296" max="12296" width="12.42578125" style="66" customWidth="1"/>
    <col min="12297" max="12544" width="9.140625" style="66"/>
    <col min="12545" max="12545" width="3.42578125" style="66" customWidth="1"/>
    <col min="12546" max="12546" width="37.28515625" style="66" bestFit="1" customWidth="1"/>
    <col min="12547" max="12547" width="16.42578125" style="66" bestFit="1" customWidth="1"/>
    <col min="12548" max="12548" width="19.85546875" style="66" bestFit="1" customWidth="1"/>
    <col min="12549" max="12549" width="13.42578125" style="66" customWidth="1"/>
    <col min="12550" max="12550" width="16.42578125" style="66" bestFit="1" customWidth="1"/>
    <col min="12551" max="12551" width="19.85546875" style="66" bestFit="1" customWidth="1"/>
    <col min="12552" max="12552" width="12.42578125" style="66" customWidth="1"/>
    <col min="12553" max="12800" width="9.140625" style="66"/>
    <col min="12801" max="12801" width="3.42578125" style="66" customWidth="1"/>
    <col min="12802" max="12802" width="37.28515625" style="66" bestFit="1" customWidth="1"/>
    <col min="12803" max="12803" width="16.42578125" style="66" bestFit="1" customWidth="1"/>
    <col min="12804" max="12804" width="19.85546875" style="66" bestFit="1" customWidth="1"/>
    <col min="12805" max="12805" width="13.42578125" style="66" customWidth="1"/>
    <col min="12806" max="12806" width="16.42578125" style="66" bestFit="1" customWidth="1"/>
    <col min="12807" max="12807" width="19.85546875" style="66" bestFit="1" customWidth="1"/>
    <col min="12808" max="12808" width="12.42578125" style="66" customWidth="1"/>
    <col min="12809" max="13056" width="9.140625" style="66"/>
    <col min="13057" max="13057" width="3.42578125" style="66" customWidth="1"/>
    <col min="13058" max="13058" width="37.28515625" style="66" bestFit="1" customWidth="1"/>
    <col min="13059" max="13059" width="16.42578125" style="66" bestFit="1" customWidth="1"/>
    <col min="13060" max="13060" width="19.85546875" style="66" bestFit="1" customWidth="1"/>
    <col min="13061" max="13061" width="13.42578125" style="66" customWidth="1"/>
    <col min="13062" max="13062" width="16.42578125" style="66" bestFit="1" customWidth="1"/>
    <col min="13063" max="13063" width="19.85546875" style="66" bestFit="1" customWidth="1"/>
    <col min="13064" max="13064" width="12.42578125" style="66" customWidth="1"/>
    <col min="13065" max="13312" width="9.140625" style="66"/>
    <col min="13313" max="13313" width="3.42578125" style="66" customWidth="1"/>
    <col min="13314" max="13314" width="37.28515625" style="66" bestFit="1" customWidth="1"/>
    <col min="13315" max="13315" width="16.42578125" style="66" bestFit="1" customWidth="1"/>
    <col min="13316" max="13316" width="19.85546875" style="66" bestFit="1" customWidth="1"/>
    <col min="13317" max="13317" width="13.42578125" style="66" customWidth="1"/>
    <col min="13318" max="13318" width="16.42578125" style="66" bestFit="1" customWidth="1"/>
    <col min="13319" max="13319" width="19.85546875" style="66" bestFit="1" customWidth="1"/>
    <col min="13320" max="13320" width="12.42578125" style="66" customWidth="1"/>
    <col min="13321" max="13568" width="9.140625" style="66"/>
    <col min="13569" max="13569" width="3.42578125" style="66" customWidth="1"/>
    <col min="13570" max="13570" width="37.28515625" style="66" bestFit="1" customWidth="1"/>
    <col min="13571" max="13571" width="16.42578125" style="66" bestFit="1" customWidth="1"/>
    <col min="13572" max="13572" width="19.85546875" style="66" bestFit="1" customWidth="1"/>
    <col min="13573" max="13573" width="13.42578125" style="66" customWidth="1"/>
    <col min="13574" max="13574" width="16.42578125" style="66" bestFit="1" customWidth="1"/>
    <col min="13575" max="13575" width="19.85546875" style="66" bestFit="1" customWidth="1"/>
    <col min="13576" max="13576" width="12.42578125" style="66" customWidth="1"/>
    <col min="13577" max="13824" width="9.140625" style="66"/>
    <col min="13825" max="13825" width="3.42578125" style="66" customWidth="1"/>
    <col min="13826" max="13826" width="37.28515625" style="66" bestFit="1" customWidth="1"/>
    <col min="13827" max="13827" width="16.42578125" style="66" bestFit="1" customWidth="1"/>
    <col min="13828" max="13828" width="19.85546875" style="66" bestFit="1" customWidth="1"/>
    <col min="13829" max="13829" width="13.42578125" style="66" customWidth="1"/>
    <col min="13830" max="13830" width="16.42578125" style="66" bestFit="1" customWidth="1"/>
    <col min="13831" max="13831" width="19.85546875" style="66" bestFit="1" customWidth="1"/>
    <col min="13832" max="13832" width="12.42578125" style="66" customWidth="1"/>
    <col min="13833" max="14080" width="9.140625" style="66"/>
    <col min="14081" max="14081" width="3.42578125" style="66" customWidth="1"/>
    <col min="14082" max="14082" width="37.28515625" style="66" bestFit="1" customWidth="1"/>
    <col min="14083" max="14083" width="16.42578125" style="66" bestFit="1" customWidth="1"/>
    <col min="14084" max="14084" width="19.85546875" style="66" bestFit="1" customWidth="1"/>
    <col min="14085" max="14085" width="13.42578125" style="66" customWidth="1"/>
    <col min="14086" max="14086" width="16.42578125" style="66" bestFit="1" customWidth="1"/>
    <col min="14087" max="14087" width="19.85546875" style="66" bestFit="1" customWidth="1"/>
    <col min="14088" max="14088" width="12.42578125" style="66" customWidth="1"/>
    <col min="14089" max="14336" width="9.140625" style="66"/>
    <col min="14337" max="14337" width="3.42578125" style="66" customWidth="1"/>
    <col min="14338" max="14338" width="37.28515625" style="66" bestFit="1" customWidth="1"/>
    <col min="14339" max="14339" width="16.42578125" style="66" bestFit="1" customWidth="1"/>
    <col min="14340" max="14340" width="19.85546875" style="66" bestFit="1" customWidth="1"/>
    <col min="14341" max="14341" width="13.42578125" style="66" customWidth="1"/>
    <col min="14342" max="14342" width="16.42578125" style="66" bestFit="1" customWidth="1"/>
    <col min="14343" max="14343" width="19.85546875" style="66" bestFit="1" customWidth="1"/>
    <col min="14344" max="14344" width="12.42578125" style="66" customWidth="1"/>
    <col min="14345" max="14592" width="9.140625" style="66"/>
    <col min="14593" max="14593" width="3.42578125" style="66" customWidth="1"/>
    <col min="14594" max="14594" width="37.28515625" style="66" bestFit="1" customWidth="1"/>
    <col min="14595" max="14595" width="16.42578125" style="66" bestFit="1" customWidth="1"/>
    <col min="14596" max="14596" width="19.85546875" style="66" bestFit="1" customWidth="1"/>
    <col min="14597" max="14597" width="13.42578125" style="66" customWidth="1"/>
    <col min="14598" max="14598" width="16.42578125" style="66" bestFit="1" customWidth="1"/>
    <col min="14599" max="14599" width="19.85546875" style="66" bestFit="1" customWidth="1"/>
    <col min="14600" max="14600" width="12.42578125" style="66" customWidth="1"/>
    <col min="14601" max="14848" width="9.140625" style="66"/>
    <col min="14849" max="14849" width="3.42578125" style="66" customWidth="1"/>
    <col min="14850" max="14850" width="37.28515625" style="66" bestFit="1" customWidth="1"/>
    <col min="14851" max="14851" width="16.42578125" style="66" bestFit="1" customWidth="1"/>
    <col min="14852" max="14852" width="19.85546875" style="66" bestFit="1" customWidth="1"/>
    <col min="14853" max="14853" width="13.42578125" style="66" customWidth="1"/>
    <col min="14854" max="14854" width="16.42578125" style="66" bestFit="1" customWidth="1"/>
    <col min="14855" max="14855" width="19.85546875" style="66" bestFit="1" customWidth="1"/>
    <col min="14856" max="14856" width="12.42578125" style="66" customWidth="1"/>
    <col min="14857" max="15104" width="9.140625" style="66"/>
    <col min="15105" max="15105" width="3.42578125" style="66" customWidth="1"/>
    <col min="15106" max="15106" width="37.28515625" style="66" bestFit="1" customWidth="1"/>
    <col min="15107" max="15107" width="16.42578125" style="66" bestFit="1" customWidth="1"/>
    <col min="15108" max="15108" width="19.85546875" style="66" bestFit="1" customWidth="1"/>
    <col min="15109" max="15109" width="13.42578125" style="66" customWidth="1"/>
    <col min="15110" max="15110" width="16.42578125" style="66" bestFit="1" customWidth="1"/>
    <col min="15111" max="15111" width="19.85546875" style="66" bestFit="1" customWidth="1"/>
    <col min="15112" max="15112" width="12.42578125" style="66" customWidth="1"/>
    <col min="15113" max="15360" width="9.140625" style="66"/>
    <col min="15361" max="15361" width="3.42578125" style="66" customWidth="1"/>
    <col min="15362" max="15362" width="37.28515625" style="66" bestFit="1" customWidth="1"/>
    <col min="15363" max="15363" width="16.42578125" style="66" bestFit="1" customWidth="1"/>
    <col min="15364" max="15364" width="19.85546875" style="66" bestFit="1" customWidth="1"/>
    <col min="15365" max="15365" width="13.42578125" style="66" customWidth="1"/>
    <col min="15366" max="15366" width="16.42578125" style="66" bestFit="1" customWidth="1"/>
    <col min="15367" max="15367" width="19.85546875" style="66" bestFit="1" customWidth="1"/>
    <col min="15368" max="15368" width="12.42578125" style="66" customWidth="1"/>
    <col min="15369" max="15616" width="9.140625" style="66"/>
    <col min="15617" max="15617" width="3.42578125" style="66" customWidth="1"/>
    <col min="15618" max="15618" width="37.28515625" style="66" bestFit="1" customWidth="1"/>
    <col min="15619" max="15619" width="16.42578125" style="66" bestFit="1" customWidth="1"/>
    <col min="15620" max="15620" width="19.85546875" style="66" bestFit="1" customWidth="1"/>
    <col min="15621" max="15621" width="13.42578125" style="66" customWidth="1"/>
    <col min="15622" max="15622" width="16.42578125" style="66" bestFit="1" customWidth="1"/>
    <col min="15623" max="15623" width="19.85546875" style="66" bestFit="1" customWidth="1"/>
    <col min="15624" max="15624" width="12.42578125" style="66" customWidth="1"/>
    <col min="15625" max="15872" width="9.140625" style="66"/>
    <col min="15873" max="15873" width="3.42578125" style="66" customWidth="1"/>
    <col min="15874" max="15874" width="37.28515625" style="66" bestFit="1" customWidth="1"/>
    <col min="15875" max="15875" width="16.42578125" style="66" bestFit="1" customWidth="1"/>
    <col min="15876" max="15876" width="19.85546875" style="66" bestFit="1" customWidth="1"/>
    <col min="15877" max="15877" width="13.42578125" style="66" customWidth="1"/>
    <col min="15878" max="15878" width="16.42578125" style="66" bestFit="1" customWidth="1"/>
    <col min="15879" max="15879" width="19.85546875" style="66" bestFit="1" customWidth="1"/>
    <col min="15880" max="15880" width="12.42578125" style="66" customWidth="1"/>
    <col min="15881" max="16128" width="9.140625" style="66"/>
    <col min="16129" max="16129" width="3.42578125" style="66" customWidth="1"/>
    <col min="16130" max="16130" width="37.28515625" style="66" bestFit="1" customWidth="1"/>
    <col min="16131" max="16131" width="16.42578125" style="66" bestFit="1" customWidth="1"/>
    <col min="16132" max="16132" width="19.85546875" style="66" bestFit="1" customWidth="1"/>
    <col min="16133" max="16133" width="13.42578125" style="66" customWidth="1"/>
    <col min="16134" max="16134" width="16.42578125" style="66" bestFit="1" customWidth="1"/>
    <col min="16135" max="16135" width="19.85546875" style="66" bestFit="1" customWidth="1"/>
    <col min="16136" max="16136" width="12.42578125" style="66" customWidth="1"/>
    <col min="16137" max="16384" width="9.140625" style="66"/>
  </cols>
  <sheetData>
    <row r="1" spans="1:8" ht="20.25">
      <c r="B1" s="853"/>
      <c r="C1" s="853"/>
      <c r="D1" s="853"/>
      <c r="E1" s="853"/>
      <c r="F1" s="853"/>
      <c r="G1" s="853"/>
      <c r="H1" s="853"/>
    </row>
    <row r="2" spans="1:8" ht="20.25">
      <c r="B2" s="853"/>
      <c r="C2" s="853"/>
      <c r="D2" s="853"/>
      <c r="E2" s="853"/>
      <c r="F2" s="853"/>
      <c r="G2" s="853"/>
      <c r="H2" s="853"/>
    </row>
    <row r="3" spans="1:8" ht="20.25">
      <c r="A3" s="67" t="s">
        <v>169</v>
      </c>
      <c r="B3" s="189" t="s">
        <v>170</v>
      </c>
      <c r="C3" s="246"/>
      <c r="D3" s="246"/>
      <c r="E3" s="246"/>
      <c r="F3" s="246"/>
      <c r="G3" s="246"/>
      <c r="H3" s="246"/>
    </row>
    <row r="5" spans="1:8" ht="16.5" thickBot="1"/>
    <row r="6" spans="1:8">
      <c r="B6" s="69"/>
      <c r="C6" s="854" t="s">
        <v>1894</v>
      </c>
      <c r="D6" s="855"/>
      <c r="E6" s="856"/>
      <c r="F6" s="854" t="s">
        <v>651</v>
      </c>
      <c r="G6" s="855"/>
      <c r="H6" s="856"/>
    </row>
    <row r="7" spans="1:8">
      <c r="B7" s="70" t="s">
        <v>171</v>
      </c>
      <c r="C7" s="71" t="s">
        <v>13</v>
      </c>
      <c r="D7" s="72" t="s">
        <v>14</v>
      </c>
      <c r="E7" s="73" t="s">
        <v>94</v>
      </c>
      <c r="F7" s="71" t="s">
        <v>13</v>
      </c>
      <c r="G7" s="72" t="s">
        <v>14</v>
      </c>
      <c r="H7" s="73" t="s">
        <v>94</v>
      </c>
    </row>
    <row r="8" spans="1:8">
      <c r="B8" s="74" t="s">
        <v>172</v>
      </c>
      <c r="C8" s="71"/>
      <c r="D8" s="72"/>
      <c r="E8" s="73"/>
      <c r="F8" s="71"/>
      <c r="G8" s="72"/>
      <c r="H8" s="73"/>
    </row>
    <row r="9" spans="1:8">
      <c r="B9" s="70" t="s">
        <v>173</v>
      </c>
      <c r="C9" s="75">
        <f>76400+400+10000+600</f>
        <v>87400</v>
      </c>
      <c r="D9" s="72"/>
      <c r="E9" s="73">
        <f t="shared" ref="E9:E17" si="0">SUM(C9:D9)</f>
        <v>87400</v>
      </c>
      <c r="F9" s="75">
        <v>134100</v>
      </c>
      <c r="G9" s="72">
        <v>1000</v>
      </c>
      <c r="H9" s="73">
        <f t="shared" ref="H9:H21" si="1">SUM(F9:G9)</f>
        <v>135100</v>
      </c>
    </row>
    <row r="10" spans="1:8">
      <c r="B10" s="70" t="s">
        <v>174</v>
      </c>
      <c r="C10" s="75">
        <f>120000+10000+8000+2000+20000</f>
        <v>160000</v>
      </c>
      <c r="D10" s="72"/>
      <c r="E10" s="73">
        <f t="shared" si="0"/>
        <v>160000</v>
      </c>
      <c r="F10" s="75">
        <v>130000</v>
      </c>
      <c r="G10" s="72" t="s">
        <v>565</v>
      </c>
      <c r="H10" s="73">
        <f t="shared" si="1"/>
        <v>130000</v>
      </c>
    </row>
    <row r="11" spans="1:8">
      <c r="B11" s="70"/>
      <c r="C11" s="75"/>
      <c r="D11" s="72"/>
      <c r="E11" s="73">
        <f t="shared" si="0"/>
        <v>0</v>
      </c>
      <c r="F11" s="75"/>
      <c r="G11" s="72"/>
      <c r="H11" s="73">
        <f t="shared" si="1"/>
        <v>0</v>
      </c>
    </row>
    <row r="12" spans="1:8">
      <c r="B12" s="70" t="s">
        <v>652</v>
      </c>
      <c r="C12" s="75"/>
      <c r="D12" s="82"/>
      <c r="E12" s="73"/>
      <c r="F12" s="75"/>
      <c r="G12" s="72">
        <v>15000</v>
      </c>
      <c r="H12" s="73">
        <f>SUM(F12:G12)</f>
        <v>15000</v>
      </c>
    </row>
    <row r="13" spans="1:8">
      <c r="B13" s="70" t="s">
        <v>1895</v>
      </c>
      <c r="C13" s="324"/>
      <c r="D13" s="72">
        <f>15000+10000-5000</f>
        <v>20000</v>
      </c>
      <c r="E13" s="73">
        <f>SUM(C13:D13)</f>
        <v>20000</v>
      </c>
      <c r="F13" s="75"/>
      <c r="G13" s="72"/>
      <c r="H13" s="73">
        <f>SUM(F13:G13)</f>
        <v>0</v>
      </c>
    </row>
    <row r="14" spans="1:8">
      <c r="B14" s="70" t="s">
        <v>291</v>
      </c>
      <c r="C14" s="324"/>
      <c r="D14" s="72">
        <f>20000+10000+5000+5000</f>
        <v>40000</v>
      </c>
      <c r="E14" s="73">
        <f>SUM(C14:D14)</f>
        <v>40000</v>
      </c>
      <c r="F14" s="75"/>
      <c r="G14" s="72">
        <v>30000</v>
      </c>
      <c r="H14" s="73">
        <f>SUM(F14:G14)</f>
        <v>30000</v>
      </c>
    </row>
    <row r="15" spans="1:8">
      <c r="B15" s="70"/>
      <c r="C15" s="76"/>
      <c r="D15" s="72"/>
      <c r="E15" s="73">
        <f t="shared" si="0"/>
        <v>0</v>
      </c>
      <c r="F15" s="75"/>
      <c r="G15" s="72"/>
      <c r="H15" s="73">
        <f t="shared" si="1"/>
        <v>0</v>
      </c>
    </row>
    <row r="16" spans="1:8">
      <c r="B16" s="70" t="s">
        <v>175</v>
      </c>
      <c r="C16" s="75">
        <v>10000</v>
      </c>
      <c r="D16" s="72"/>
      <c r="E16" s="73">
        <f t="shared" si="0"/>
        <v>10000</v>
      </c>
      <c r="F16" s="75">
        <v>10000</v>
      </c>
      <c r="G16" s="72"/>
      <c r="H16" s="73">
        <f t="shared" si="1"/>
        <v>10000</v>
      </c>
    </row>
    <row r="17" spans="2:11" s="77" customFormat="1">
      <c r="B17" s="74" t="s">
        <v>176</v>
      </c>
      <c r="C17" s="78">
        <f>SUM(C9:C16)</f>
        <v>257400</v>
      </c>
      <c r="D17" s="79">
        <f>SUM(D9:D16)</f>
        <v>60000</v>
      </c>
      <c r="E17" s="80">
        <f t="shared" si="0"/>
        <v>317400</v>
      </c>
      <c r="F17" s="78">
        <f>SUM(F9:F16)</f>
        <v>274100</v>
      </c>
      <c r="G17" s="79">
        <f>SUM(G9:G16)</f>
        <v>46000</v>
      </c>
      <c r="H17" s="80">
        <f>SUM(H9:H16)</f>
        <v>320100</v>
      </c>
    </row>
    <row r="18" spans="2:11">
      <c r="B18" s="74" t="s">
        <v>177</v>
      </c>
      <c r="C18" s="75"/>
      <c r="D18" s="72"/>
      <c r="E18" s="73"/>
      <c r="F18" s="75"/>
      <c r="G18" s="72"/>
      <c r="H18" s="81">
        <f t="shared" si="1"/>
        <v>0</v>
      </c>
    </row>
    <row r="19" spans="2:11">
      <c r="B19" s="70" t="s">
        <v>178</v>
      </c>
      <c r="C19" s="75">
        <f>800+3400+150+1350</f>
        <v>5700</v>
      </c>
      <c r="D19" s="72"/>
      <c r="E19" s="73">
        <f>SUM(C19:D19)</f>
        <v>5700</v>
      </c>
      <c r="F19" s="75">
        <v>8050</v>
      </c>
      <c r="G19" s="72"/>
      <c r="H19" s="73">
        <f t="shared" si="1"/>
        <v>8050</v>
      </c>
    </row>
    <row r="20" spans="2:11">
      <c r="B20" s="70" t="s">
        <v>179</v>
      </c>
      <c r="C20" s="75">
        <f>14630+4000+2400</f>
        <v>21030</v>
      </c>
      <c r="D20" s="72"/>
      <c r="E20" s="73">
        <f>SUM(C20:D20)</f>
        <v>21030</v>
      </c>
      <c r="F20" s="75">
        <v>15456</v>
      </c>
      <c r="G20" s="72"/>
      <c r="H20" s="73">
        <f t="shared" si="1"/>
        <v>15456</v>
      </c>
    </row>
    <row r="21" spans="2:11">
      <c r="B21" s="70" t="s">
        <v>180</v>
      </c>
      <c r="C21" s="75">
        <f>C17-C19-C20</f>
        <v>230670</v>
      </c>
      <c r="D21" s="82">
        <f>D17-D19-D20</f>
        <v>60000</v>
      </c>
      <c r="E21" s="73">
        <f>SUM(C21:D21)</f>
        <v>290670</v>
      </c>
      <c r="F21" s="75">
        <v>250594</v>
      </c>
      <c r="G21" s="82">
        <v>46000</v>
      </c>
      <c r="H21" s="73">
        <f t="shared" si="1"/>
        <v>296594</v>
      </c>
    </row>
    <row r="22" spans="2:11" s="77" customFormat="1" ht="16.5" thickBot="1">
      <c r="B22" s="83" t="s">
        <v>181</v>
      </c>
      <c r="C22" s="84">
        <f>C17</f>
        <v>257400</v>
      </c>
      <c r="D22" s="85">
        <f>D17</f>
        <v>60000</v>
      </c>
      <c r="E22" s="86">
        <f>SUM(C22:D22)</f>
        <v>317400</v>
      </c>
      <c r="F22" s="84">
        <f>SUM(F19:F21)</f>
        <v>274100</v>
      </c>
      <c r="G22" s="85">
        <f>SUM(G19:G21)</f>
        <v>46000</v>
      </c>
      <c r="H22" s="86">
        <f>SUM(H19:H21)</f>
        <v>320100</v>
      </c>
    </row>
    <row r="24" spans="2:11">
      <c r="K24" s="68"/>
    </row>
  </sheetData>
  <mergeCells count="4">
    <mergeCell ref="B1:H1"/>
    <mergeCell ref="B2:H2"/>
    <mergeCell ref="C6:E6"/>
    <mergeCell ref="F6:H6"/>
  </mergeCells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2022</oddHeader>
    <oddFooter>&amp;L&amp;D&amp;Cעמוד &amp;P מתוך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65</vt:i4>
      </vt:variant>
      <vt:variant>
        <vt:lpstr>טווחים בעלי שם</vt:lpstr>
      </vt:variant>
      <vt:variant>
        <vt:i4>70</vt:i4>
      </vt:variant>
    </vt:vector>
  </HeadingPairs>
  <TitlesOfParts>
    <vt:vector size="135" baseType="lpstr">
      <vt:lpstr>כותרת</vt:lpstr>
      <vt:lpstr>תוכן ענינים</vt:lpstr>
      <vt:lpstr>מבוא</vt:lpstr>
      <vt:lpstr>תקציב 2021</vt:lpstr>
      <vt:lpstr>תקציב 2022 </vt:lpstr>
      <vt:lpstr>תקציב 2022 פרקים</vt:lpstr>
      <vt:lpstr>תקציב 2022  אגפים </vt:lpstr>
      <vt:lpstr>תקציב 2022  מקורות </vt:lpstr>
      <vt:lpstr>תקציב 2022 קרנות הרשות</vt:lpstr>
      <vt:lpstr>תקציב 2022 מקורות אחרים</vt:lpstr>
      <vt:lpstr>תרשים אגפים</vt:lpstr>
      <vt:lpstr>ריכוז אגפים</vt:lpstr>
      <vt:lpstr>תרשים פרקים</vt:lpstr>
      <vt:lpstr>ריכוז פרקים</vt:lpstr>
      <vt:lpstr>פרוט מקורות אחרים</vt:lpstr>
      <vt:lpstr>תרשים מקורות מימון</vt:lpstr>
      <vt:lpstr>הנדסה 2022</vt:lpstr>
      <vt:lpstr>הנדסה 2022 </vt:lpstr>
      <vt:lpstr>תקציב הנדסה 2022 </vt:lpstr>
      <vt:lpstr>תקציב הנדסה 2022 פרקים</vt:lpstr>
      <vt:lpstr>החברה לפיתוח 2022</vt:lpstr>
      <vt:lpstr>החב. לפיתוח 2022</vt:lpstr>
      <vt:lpstr>תקציב החברה לפיתוח 2022</vt:lpstr>
      <vt:lpstr>תקציב החברה לפיתוח 2022 תאור</vt:lpstr>
      <vt:lpstr>תקציב החברה לפיתוח 2022 פרקים</vt:lpstr>
      <vt:lpstr>מינהל תפעול 2022</vt:lpstr>
      <vt:lpstr>מינהל תפעול  2022 </vt:lpstr>
      <vt:lpstr>תקציב מינהל תפעול 2022</vt:lpstr>
      <vt:lpstr>תקציב מינהל תפעול 2022 תאור</vt:lpstr>
      <vt:lpstr>תקציב מינהל תפעול 2022 פרקים</vt:lpstr>
      <vt:lpstr>אגף חינוך 2022</vt:lpstr>
      <vt:lpstr>תקציב אגף חינוך 2022</vt:lpstr>
      <vt:lpstr>תקציב אגף חינוך 2022 פרקים</vt:lpstr>
      <vt:lpstr>אגף תנוס 2021</vt:lpstr>
      <vt:lpstr>תקציב אגף תנוס 2022 </vt:lpstr>
      <vt:lpstr>תקציב אגף תנוס 2022 פרקים</vt:lpstr>
      <vt:lpstr>החברה לתירות 2022</vt:lpstr>
      <vt:lpstr>תקציב החברה לתירות 2022 </vt:lpstr>
      <vt:lpstr>תקציב החברה לתירות 2022  פרקים</vt:lpstr>
      <vt:lpstr>אגף תקשוב ומע. מידע 2022</vt:lpstr>
      <vt:lpstr>אגף תקשוב ומע. מידע  2022 </vt:lpstr>
      <vt:lpstr>תקציב אגף המיחשוב 2022</vt:lpstr>
      <vt:lpstr>תקציב אגף המיחשוב 2022 פרקים</vt:lpstr>
      <vt:lpstr>אגף נכסים וביטוח 2022</vt:lpstr>
      <vt:lpstr>תקציב אגף נכסים וביטוח 2022 </vt:lpstr>
      <vt:lpstr>תקציב אגף נכסים ביטוח 2022 פרק</vt:lpstr>
      <vt:lpstr>מינהל כללי 2022</vt:lpstr>
      <vt:lpstr>תקציב מינהל כללי 2022  </vt:lpstr>
      <vt:lpstr>תקציב מינהל כללי 2022 פרקים</vt:lpstr>
      <vt:lpstr>תקציב 2021 - ביצוע</vt:lpstr>
      <vt:lpstr>ריכוז אגפים 2021</vt:lpstr>
      <vt:lpstr>תקציב הנדסה 2021</vt:lpstr>
      <vt:lpstr>תקציב החברה לפיתוח 2021 </vt:lpstr>
      <vt:lpstr>תקציב אגף ת.ב.ל 2021  </vt:lpstr>
      <vt:lpstr>תקציב אגף בטחון פיקוח סד"צ 2021</vt:lpstr>
      <vt:lpstr>תקציב אגף חינוך 2021 </vt:lpstr>
      <vt:lpstr>תקציב אגף תנוס 2021 </vt:lpstr>
      <vt:lpstr>תקציב אגף שאיפה  2021 </vt:lpstr>
      <vt:lpstr>תקציב רשות החופים 2021 </vt:lpstr>
      <vt:lpstr>תקציב החברה לתירות 2021 </vt:lpstr>
      <vt:lpstr>תקציב אגף תקשוב 2021 </vt:lpstr>
      <vt:lpstr>תקציב אגף נכסים וביטוח 2021</vt:lpstr>
      <vt:lpstr>תקציב מינהל כללי 2021  </vt:lpstr>
      <vt:lpstr>ריכוז תקציב מעבר לתוכנית 2021</vt:lpstr>
      <vt:lpstr>פרויקטים החב. לפיתוח </vt:lpstr>
      <vt:lpstr>'פרוט מקורות אחרים'!WPrint_Area_W</vt:lpstr>
      <vt:lpstr>'ריכוז אגפים'!WPrint_Area_W</vt:lpstr>
      <vt:lpstr>'ריכוז אגפים 2021'!WPrint_Area_W</vt:lpstr>
      <vt:lpstr>'ריכוז פרקים'!WPrint_Area_W</vt:lpstr>
      <vt:lpstr>'ריכוז תקציב מעבר לתוכנית 2021'!WPrint_Area_W</vt:lpstr>
      <vt:lpstr>'תקציב 2022 קרנות הרשות'!WPrint_Area_W</vt:lpstr>
      <vt:lpstr>'תקציב אגף בטחון פיקוח סד"צ 2021'!WPrint_Area_W</vt:lpstr>
      <vt:lpstr>'תקציב אגף המיחשוב 2022'!WPrint_Area_W</vt:lpstr>
      <vt:lpstr>'תקציב אגף המיחשוב 2022 פרקים'!WPrint_Area_W</vt:lpstr>
      <vt:lpstr>'תקציב אגף חינוך 2021 '!WPrint_Area_W</vt:lpstr>
      <vt:lpstr>'תקציב אגף חינוך 2022'!WPrint_Area_W</vt:lpstr>
      <vt:lpstr>'תקציב אגף חינוך 2022 פרקים'!WPrint_Area_W</vt:lpstr>
      <vt:lpstr>'תקציב אגף נכסים ביטוח 2022 פרק'!WPrint_Area_W</vt:lpstr>
      <vt:lpstr>'תקציב אגף נכסים וביטוח 2022 '!WPrint_Area_W</vt:lpstr>
      <vt:lpstr>'תקציב אגף שאיפה  2021 '!WPrint_Area_W</vt:lpstr>
      <vt:lpstr>'תקציב אגף תנוס 2021 '!WPrint_Area_W</vt:lpstr>
      <vt:lpstr>'תקציב אגף תנוס 2022 '!WPrint_Area_W</vt:lpstr>
      <vt:lpstr>'תקציב אגף תנוס 2022 פרקים'!WPrint_Area_W</vt:lpstr>
      <vt:lpstr>'תקציב אגף תקשוב 2021 '!WPrint_Area_W</vt:lpstr>
      <vt:lpstr>'תקציב החברה לפיתוח 2022'!WPrint_Area_W</vt:lpstr>
      <vt:lpstr>'תקציב החברה לפיתוח 2022 פרקים'!WPrint_Area_W</vt:lpstr>
      <vt:lpstr>'תקציב החברה לפיתוח 2022 תאור'!WPrint_Area_W</vt:lpstr>
      <vt:lpstr>'תקציב החברה לתירות 2021 '!WPrint_Area_W</vt:lpstr>
      <vt:lpstr>'תקציב החברה לתירות 2022 '!WPrint_Area_W</vt:lpstr>
      <vt:lpstr>'תקציב החברה לתירות 2022  פרקים'!WPrint_Area_W</vt:lpstr>
      <vt:lpstr>'תקציב הנדסה 2022 '!WPrint_Area_W</vt:lpstr>
      <vt:lpstr>'תקציב הנדסה 2022 פרקים'!WPrint_Area_W</vt:lpstr>
      <vt:lpstr>'תקציב מינהל כללי 2022  '!WPrint_Area_W</vt:lpstr>
      <vt:lpstr>'תקציב מינהל כללי 2022 פרקים'!WPrint_Area_W</vt:lpstr>
      <vt:lpstr>'תקציב מינהל תפעול 2022'!WPrint_Area_W</vt:lpstr>
      <vt:lpstr>'תקציב מינהל תפעול 2022 פרקים'!WPrint_Area_W</vt:lpstr>
      <vt:lpstr>'תקציב מינהל תפעול 2022 תאור'!WPrint_Area_W</vt:lpstr>
      <vt:lpstr>'תקציב רשות החופים 2021 '!WPrint_Area_W</vt:lpstr>
      <vt:lpstr>'פרויקטים החב. לפיתוח '!WPrint_TitlesW</vt:lpstr>
      <vt:lpstr>'ריכוז אגפים'!WPrint_TitlesW</vt:lpstr>
      <vt:lpstr>'ריכוז אגפים 2021'!WPrint_TitlesW</vt:lpstr>
      <vt:lpstr>'ריכוז פרקים'!WPrint_TitlesW</vt:lpstr>
      <vt:lpstr>'ריכוז תקציב מעבר לתוכנית 2021'!WPrint_TitlesW</vt:lpstr>
      <vt:lpstr>'תקציב אגף בטחון פיקוח סד"צ 2021'!WPrint_TitlesW</vt:lpstr>
      <vt:lpstr>'תקציב אגף המיחשוב 2022'!WPrint_TitlesW</vt:lpstr>
      <vt:lpstr>'תקציב אגף המיחשוב 2022 פרקים'!WPrint_TitlesW</vt:lpstr>
      <vt:lpstr>'תקציב אגף חינוך 2021 '!WPrint_TitlesW</vt:lpstr>
      <vt:lpstr>'תקציב אגף חינוך 2022'!WPrint_TitlesW</vt:lpstr>
      <vt:lpstr>'תקציב אגף חינוך 2022 פרקים'!WPrint_TitlesW</vt:lpstr>
      <vt:lpstr>'תקציב אגף נכסים ביטוח 2022 פרק'!WPrint_TitlesW</vt:lpstr>
      <vt:lpstr>'תקציב אגף נכסים וביטוח 2021'!WPrint_TitlesW</vt:lpstr>
      <vt:lpstr>'תקציב אגף נכסים וביטוח 2022 '!WPrint_TitlesW</vt:lpstr>
      <vt:lpstr>'תקציב אגף שאיפה  2021 '!WPrint_TitlesW</vt:lpstr>
      <vt:lpstr>'תקציב אגף ת.ב.ל 2021  '!WPrint_TitlesW</vt:lpstr>
      <vt:lpstr>'תקציב אגף תנוס 2021 '!WPrint_TitlesW</vt:lpstr>
      <vt:lpstr>'תקציב אגף תנוס 2022 '!WPrint_TitlesW</vt:lpstr>
      <vt:lpstr>'תקציב אגף תנוס 2022 פרקים'!WPrint_TitlesW</vt:lpstr>
      <vt:lpstr>'תקציב אגף תקשוב 2021 '!WPrint_TitlesW</vt:lpstr>
      <vt:lpstr>'תקציב החברה לפיתוח 2021 '!WPrint_TitlesW</vt:lpstr>
      <vt:lpstr>'תקציב החברה לפיתוח 2022'!WPrint_TitlesW</vt:lpstr>
      <vt:lpstr>'תקציב החברה לפיתוח 2022 פרקים'!WPrint_TitlesW</vt:lpstr>
      <vt:lpstr>'תקציב החברה לפיתוח 2022 תאור'!WPrint_TitlesW</vt:lpstr>
      <vt:lpstr>'תקציב החברה לתירות 2021 '!WPrint_TitlesW</vt:lpstr>
      <vt:lpstr>'תקציב החברה לתירות 2022 '!WPrint_TitlesW</vt:lpstr>
      <vt:lpstr>'תקציב החברה לתירות 2022  פרקים'!WPrint_TitlesW</vt:lpstr>
      <vt:lpstr>'תקציב הנדסה 2021'!WPrint_TitlesW</vt:lpstr>
      <vt:lpstr>'תקציב הנדסה 2022 '!WPrint_TitlesW</vt:lpstr>
      <vt:lpstr>'תקציב הנדסה 2022 פרקים'!WPrint_TitlesW</vt:lpstr>
      <vt:lpstr>'תקציב מינהל כללי 2021  '!WPrint_TitlesW</vt:lpstr>
      <vt:lpstr>'תקציב מינהל כללי 2022  '!WPrint_TitlesW</vt:lpstr>
      <vt:lpstr>'תקציב מינהל כללי 2022 פרקים'!WPrint_TitlesW</vt:lpstr>
      <vt:lpstr>'תקציב מינהל תפעול 2022'!WPrint_TitlesW</vt:lpstr>
      <vt:lpstr>'תקציב מינהל תפעול 2022 פרקים'!WPrint_TitlesW</vt:lpstr>
      <vt:lpstr>'תקציב מינהל תפעול 2022 תאור'!WPrint_TitlesW</vt:lpstr>
      <vt:lpstr>'תקציב רשות החופים 2021 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הצעת תקציב פיתוח 2022</dc:title>
  <dc:creator>Gizbarut-Orna Goldfriend</dc:creator>
  <cp:lastModifiedBy>Dovrut-Dorin Halwani</cp:lastModifiedBy>
  <cp:lastPrinted>2021-11-08T11:09:16Z</cp:lastPrinted>
  <dcterms:created xsi:type="dcterms:W3CDTF">2014-10-19T04:47:46Z</dcterms:created>
  <dcterms:modified xsi:type="dcterms:W3CDTF">2021-12-12T07:48:37Z</dcterms:modified>
</cp:coreProperties>
</file>